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4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itkovic\Desktop\Za sajt finansije\"/>
    </mc:Choice>
  </mc:AlternateContent>
  <bookViews>
    <workbookView xWindow="240" yWindow="420" windowWidth="15150" windowHeight="7620" firstSheet="25" activeTab="25"/>
  </bookViews>
  <sheets>
    <sheet name="fin plan 2022." sheetId="4" r:id="rId1"/>
    <sheet name="izmena 04.03.2022.tel" sheetId="6" r:id="rId2"/>
    <sheet name="izmena 28.03.2022." sheetId="9" r:id="rId3"/>
    <sheet name="izvršenje 3 m 2022" sheetId="10" r:id="rId4"/>
    <sheet name="izmena 31.05.2022." sheetId="11" r:id="rId5"/>
    <sheet name="izmena.08.08.2022." sheetId="14" r:id="rId6"/>
    <sheet name="izvršenje 6 m 2022" sheetId="13" r:id="rId7"/>
    <sheet name="izmena 09.2022." sheetId="17" r:id="rId8"/>
    <sheet name="tel sednica 19.10.2022." sheetId="19" r:id="rId9"/>
    <sheet name="izvršenje 9 m 2022" sheetId="18" r:id="rId10"/>
    <sheet name="izmena novembar 2022." sheetId="21" r:id="rId11"/>
    <sheet name="izmena novembar 2" sheetId="22" r:id="rId12"/>
    <sheet name="izvršenje 12 m 2022" sheetId="23" r:id="rId13"/>
    <sheet name="predlog fin.plan 2023" sheetId="26" r:id="rId14"/>
    <sheet name="izmena 13.02.2023." sheetId="27" r:id="rId15"/>
    <sheet name="izmena 31.03.2023.druga" sheetId="28" r:id="rId16"/>
    <sheet name="izvršenje 3 m 2023 " sheetId="29" r:id="rId17"/>
    <sheet name="izmena 27.04.2023.treća" sheetId="30" r:id="rId18"/>
    <sheet name="ralizacija mt 25.04.2023" sheetId="31" r:id="rId19"/>
    <sheet name="izmena 22.06.2023.četvrta" sheetId="32" r:id="rId20"/>
    <sheet name="izmena 27.07.2023.peta" sheetId="33" r:id="rId21"/>
    <sheet name="izvršenje 6 m 2023" sheetId="34" r:id="rId22"/>
    <sheet name="izmena 21.09.2023.šesta " sheetId="35" r:id="rId23"/>
    <sheet name="izmena 04.10.2023.седма" sheetId="37" r:id="rId24"/>
    <sheet name="izvršenje 9 m 2023" sheetId="38" r:id="rId25"/>
    <sheet name="izmena 23.11.2023.osma+deveta" sheetId="39" r:id="rId26"/>
    <sheet name="rebalansirani fin plan 2023." sheetId="47" r:id="rId27"/>
    <sheet name="izmena deseta 2023" sheetId="41" state="hidden" r:id="rId28"/>
    <sheet name="Sheet1" sheetId="25" r:id="rId29"/>
  </sheets>
  <definedNames>
    <definedName name="_xlnm._FilterDatabase" localSheetId="23" hidden="1">'izmena 04.10.2023.седма'!$A$1:$V$542</definedName>
    <definedName name="_xlnm._FilterDatabase" localSheetId="25" hidden="1">'izmena 23.11.2023.osma+deveta'!$A$1:$V$541</definedName>
    <definedName name="_xlnm._FilterDatabase" localSheetId="27" hidden="1">'izmena deseta 2023'!$A$2:$AK$552</definedName>
    <definedName name="OLE_LINK2" localSheetId="8">'tel sednica 19.10.2022.'!#REF!</definedName>
    <definedName name="_xlnm.Print_Area" localSheetId="26">'rebalansirani fin plan 2023.'!$A$1:$J$123</definedName>
  </definedNames>
  <calcPr calcId="152511"/>
</workbook>
</file>

<file path=xl/calcChain.xml><?xml version="1.0" encoding="utf-8"?>
<calcChain xmlns="http://schemas.openxmlformats.org/spreadsheetml/2006/main">
  <c r="H133" i="41" l="1"/>
  <c r="M286" i="41"/>
  <c r="M546" i="41"/>
  <c r="M420" i="41"/>
  <c r="M254" i="41"/>
  <c r="M125" i="41" l="1"/>
  <c r="T289" i="41" l="1"/>
  <c r="T290" i="41"/>
  <c r="T291" i="41"/>
  <c r="T292" i="41"/>
  <c r="T293" i="41"/>
  <c r="T300" i="41"/>
  <c r="T311" i="41"/>
  <c r="T255" i="41"/>
  <c r="T256" i="41"/>
  <c r="T259" i="41"/>
  <c r="T260" i="41"/>
  <c r="T261" i="41"/>
  <c r="T262" i="41"/>
  <c r="T264" i="41"/>
  <c r="T266" i="41"/>
  <c r="T268" i="41"/>
  <c r="T269" i="41"/>
  <c r="T270" i="41"/>
  <c r="T271" i="41"/>
  <c r="T272" i="41"/>
  <c r="T273" i="41"/>
  <c r="T274" i="41"/>
  <c r="T275" i="41"/>
  <c r="T277" i="41"/>
  <c r="T278" i="41"/>
  <c r="T280" i="41"/>
  <c r="T281" i="41"/>
  <c r="S457" i="41"/>
  <c r="S442" i="41"/>
  <c r="S437" i="41"/>
  <c r="S436" i="41" s="1"/>
  <c r="S435" i="41" s="1"/>
  <c r="S422" i="41"/>
  <c r="S418" i="41"/>
  <c r="S415" i="41"/>
  <c r="S392" i="41"/>
  <c r="S375" i="41" s="1"/>
  <c r="S335" i="41"/>
  <c r="S334" i="41" s="1"/>
  <c r="S314" i="41"/>
  <c r="S313" i="41"/>
  <c r="S312" i="41"/>
  <c r="S310" i="41"/>
  <c r="S309" i="41"/>
  <c r="S308" i="41"/>
  <c r="S307" i="41" s="1"/>
  <c r="S306" i="41"/>
  <c r="S305" i="41"/>
  <c r="S303" i="41"/>
  <c r="S301" i="41" s="1"/>
  <c r="S302" i="41"/>
  <c r="S299" i="41"/>
  <c r="S295" i="41" s="1"/>
  <c r="S297" i="41"/>
  <c r="S296" i="41"/>
  <c r="S288" i="41"/>
  <c r="S286" i="41"/>
  <c r="T286" i="41" s="1"/>
  <c r="S285" i="41"/>
  <c r="S284" i="41" s="1"/>
  <c r="S283" i="41"/>
  <c r="S282" i="41"/>
  <c r="S279" i="41"/>
  <c r="S276" i="41" s="1"/>
  <c r="S266" i="41"/>
  <c r="S265" i="41"/>
  <c r="S263" i="41" s="1"/>
  <c r="S258" i="41"/>
  <c r="S257" i="41" s="1"/>
  <c r="S254" i="41"/>
  <c r="T254" i="41" s="1"/>
  <c r="S253" i="41"/>
  <c r="S252" i="41"/>
  <c r="S251" i="41"/>
  <c r="S250" i="41"/>
  <c r="S249" i="41" s="1"/>
  <c r="S242" i="41"/>
  <c r="S240" i="41"/>
  <c r="S231" i="41"/>
  <c r="S225" i="41"/>
  <c r="S223" i="41"/>
  <c r="S138" i="41"/>
  <c r="S135" i="41" s="1"/>
  <c r="S134" i="41" s="1"/>
  <c r="S128" i="41"/>
  <c r="S127" i="41" s="1"/>
  <c r="S125" i="41"/>
  <c r="S124" i="41" s="1"/>
  <c r="S123" i="41" s="1"/>
  <c r="S121" i="41"/>
  <c r="S111" i="41"/>
  <c r="S95" i="41"/>
  <c r="S92" i="41"/>
  <c r="S88" i="41"/>
  <c r="P268" i="41"/>
  <c r="P340" i="41"/>
  <c r="M266" i="41"/>
  <c r="M313" i="41"/>
  <c r="T313" i="41" s="1"/>
  <c r="P266" i="41"/>
  <c r="M250" i="41"/>
  <c r="M283" i="41"/>
  <c r="T283" i="41" s="1"/>
  <c r="P96" i="41"/>
  <c r="S304" i="41" l="1"/>
  <c r="T250" i="41"/>
  <c r="S222" i="41"/>
  <c r="S87" i="41"/>
  <c r="S8" i="41" s="1"/>
  <c r="S7" i="41" s="1"/>
  <c r="S211" i="41" s="1"/>
  <c r="S414" i="41"/>
  <c r="S294" i="41"/>
  <c r="S287" i="41" s="1"/>
  <c r="S248" i="41" s="1"/>
  <c r="S550" i="41"/>
  <c r="S547" i="41"/>
  <c r="S221" i="41" l="1"/>
  <c r="S220" i="41" s="1"/>
  <c r="S542" i="41" s="1"/>
  <c r="S544" i="41" s="1"/>
  <c r="S548" i="41" l="1"/>
  <c r="M279" i="41"/>
  <c r="T279" i="41" s="1"/>
  <c r="P270" i="41"/>
  <c r="P423" i="41"/>
  <c r="H283" i="41"/>
  <c r="M258" i="41"/>
  <c r="T258" i="41" s="1"/>
  <c r="P251" i="41"/>
  <c r="M314" i="41"/>
  <c r="T314" i="41" s="1"/>
  <c r="P290" i="41"/>
  <c r="P275" i="41"/>
  <c r="M282" i="41"/>
  <c r="T282" i="41" s="1"/>
  <c r="M285" i="41"/>
  <c r="T285" i="41" s="1"/>
  <c r="M288" i="41"/>
  <c r="T288" i="41" s="1"/>
  <c r="M265" i="41"/>
  <c r="T265" i="41" s="1"/>
  <c r="M267" i="41"/>
  <c r="T267" i="41" s="1"/>
  <c r="M253" i="41"/>
  <c r="T253" i="41" s="1"/>
  <c r="M252" i="41"/>
  <c r="M306" i="41"/>
  <c r="T306" i="41" s="1"/>
  <c r="M305" i="41"/>
  <c r="T305" i="41" s="1"/>
  <c r="M302" i="41"/>
  <c r="T302" i="41" s="1"/>
  <c r="M298" i="41"/>
  <c r="T298" i="41" s="1"/>
  <c r="M297" i="41"/>
  <c r="T297" i="41" s="1"/>
  <c r="M296" i="41"/>
  <c r="T296" i="41" s="1"/>
  <c r="M121" i="41"/>
  <c r="M120" i="39"/>
  <c r="M124" i="39"/>
  <c r="K448" i="41"/>
  <c r="H448" i="41"/>
  <c r="T252" i="41" l="1"/>
  <c r="H276" i="41"/>
  <c r="M239" i="41"/>
  <c r="F239" i="41" s="1"/>
  <c r="M234" i="41"/>
  <c r="P234" i="41"/>
  <c r="P231" i="41" s="1"/>
  <c r="F96" i="41"/>
  <c r="P139" i="41"/>
  <c r="P138" i="41" s="1"/>
  <c r="P135" i="41" s="1"/>
  <c r="P134" i="41" s="1"/>
  <c r="K133" i="41"/>
  <c r="G133" i="41" s="1"/>
  <c r="G128" i="41" s="1"/>
  <c r="G127" i="41" s="1"/>
  <c r="G541" i="41"/>
  <c r="Q540" i="41"/>
  <c r="O540" i="41"/>
  <c r="N540" i="41"/>
  <c r="L540" i="41"/>
  <c r="J540" i="41"/>
  <c r="I540" i="41"/>
  <c r="E540" i="41"/>
  <c r="G539" i="41"/>
  <c r="G538" i="41"/>
  <c r="G537" i="41"/>
  <c r="G536" i="41"/>
  <c r="G535" i="41"/>
  <c r="G534" i="41"/>
  <c r="G533" i="41"/>
  <c r="G532" i="41"/>
  <c r="Q531" i="41"/>
  <c r="O531" i="41"/>
  <c r="N531" i="41"/>
  <c r="L531" i="41"/>
  <c r="J531" i="41"/>
  <c r="I531" i="41"/>
  <c r="E531" i="41"/>
  <c r="G530" i="41"/>
  <c r="G529" i="41"/>
  <c r="G528" i="41"/>
  <c r="G527" i="41"/>
  <c r="G526" i="41"/>
  <c r="G525" i="41"/>
  <c r="G524" i="41"/>
  <c r="G523" i="41"/>
  <c r="G518" i="41"/>
  <c r="Q517" i="41"/>
  <c r="O517" i="41"/>
  <c r="N517" i="41"/>
  <c r="L517" i="41"/>
  <c r="J517" i="41"/>
  <c r="J516" i="41" s="1"/>
  <c r="I517" i="41"/>
  <c r="E517" i="41"/>
  <c r="G515" i="41"/>
  <c r="Q514" i="41"/>
  <c r="O514" i="41"/>
  <c r="N514" i="41"/>
  <c r="L514" i="41"/>
  <c r="J514" i="41"/>
  <c r="I514" i="41"/>
  <c r="E514" i="41"/>
  <c r="G513" i="41"/>
  <c r="Q512" i="41"/>
  <c r="O512" i="41"/>
  <c r="N512" i="41"/>
  <c r="L512" i="41"/>
  <c r="J512" i="41"/>
  <c r="I512" i="41"/>
  <c r="E512" i="41"/>
  <c r="G511" i="41"/>
  <c r="Q510" i="41"/>
  <c r="O510" i="41"/>
  <c r="N510" i="41"/>
  <c r="L510" i="41"/>
  <c r="J510" i="41"/>
  <c r="I510" i="41"/>
  <c r="E510" i="41"/>
  <c r="G509" i="41"/>
  <c r="G508" i="41"/>
  <c r="G507" i="41"/>
  <c r="G506" i="41"/>
  <c r="G505" i="41"/>
  <c r="G504" i="41"/>
  <c r="G503" i="41"/>
  <c r="Q502" i="41"/>
  <c r="O502" i="41"/>
  <c r="N502" i="41"/>
  <c r="L502" i="41"/>
  <c r="J502" i="41"/>
  <c r="I502" i="41"/>
  <c r="E502" i="41"/>
  <c r="G501" i="41"/>
  <c r="G500" i="41"/>
  <c r="G499" i="41"/>
  <c r="G498" i="41"/>
  <c r="G497" i="41"/>
  <c r="G496" i="41"/>
  <c r="G491" i="41"/>
  <c r="G490" i="41"/>
  <c r="G489" i="41"/>
  <c r="Q488" i="41"/>
  <c r="O488" i="41"/>
  <c r="N488" i="41"/>
  <c r="L488" i="41"/>
  <c r="J488" i="41"/>
  <c r="I488" i="41"/>
  <c r="E488" i="41"/>
  <c r="G485" i="41"/>
  <c r="Q484" i="41"/>
  <c r="Q483" i="41" s="1"/>
  <c r="O484" i="41"/>
  <c r="O483" i="41" s="1"/>
  <c r="N484" i="41"/>
  <c r="N483" i="41" s="1"/>
  <c r="L484" i="41"/>
  <c r="L483" i="41" s="1"/>
  <c r="J484" i="41"/>
  <c r="J483" i="41" s="1"/>
  <c r="I484" i="41"/>
  <c r="I483" i="41" s="1"/>
  <c r="E484" i="41"/>
  <c r="E483" i="41" s="1"/>
  <c r="G482" i="41"/>
  <c r="G481" i="41"/>
  <c r="Q480" i="41"/>
  <c r="O480" i="41"/>
  <c r="N480" i="41"/>
  <c r="L480" i="41"/>
  <c r="J480" i="41"/>
  <c r="I480" i="41"/>
  <c r="E480" i="41"/>
  <c r="G479" i="41"/>
  <c r="Q478" i="41"/>
  <c r="O478" i="41"/>
  <c r="N478" i="41"/>
  <c r="L478" i="41"/>
  <c r="J478" i="41"/>
  <c r="I478" i="41"/>
  <c r="E478" i="41"/>
  <c r="G477" i="41"/>
  <c r="Q476" i="41"/>
  <c r="O476" i="41"/>
  <c r="N476" i="41"/>
  <c r="L476" i="41"/>
  <c r="J476" i="41"/>
  <c r="I476" i="41"/>
  <c r="E476" i="41"/>
  <c r="G474" i="41"/>
  <c r="Q473" i="41"/>
  <c r="Q472" i="41" s="1"/>
  <c r="O473" i="41"/>
  <c r="O472" i="41" s="1"/>
  <c r="N473" i="41"/>
  <c r="N472" i="41" s="1"/>
  <c r="L473" i="41"/>
  <c r="L472" i="41" s="1"/>
  <c r="J473" i="41"/>
  <c r="J472" i="41" s="1"/>
  <c r="I473" i="41"/>
  <c r="I472" i="41" s="1"/>
  <c r="E473" i="41"/>
  <c r="E472" i="41" s="1"/>
  <c r="G471" i="41"/>
  <c r="Q470" i="41"/>
  <c r="O470" i="41"/>
  <c r="N470" i="41"/>
  <c r="L470" i="41"/>
  <c r="J470" i="41"/>
  <c r="I470" i="41"/>
  <c r="E470" i="41"/>
  <c r="G469" i="41"/>
  <c r="G468" i="41"/>
  <c r="G463" i="41"/>
  <c r="Q462" i="41"/>
  <c r="O462" i="41"/>
  <c r="N462" i="41"/>
  <c r="L462" i="41"/>
  <c r="J462" i="41"/>
  <c r="I462" i="41"/>
  <c r="E462" i="41"/>
  <c r="G461" i="41"/>
  <c r="Q460" i="41"/>
  <c r="O460" i="41"/>
  <c r="N460" i="41"/>
  <c r="L460" i="41"/>
  <c r="J460" i="41"/>
  <c r="I460" i="41"/>
  <c r="E460" i="41"/>
  <c r="G458" i="41"/>
  <c r="G457" i="41" s="1"/>
  <c r="F458" i="41"/>
  <c r="F457" i="41" s="1"/>
  <c r="Q457" i="41"/>
  <c r="P457" i="41"/>
  <c r="O457" i="41"/>
  <c r="N457" i="41"/>
  <c r="M457" i="41"/>
  <c r="L457" i="41"/>
  <c r="K457" i="41"/>
  <c r="J457" i="41"/>
  <c r="I457" i="41"/>
  <c r="H457" i="41"/>
  <c r="E457" i="41"/>
  <c r="G456" i="41"/>
  <c r="Q455" i="41"/>
  <c r="O455" i="41"/>
  <c r="N455" i="41"/>
  <c r="L455" i="41"/>
  <c r="J455" i="41"/>
  <c r="I455" i="41"/>
  <c r="E455" i="41"/>
  <c r="G454" i="41"/>
  <c r="Q453" i="41"/>
  <c r="O453" i="41"/>
  <c r="N453" i="41"/>
  <c r="L453" i="41"/>
  <c r="J453" i="41"/>
  <c r="I453" i="41"/>
  <c r="E453" i="41"/>
  <c r="G452" i="41"/>
  <c r="G451" i="41"/>
  <c r="G450" i="41"/>
  <c r="G449" i="41"/>
  <c r="G448" i="41"/>
  <c r="F448" i="41"/>
  <c r="G447" i="41"/>
  <c r="G446" i="41"/>
  <c r="AB445" i="41"/>
  <c r="P445" i="41"/>
  <c r="P442" i="41" s="1"/>
  <c r="F444" i="41"/>
  <c r="G443" i="41"/>
  <c r="Q442" i="41"/>
  <c r="O442" i="41"/>
  <c r="N442" i="41"/>
  <c r="M442" i="41"/>
  <c r="L442" i="41"/>
  <c r="K442" i="41"/>
  <c r="J442" i="41"/>
  <c r="I442" i="41"/>
  <c r="H442" i="41"/>
  <c r="E442" i="41"/>
  <c r="G441" i="41"/>
  <c r="G440" i="41"/>
  <c r="F440" i="41"/>
  <c r="F437" i="41" s="1"/>
  <c r="G439" i="41"/>
  <c r="G438" i="41"/>
  <c r="Q437" i="41"/>
  <c r="P437" i="41"/>
  <c r="O437" i="41"/>
  <c r="N437" i="41"/>
  <c r="M437" i="41"/>
  <c r="L437" i="41"/>
  <c r="K437" i="41"/>
  <c r="J437" i="41"/>
  <c r="I437" i="41"/>
  <c r="H437" i="41"/>
  <c r="E437" i="41"/>
  <c r="G434" i="41"/>
  <c r="Q433" i="41"/>
  <c r="O433" i="41"/>
  <c r="N433" i="41"/>
  <c r="L433" i="41"/>
  <c r="J433" i="41"/>
  <c r="I433" i="41"/>
  <c r="E433" i="41"/>
  <c r="G428" i="41"/>
  <c r="Q427" i="41"/>
  <c r="O427" i="41"/>
  <c r="N427" i="41"/>
  <c r="L427" i="41"/>
  <c r="J427" i="41"/>
  <c r="I427" i="41"/>
  <c r="E427" i="41"/>
  <c r="G426" i="41"/>
  <c r="G425" i="41"/>
  <c r="Q424" i="41"/>
  <c r="O424" i="41"/>
  <c r="N424" i="41"/>
  <c r="L424" i="41"/>
  <c r="J424" i="41"/>
  <c r="I424" i="41"/>
  <c r="E424" i="41"/>
  <c r="G423" i="41"/>
  <c r="G422" i="41" s="1"/>
  <c r="F423" i="41"/>
  <c r="F422" i="41" s="1"/>
  <c r="Q422" i="41"/>
  <c r="P422" i="41"/>
  <c r="O422" i="41"/>
  <c r="N422" i="41"/>
  <c r="M422" i="41"/>
  <c r="L422" i="41"/>
  <c r="K422" i="41"/>
  <c r="J422" i="41"/>
  <c r="I422" i="41"/>
  <c r="H422" i="41"/>
  <c r="E422" i="41"/>
  <c r="G421" i="41"/>
  <c r="F421" i="41"/>
  <c r="W420" i="41"/>
  <c r="G420" i="41"/>
  <c r="F420" i="41"/>
  <c r="G419" i="41"/>
  <c r="F419" i="41"/>
  <c r="Q418" i="41"/>
  <c r="P418" i="41"/>
  <c r="O418" i="41"/>
  <c r="N418" i="41"/>
  <c r="M418" i="41"/>
  <c r="M547" i="41" s="1"/>
  <c r="L418" i="41"/>
  <c r="K418" i="41"/>
  <c r="J418" i="41"/>
  <c r="I418" i="41"/>
  <c r="H418" i="41"/>
  <c r="E418" i="41"/>
  <c r="G417" i="41"/>
  <c r="F417" i="41"/>
  <c r="F415" i="41" s="1"/>
  <c r="G416" i="41"/>
  <c r="Q415" i="41"/>
  <c r="P415" i="41"/>
  <c r="O415" i="41"/>
  <c r="N415" i="41"/>
  <c r="M415" i="41"/>
  <c r="L415" i="41"/>
  <c r="K415" i="41"/>
  <c r="J415" i="41"/>
  <c r="I415" i="41"/>
  <c r="H415" i="41"/>
  <c r="E415" i="41"/>
  <c r="G413" i="41"/>
  <c r="G412" i="41"/>
  <c r="G411" i="41"/>
  <c r="G410" i="41"/>
  <c r="G409" i="41"/>
  <c r="G408" i="41"/>
  <c r="G407" i="41"/>
  <c r="G406" i="41"/>
  <c r="G405" i="41"/>
  <c r="Q400" i="41"/>
  <c r="O400" i="41"/>
  <c r="N400" i="41"/>
  <c r="L400" i="41"/>
  <c r="J400" i="41"/>
  <c r="I400" i="41"/>
  <c r="E400" i="41"/>
  <c r="G399" i="41"/>
  <c r="G398" i="41"/>
  <c r="G397" i="41"/>
  <c r="Q396" i="41"/>
  <c r="O396" i="41"/>
  <c r="N396" i="41"/>
  <c r="L396" i="41"/>
  <c r="J396" i="41"/>
  <c r="I396" i="41"/>
  <c r="E396" i="41"/>
  <c r="G394" i="41"/>
  <c r="G393" i="41"/>
  <c r="F393" i="41"/>
  <c r="F392" i="41" s="1"/>
  <c r="F375" i="41" s="1"/>
  <c r="Q392" i="41"/>
  <c r="P392" i="41"/>
  <c r="P375" i="41" s="1"/>
  <c r="O392" i="41"/>
  <c r="N392" i="41"/>
  <c r="M392" i="41"/>
  <c r="M375" i="41" s="1"/>
  <c r="L392" i="41"/>
  <c r="K392" i="41"/>
  <c r="K375" i="41" s="1"/>
  <c r="J392" i="41"/>
  <c r="I392" i="41"/>
  <c r="H392" i="41"/>
  <c r="H375" i="41" s="1"/>
  <c r="E392" i="41"/>
  <c r="G391" i="41"/>
  <c r="G390" i="41"/>
  <c r="Q389" i="41"/>
  <c r="O389" i="41"/>
  <c r="N389" i="41"/>
  <c r="L389" i="41"/>
  <c r="J389" i="41"/>
  <c r="I389" i="41"/>
  <c r="E389" i="41"/>
  <c r="G388" i="41"/>
  <c r="G387" i="41"/>
  <c r="Q386" i="41"/>
  <c r="O386" i="41"/>
  <c r="N386" i="41"/>
  <c r="L386" i="41"/>
  <c r="J386" i="41"/>
  <c r="I386" i="41"/>
  <c r="E386" i="41"/>
  <c r="G385" i="41"/>
  <c r="G384" i="41"/>
  <c r="Q383" i="41"/>
  <c r="O383" i="41"/>
  <c r="N383" i="41"/>
  <c r="L383" i="41"/>
  <c r="J383" i="41"/>
  <c r="I383" i="41"/>
  <c r="E383" i="41"/>
  <c r="G382" i="41"/>
  <c r="G381" i="41"/>
  <c r="Q380" i="41"/>
  <c r="O380" i="41"/>
  <c r="N380" i="41"/>
  <c r="L380" i="41"/>
  <c r="J380" i="41"/>
  <c r="I380" i="41"/>
  <c r="E380" i="41"/>
  <c r="G374" i="41"/>
  <c r="G373" i="41"/>
  <c r="Q372" i="41"/>
  <c r="O372" i="41"/>
  <c r="N372" i="41"/>
  <c r="L372" i="41"/>
  <c r="J372" i="41"/>
  <c r="I372" i="41"/>
  <c r="E372" i="41"/>
  <c r="G371" i="41"/>
  <c r="G370" i="41"/>
  <c r="Q369" i="41"/>
  <c r="O369" i="41"/>
  <c r="N369" i="41"/>
  <c r="L369" i="41"/>
  <c r="J369" i="41"/>
  <c r="I369" i="41"/>
  <c r="E369" i="41"/>
  <c r="G368" i="41"/>
  <c r="G367" i="41"/>
  <c r="Q366" i="41"/>
  <c r="O366" i="41"/>
  <c r="N366" i="41"/>
  <c r="L366" i="41"/>
  <c r="J366" i="41"/>
  <c r="I366" i="41"/>
  <c r="E366" i="41"/>
  <c r="G365" i="41"/>
  <c r="G364" i="41"/>
  <c r="Q363" i="41"/>
  <c r="O363" i="41"/>
  <c r="N363" i="41"/>
  <c r="L363" i="41"/>
  <c r="J363" i="41"/>
  <c r="I363" i="41"/>
  <c r="E363" i="41"/>
  <c r="G361" i="41"/>
  <c r="G360" i="41"/>
  <c r="G359" i="41"/>
  <c r="Q358" i="41"/>
  <c r="O358" i="41"/>
  <c r="N358" i="41"/>
  <c r="L358" i="41"/>
  <c r="J358" i="41"/>
  <c r="I358" i="41"/>
  <c r="E358" i="41"/>
  <c r="G357" i="41"/>
  <c r="Q356" i="41"/>
  <c r="O356" i="41"/>
  <c r="N356" i="41"/>
  <c r="L356" i="41"/>
  <c r="J356" i="41"/>
  <c r="I356" i="41"/>
  <c r="E356" i="41"/>
  <c r="G355" i="41"/>
  <c r="G354" i="41"/>
  <c r="G349" i="41"/>
  <c r="G348" i="41"/>
  <c r="G347" i="41"/>
  <c r="G346" i="41"/>
  <c r="Q345" i="41"/>
  <c r="O345" i="41"/>
  <c r="N345" i="41"/>
  <c r="L345" i="41"/>
  <c r="J345" i="41"/>
  <c r="I345" i="41"/>
  <c r="E345" i="41"/>
  <c r="G344" i="41"/>
  <c r="G343" i="41"/>
  <c r="G342" i="41"/>
  <c r="G341" i="41"/>
  <c r="G340" i="41"/>
  <c r="F340" i="41"/>
  <c r="G339" i="41"/>
  <c r="G338" i="41"/>
  <c r="G337" i="41"/>
  <c r="G336" i="41"/>
  <c r="Q335" i="41"/>
  <c r="P335" i="41"/>
  <c r="P334" i="41" s="1"/>
  <c r="O335" i="41"/>
  <c r="N335" i="41"/>
  <c r="M335" i="41"/>
  <c r="M334" i="41" s="1"/>
  <c r="L335" i="41"/>
  <c r="K335" i="41"/>
  <c r="K334" i="41" s="1"/>
  <c r="J335" i="41"/>
  <c r="I335" i="41"/>
  <c r="H335" i="41"/>
  <c r="H334" i="41" s="1"/>
  <c r="F335" i="41"/>
  <c r="F334" i="41" s="1"/>
  <c r="E335" i="41"/>
  <c r="G333" i="41"/>
  <c r="Q332" i="41"/>
  <c r="O332" i="41"/>
  <c r="N332" i="41"/>
  <c r="L332" i="41"/>
  <c r="J332" i="41"/>
  <c r="I332" i="41"/>
  <c r="E332" i="41"/>
  <c r="G331" i="41"/>
  <c r="G330" i="41"/>
  <c r="G329" i="41"/>
  <c r="Q328" i="41"/>
  <c r="O328" i="41"/>
  <c r="N328" i="41"/>
  <c r="L328" i="41"/>
  <c r="J328" i="41"/>
  <c r="I328" i="41"/>
  <c r="E328" i="41"/>
  <c r="G327" i="41"/>
  <c r="Q326" i="41"/>
  <c r="O326" i="41"/>
  <c r="N326" i="41"/>
  <c r="L326" i="41"/>
  <c r="J326" i="41"/>
  <c r="I326" i="41"/>
  <c r="E326" i="41"/>
  <c r="G325" i="41"/>
  <c r="Q324" i="41"/>
  <c r="O324" i="41"/>
  <c r="N324" i="41"/>
  <c r="L324" i="41"/>
  <c r="J324" i="41"/>
  <c r="I324" i="41"/>
  <c r="E324" i="41"/>
  <c r="G319" i="41"/>
  <c r="G318" i="41"/>
  <c r="G317" i="41"/>
  <c r="Q316" i="41"/>
  <c r="O316" i="41"/>
  <c r="N316" i="41"/>
  <c r="L316" i="41"/>
  <c r="J316" i="41"/>
  <c r="I316" i="41"/>
  <c r="E316" i="41"/>
  <c r="AE314" i="41"/>
  <c r="AF314" i="41" s="1"/>
  <c r="W314" i="41"/>
  <c r="U314" i="41"/>
  <c r="P314" i="41"/>
  <c r="G314" i="41" s="1"/>
  <c r="AE313" i="41"/>
  <c r="AF313" i="41" s="1"/>
  <c r="W313" i="41"/>
  <c r="N313" i="41"/>
  <c r="G313" i="41" s="1"/>
  <c r="F313" i="41"/>
  <c r="M312" i="41"/>
  <c r="G312" i="41"/>
  <c r="F311" i="41"/>
  <c r="M310" i="41"/>
  <c r="M309" i="41"/>
  <c r="M308" i="41"/>
  <c r="F306" i="41"/>
  <c r="F305" i="41"/>
  <c r="P303" i="41"/>
  <c r="P301" i="41" s="1"/>
  <c r="P294" i="41" s="1"/>
  <c r="M303" i="41"/>
  <c r="F302" i="41"/>
  <c r="O301" i="41"/>
  <c r="N301" i="41"/>
  <c r="N294" i="41" s="1"/>
  <c r="F300" i="41"/>
  <c r="M299" i="41"/>
  <c r="F298" i="41"/>
  <c r="F297" i="41"/>
  <c r="F296" i="41"/>
  <c r="O294" i="41"/>
  <c r="O287" i="41" s="1"/>
  <c r="G293" i="41"/>
  <c r="G292" i="41"/>
  <c r="G291" i="41"/>
  <c r="F291" i="41"/>
  <c r="F290" i="41"/>
  <c r="G289" i="41"/>
  <c r="AE288" i="41"/>
  <c r="AF288" i="41" s="1"/>
  <c r="W288" i="41"/>
  <c r="P288" i="41"/>
  <c r="Q287" i="41"/>
  <c r="L287" i="41"/>
  <c r="K287" i="41"/>
  <c r="J287" i="41"/>
  <c r="I287" i="41"/>
  <c r="H287" i="41"/>
  <c r="E287" i="41"/>
  <c r="AE286" i="41"/>
  <c r="AF286" i="41" s="1"/>
  <c r="W286" i="41"/>
  <c r="G286" i="41"/>
  <c r="F286" i="41"/>
  <c r="AF285" i="41"/>
  <c r="Q284" i="41"/>
  <c r="P284" i="41"/>
  <c r="O284" i="41"/>
  <c r="N284" i="41"/>
  <c r="M284" i="41"/>
  <c r="T284" i="41" s="1"/>
  <c r="L284" i="41"/>
  <c r="K284" i="41"/>
  <c r="J284" i="41"/>
  <c r="I284" i="41"/>
  <c r="H284" i="41"/>
  <c r="E284" i="41"/>
  <c r="AF283" i="41"/>
  <c r="G283" i="41"/>
  <c r="G282" i="41"/>
  <c r="G281" i="41"/>
  <c r="G280" i="41"/>
  <c r="AE279" i="41"/>
  <c r="W279" i="41"/>
  <c r="G279" i="41"/>
  <c r="G278" i="41"/>
  <c r="G277" i="41"/>
  <c r="Q276" i="41"/>
  <c r="P276" i="41"/>
  <c r="O276" i="41"/>
  <c r="N276" i="41"/>
  <c r="L276" i="41"/>
  <c r="K276" i="41"/>
  <c r="J276" i="41"/>
  <c r="I276" i="41"/>
  <c r="E276" i="41"/>
  <c r="F275" i="41"/>
  <c r="F270" i="41"/>
  <c r="F268" i="41"/>
  <c r="AF267" i="41"/>
  <c r="F267" i="41"/>
  <c r="AE266" i="41"/>
  <c r="AF266" i="41" s="1"/>
  <c r="W266" i="41"/>
  <c r="F266" i="41"/>
  <c r="AF265" i="41"/>
  <c r="G265" i="41"/>
  <c r="F265" i="41"/>
  <c r="G264" i="41"/>
  <c r="Q263" i="41"/>
  <c r="P263" i="41"/>
  <c r="O263" i="41"/>
  <c r="N263" i="41"/>
  <c r="M263" i="41"/>
  <c r="T263" i="41" s="1"/>
  <c r="L263" i="41"/>
  <c r="K263" i="41"/>
  <c r="J263" i="41"/>
  <c r="I263" i="41"/>
  <c r="H263" i="41"/>
  <c r="E263" i="41"/>
  <c r="G262" i="41"/>
  <c r="G261" i="41"/>
  <c r="G260" i="41"/>
  <c r="G259" i="41"/>
  <c r="W258" i="41"/>
  <c r="F258" i="41"/>
  <c r="F257" i="41" s="1"/>
  <c r="Q257" i="41"/>
  <c r="P257" i="41"/>
  <c r="O257" i="41"/>
  <c r="N257" i="41"/>
  <c r="L257" i="41"/>
  <c r="K257" i="41"/>
  <c r="J257" i="41"/>
  <c r="I257" i="41"/>
  <c r="H257" i="41"/>
  <c r="E257" i="41"/>
  <c r="G256" i="41"/>
  <c r="G255" i="41"/>
  <c r="AE254" i="41"/>
  <c r="W254" i="41"/>
  <c r="P254" i="41"/>
  <c r="AE253" i="41"/>
  <c r="AF253" i="41" s="1"/>
  <c r="W253" i="41"/>
  <c r="G253" i="41"/>
  <c r="F253" i="41"/>
  <c r="AE252" i="41"/>
  <c r="AF252" i="41" s="1"/>
  <c r="W252" i="41"/>
  <c r="G252" i="41"/>
  <c r="F252" i="41"/>
  <c r="M251" i="41"/>
  <c r="AF250" i="41"/>
  <c r="G250" i="41"/>
  <c r="F250" i="41"/>
  <c r="Q249" i="41"/>
  <c r="O249" i="41"/>
  <c r="N249" i="41"/>
  <c r="L249" i="41"/>
  <c r="K249" i="41"/>
  <c r="J249" i="41"/>
  <c r="I249" i="41"/>
  <c r="H249" i="41"/>
  <c r="E249" i="41"/>
  <c r="G247" i="41"/>
  <c r="Q246" i="41"/>
  <c r="O246" i="41"/>
  <c r="N246" i="41"/>
  <c r="L246" i="41"/>
  <c r="J246" i="41"/>
  <c r="I246" i="41"/>
  <c r="E246" i="41"/>
  <c r="G245" i="41"/>
  <c r="Q244" i="41"/>
  <c r="O244" i="41"/>
  <c r="N244" i="41"/>
  <c r="L244" i="41"/>
  <c r="J244" i="41"/>
  <c r="I244" i="41"/>
  <c r="E244" i="41"/>
  <c r="G243" i="41"/>
  <c r="G242" i="41" s="1"/>
  <c r="F243" i="41"/>
  <c r="F242" i="41" s="1"/>
  <c r="Q242" i="41"/>
  <c r="P242" i="41"/>
  <c r="O242" i="41"/>
  <c r="N242" i="41"/>
  <c r="M242" i="41"/>
  <c r="L242" i="41"/>
  <c r="K242" i="41"/>
  <c r="J242" i="41"/>
  <c r="I242" i="41"/>
  <c r="H242" i="41"/>
  <c r="E242" i="41"/>
  <c r="G241" i="41"/>
  <c r="G240" i="41" s="1"/>
  <c r="F241" i="41"/>
  <c r="F240" i="41" s="1"/>
  <c r="Q240" i="41"/>
  <c r="P240" i="41"/>
  <c r="O240" i="41"/>
  <c r="N240" i="41"/>
  <c r="M240" i="41"/>
  <c r="L240" i="41"/>
  <c r="K240" i="41"/>
  <c r="J240" i="41"/>
  <c r="I240" i="41"/>
  <c r="H240" i="41"/>
  <c r="E240" i="41"/>
  <c r="G233" i="41"/>
  <c r="G232" i="41"/>
  <c r="Q231" i="41"/>
  <c r="O231" i="41"/>
  <c r="N231" i="41"/>
  <c r="L231" i="41"/>
  <c r="K231" i="41"/>
  <c r="J231" i="41"/>
  <c r="I231" i="41"/>
  <c r="H231" i="41"/>
  <c r="E231" i="41"/>
  <c r="G230" i="41"/>
  <c r="Q229" i="41"/>
  <c r="O229" i="41"/>
  <c r="N229" i="41"/>
  <c r="L229" i="41"/>
  <c r="J229" i="41"/>
  <c r="I229" i="41"/>
  <c r="E229" i="41"/>
  <c r="G228" i="41"/>
  <c r="N227" i="41"/>
  <c r="G227" i="41" s="1"/>
  <c r="F227" i="41"/>
  <c r="E227" i="41"/>
  <c r="N226" i="41"/>
  <c r="G226" i="41" s="1"/>
  <c r="F226" i="41"/>
  <c r="E226" i="41"/>
  <c r="E225" i="41" s="1"/>
  <c r="Q225" i="41"/>
  <c r="P225" i="41"/>
  <c r="O225" i="41"/>
  <c r="M225" i="41"/>
  <c r="L225" i="41"/>
  <c r="K225" i="41"/>
  <c r="J225" i="41"/>
  <c r="I225" i="41"/>
  <c r="H225" i="41"/>
  <c r="Z224" i="41"/>
  <c r="N224" i="41"/>
  <c r="G224" i="41" s="1"/>
  <c r="G223" i="41" s="1"/>
  <c r="F224" i="41"/>
  <c r="F223" i="41" s="1"/>
  <c r="E224" i="41"/>
  <c r="E223" i="41" s="1"/>
  <c r="Q223" i="41"/>
  <c r="P223" i="41"/>
  <c r="O223" i="41"/>
  <c r="M223" i="41"/>
  <c r="L223" i="41"/>
  <c r="K223" i="41"/>
  <c r="J223" i="41"/>
  <c r="I223" i="41"/>
  <c r="H223" i="41"/>
  <c r="G210" i="41"/>
  <c r="G209" i="41"/>
  <c r="G208" i="41"/>
  <c r="G203" i="41"/>
  <c r="G202" i="41"/>
  <c r="G201" i="41"/>
  <c r="G200" i="41"/>
  <c r="G199" i="41"/>
  <c r="Q198" i="41"/>
  <c r="O198" i="41"/>
  <c r="N198" i="41"/>
  <c r="L198" i="41"/>
  <c r="J198" i="41"/>
  <c r="I198" i="41"/>
  <c r="E198" i="41"/>
  <c r="G197" i="41"/>
  <c r="G196" i="41"/>
  <c r="G195" i="41"/>
  <c r="G194" i="41"/>
  <c r="G193" i="41"/>
  <c r="G192" i="41"/>
  <c r="G191" i="41"/>
  <c r="G190" i="41"/>
  <c r="G189" i="41"/>
  <c r="Q188" i="41"/>
  <c r="O188" i="41"/>
  <c r="O187" i="41" s="1"/>
  <c r="N188" i="41"/>
  <c r="N187" i="41" s="1"/>
  <c r="L188" i="41"/>
  <c r="J188" i="41"/>
  <c r="J187" i="41" s="1"/>
  <c r="I188" i="41"/>
  <c r="I187" i="41" s="1"/>
  <c r="E188" i="41"/>
  <c r="E187" i="41" s="1"/>
  <c r="G186" i="41"/>
  <c r="G181" i="41"/>
  <c r="G180" i="41"/>
  <c r="G179" i="41"/>
  <c r="G178" i="41"/>
  <c r="G177" i="41"/>
  <c r="G176" i="41"/>
  <c r="Q175" i="41"/>
  <c r="O175" i="41"/>
  <c r="N175" i="41"/>
  <c r="L175" i="41"/>
  <c r="J175" i="41"/>
  <c r="I175" i="41"/>
  <c r="E175" i="41"/>
  <c r="G174" i="41"/>
  <c r="G173" i="41"/>
  <c r="G172" i="41"/>
  <c r="G171" i="41"/>
  <c r="G170" i="41"/>
  <c r="G169" i="41"/>
  <c r="G168" i="41"/>
  <c r="G167" i="41"/>
  <c r="G166" i="41"/>
  <c r="Q165" i="41"/>
  <c r="O165" i="41"/>
  <c r="O164" i="41" s="1"/>
  <c r="N165" i="41"/>
  <c r="L165" i="41"/>
  <c r="J165" i="41"/>
  <c r="J164" i="41" s="1"/>
  <c r="I165" i="41"/>
  <c r="E165" i="41"/>
  <c r="E164" i="41" s="1"/>
  <c r="G162" i="41"/>
  <c r="Q161" i="41"/>
  <c r="O161" i="41"/>
  <c r="N161" i="41"/>
  <c r="L161" i="41"/>
  <c r="J161" i="41"/>
  <c r="I161" i="41"/>
  <c r="E161" i="41"/>
  <c r="G160" i="41"/>
  <c r="Q155" i="41"/>
  <c r="O155" i="41"/>
  <c r="N155" i="41"/>
  <c r="L155" i="41"/>
  <c r="J155" i="41"/>
  <c r="I155" i="41"/>
  <c r="E155" i="41"/>
  <c r="G154" i="41"/>
  <c r="Q153" i="41"/>
  <c r="O153" i="41"/>
  <c r="N153" i="41"/>
  <c r="L153" i="41"/>
  <c r="J153" i="41"/>
  <c r="J152" i="41" s="1"/>
  <c r="I153" i="41"/>
  <c r="E153" i="41"/>
  <c r="G151" i="41"/>
  <c r="Q150" i="41"/>
  <c r="Q149" i="41" s="1"/>
  <c r="O150" i="41"/>
  <c r="O149" i="41" s="1"/>
  <c r="N150" i="41"/>
  <c r="N149" i="41" s="1"/>
  <c r="L150" i="41"/>
  <c r="J150" i="41"/>
  <c r="J149" i="41" s="1"/>
  <c r="I150" i="41"/>
  <c r="I149" i="41" s="1"/>
  <c r="E150" i="41"/>
  <c r="E149" i="41" s="1"/>
  <c r="G148" i="41"/>
  <c r="Q147" i="41"/>
  <c r="O147" i="41"/>
  <c r="N147" i="41"/>
  <c r="L147" i="41"/>
  <c r="J147" i="41"/>
  <c r="I147" i="41"/>
  <c r="E147" i="41"/>
  <c r="G146" i="41"/>
  <c r="Q145" i="41"/>
  <c r="O145" i="41"/>
  <c r="N145" i="41"/>
  <c r="L145" i="41"/>
  <c r="J145" i="41"/>
  <c r="I145" i="41"/>
  <c r="E145" i="41"/>
  <c r="G144" i="41"/>
  <c r="Q143" i="41"/>
  <c r="Q142" i="41" s="1"/>
  <c r="O143" i="41"/>
  <c r="N143" i="41"/>
  <c r="L143" i="41"/>
  <c r="L142" i="41" s="1"/>
  <c r="J143" i="41"/>
  <c r="I143" i="41"/>
  <c r="E143" i="41"/>
  <c r="G141" i="41"/>
  <c r="Q140" i="41"/>
  <c r="O140" i="41"/>
  <c r="N140" i="41"/>
  <c r="L140" i="41"/>
  <c r="J140" i="41"/>
  <c r="I140" i="41"/>
  <c r="E140" i="41"/>
  <c r="Q138" i="41"/>
  <c r="O138" i="41"/>
  <c r="N138" i="41"/>
  <c r="M138" i="41"/>
  <c r="M135" i="41" s="1"/>
  <c r="M134" i="41" s="1"/>
  <c r="L138" i="41"/>
  <c r="K138" i="41"/>
  <c r="K135" i="41" s="1"/>
  <c r="J138" i="41"/>
  <c r="I138" i="41"/>
  <c r="H138" i="41"/>
  <c r="H135" i="41" s="1"/>
  <c r="H134" i="41" s="1"/>
  <c r="E138" i="41"/>
  <c r="G137" i="41"/>
  <c r="F137" i="41"/>
  <c r="Q136" i="41"/>
  <c r="O136" i="41"/>
  <c r="N136" i="41"/>
  <c r="L136" i="41"/>
  <c r="J136" i="41"/>
  <c r="I136" i="41"/>
  <c r="F136" i="41"/>
  <c r="E136" i="41"/>
  <c r="F132" i="41"/>
  <c r="F131" i="41"/>
  <c r="F130" i="41"/>
  <c r="F129" i="41"/>
  <c r="Q128" i="41"/>
  <c r="Q127" i="41" s="1"/>
  <c r="P128" i="41"/>
  <c r="P127" i="41" s="1"/>
  <c r="O128" i="41"/>
  <c r="O127" i="41" s="1"/>
  <c r="N128" i="41"/>
  <c r="N127" i="41" s="1"/>
  <c r="M128" i="41"/>
  <c r="L128" i="41"/>
  <c r="L127" i="41" s="1"/>
  <c r="K128" i="41"/>
  <c r="K127" i="41" s="1"/>
  <c r="J128" i="41"/>
  <c r="J127" i="41" s="1"/>
  <c r="I128" i="41"/>
  <c r="I127" i="41" s="1"/>
  <c r="E128" i="41"/>
  <c r="E127" i="41" s="1"/>
  <c r="G126" i="41"/>
  <c r="F126" i="41"/>
  <c r="G125" i="41"/>
  <c r="Q124" i="41"/>
  <c r="Q123" i="41" s="1"/>
  <c r="P124" i="41"/>
  <c r="P123" i="41" s="1"/>
  <c r="O124" i="41"/>
  <c r="O123" i="41" s="1"/>
  <c r="N124" i="41"/>
  <c r="N123" i="41" s="1"/>
  <c r="L124" i="41"/>
  <c r="L123" i="41" s="1"/>
  <c r="L121" i="41" s="1"/>
  <c r="K124" i="41"/>
  <c r="K123" i="41" s="1"/>
  <c r="K121" i="41" s="1"/>
  <c r="J124" i="41"/>
  <c r="J123" i="41" s="1"/>
  <c r="J121" i="41" s="1"/>
  <c r="I124" i="41"/>
  <c r="I123" i="41" s="1"/>
  <c r="I121" i="41" s="1"/>
  <c r="H124" i="41"/>
  <c r="H123" i="41" s="1"/>
  <c r="H121" i="41" s="1"/>
  <c r="E124" i="41"/>
  <c r="E123" i="41" s="1"/>
  <c r="E121" i="41" s="1"/>
  <c r="F122" i="41"/>
  <c r="P121" i="41"/>
  <c r="G120" i="41"/>
  <c r="F120" i="41"/>
  <c r="Q119" i="41"/>
  <c r="O119" i="41"/>
  <c r="N119" i="41"/>
  <c r="L119" i="41"/>
  <c r="J119" i="41"/>
  <c r="I119" i="41"/>
  <c r="F119" i="41"/>
  <c r="E119" i="41"/>
  <c r="G118" i="41"/>
  <c r="F118" i="41"/>
  <c r="Q117" i="41"/>
  <c r="O117" i="41"/>
  <c r="N117" i="41"/>
  <c r="L117" i="41"/>
  <c r="J117" i="41"/>
  <c r="I117" i="41"/>
  <c r="F117" i="41"/>
  <c r="E117" i="41"/>
  <c r="F116" i="41"/>
  <c r="G115" i="41"/>
  <c r="F115" i="41"/>
  <c r="Q114" i="41"/>
  <c r="O114" i="41"/>
  <c r="N114" i="41"/>
  <c r="L114" i="41"/>
  <c r="J114" i="41"/>
  <c r="I114" i="41"/>
  <c r="F114" i="41"/>
  <c r="E114" i="41"/>
  <c r="G113" i="41"/>
  <c r="F113" i="41"/>
  <c r="G112" i="41"/>
  <c r="F112" i="41"/>
  <c r="Q111" i="41"/>
  <c r="P111" i="41"/>
  <c r="O111" i="41"/>
  <c r="N111" i="41"/>
  <c r="M111" i="41"/>
  <c r="L111" i="41"/>
  <c r="K111" i="41"/>
  <c r="J111" i="41"/>
  <c r="I111" i="41"/>
  <c r="H111" i="41"/>
  <c r="E111" i="41"/>
  <c r="G110" i="41"/>
  <c r="F110" i="41"/>
  <c r="G109" i="41"/>
  <c r="F109" i="41"/>
  <c r="G108" i="41"/>
  <c r="F108" i="41"/>
  <c r="G107" i="41"/>
  <c r="F107" i="41"/>
  <c r="G106" i="41"/>
  <c r="F106" i="41"/>
  <c r="G105" i="41"/>
  <c r="F105" i="41"/>
  <c r="F104" i="41"/>
  <c r="F103" i="41"/>
  <c r="F102" i="41"/>
  <c r="F101" i="41"/>
  <c r="Q100" i="41"/>
  <c r="O100" i="41"/>
  <c r="N100" i="41"/>
  <c r="L100" i="41"/>
  <c r="J100" i="41"/>
  <c r="I100" i="41"/>
  <c r="F100" i="41"/>
  <c r="E100" i="41"/>
  <c r="G99" i="41"/>
  <c r="F99" i="41"/>
  <c r="G98" i="41"/>
  <c r="F98" i="41"/>
  <c r="G97" i="41"/>
  <c r="F97" i="41"/>
  <c r="Q95" i="41"/>
  <c r="O95" i="41"/>
  <c r="N95" i="41"/>
  <c r="M95" i="41"/>
  <c r="L95" i="41"/>
  <c r="K95" i="41"/>
  <c r="J95" i="41"/>
  <c r="I95" i="41"/>
  <c r="H95" i="41"/>
  <c r="E95" i="41"/>
  <c r="G94" i="41"/>
  <c r="F94" i="41"/>
  <c r="G93" i="41"/>
  <c r="F93" i="41"/>
  <c r="M92" i="41"/>
  <c r="F92" i="41" s="1"/>
  <c r="G91" i="41"/>
  <c r="G90" i="41"/>
  <c r="G89" i="41"/>
  <c r="Q88" i="41"/>
  <c r="P88" i="41"/>
  <c r="O88" i="41"/>
  <c r="N88" i="41"/>
  <c r="L88" i="41"/>
  <c r="K88" i="41"/>
  <c r="J88" i="41"/>
  <c r="I88" i="41"/>
  <c r="H88" i="41"/>
  <c r="E88" i="41"/>
  <c r="G86" i="41"/>
  <c r="G85" i="41"/>
  <c r="Q84" i="41"/>
  <c r="O84" i="41"/>
  <c r="N84" i="41"/>
  <c r="L84" i="41"/>
  <c r="J84" i="41"/>
  <c r="I84" i="41"/>
  <c r="E84" i="41"/>
  <c r="G83" i="41"/>
  <c r="G82" i="41"/>
  <c r="G81" i="41"/>
  <c r="G80" i="41"/>
  <c r="Q79" i="41"/>
  <c r="O79" i="41"/>
  <c r="N79" i="41"/>
  <c r="L79" i="41"/>
  <c r="J79" i="41"/>
  <c r="I79" i="41"/>
  <c r="E79" i="41"/>
  <c r="G78" i="41"/>
  <c r="G77" i="41"/>
  <c r="Q76" i="41"/>
  <c r="O76" i="41"/>
  <c r="N76" i="41"/>
  <c r="L76" i="41"/>
  <c r="J76" i="41"/>
  <c r="I76" i="41"/>
  <c r="E76" i="41"/>
  <c r="G70" i="41"/>
  <c r="G69" i="41"/>
  <c r="G68" i="41"/>
  <c r="Q67" i="41"/>
  <c r="O67" i="41"/>
  <c r="N67" i="41"/>
  <c r="L67" i="41"/>
  <c r="J67" i="41"/>
  <c r="I67" i="41"/>
  <c r="E67" i="41"/>
  <c r="G66" i="41"/>
  <c r="G65" i="41"/>
  <c r="G64" i="41"/>
  <c r="G63" i="41"/>
  <c r="Q62" i="41"/>
  <c r="O62" i="41"/>
  <c r="N62" i="41"/>
  <c r="L62" i="41"/>
  <c r="J62" i="41"/>
  <c r="I62" i="41"/>
  <c r="E62" i="41"/>
  <c r="G60" i="41"/>
  <c r="G59" i="41"/>
  <c r="G58" i="41"/>
  <c r="G57" i="41"/>
  <c r="G56" i="41"/>
  <c r="G55" i="41"/>
  <c r="Q54" i="41"/>
  <c r="O54" i="41"/>
  <c r="N54" i="41"/>
  <c r="L54" i="41"/>
  <c r="J54" i="41"/>
  <c r="I54" i="41"/>
  <c r="E54" i="41"/>
  <c r="G53" i="41"/>
  <c r="G52" i="41"/>
  <c r="G51" i="41"/>
  <c r="G50" i="41"/>
  <c r="G49" i="41"/>
  <c r="G48" i="41"/>
  <c r="Q43" i="41"/>
  <c r="O43" i="41"/>
  <c r="N43" i="41"/>
  <c r="L43" i="41"/>
  <c r="J43" i="41"/>
  <c r="I43" i="41"/>
  <c r="E43" i="41"/>
  <c r="G42" i="41"/>
  <c r="G41" i="41"/>
  <c r="Q40" i="41"/>
  <c r="O40" i="41"/>
  <c r="N40" i="41"/>
  <c r="L40" i="41"/>
  <c r="J40" i="41"/>
  <c r="I40" i="41"/>
  <c r="E40" i="41"/>
  <c r="G39" i="41"/>
  <c r="G38" i="41"/>
  <c r="G37" i="41"/>
  <c r="G36" i="41"/>
  <c r="G35" i="41"/>
  <c r="G34" i="41"/>
  <c r="Q33" i="41"/>
  <c r="O33" i="41"/>
  <c r="N33" i="41"/>
  <c r="L33" i="41"/>
  <c r="J33" i="41"/>
  <c r="I33" i="41"/>
  <c r="E33" i="41"/>
  <c r="G32" i="41"/>
  <c r="G31" i="41"/>
  <c r="G30" i="41"/>
  <c r="G29" i="41"/>
  <c r="G28" i="41"/>
  <c r="Q27" i="41"/>
  <c r="O27" i="41"/>
  <c r="N27" i="41"/>
  <c r="L27" i="41"/>
  <c r="J27" i="41"/>
  <c r="I27" i="41"/>
  <c r="E27" i="41"/>
  <c r="G26" i="41"/>
  <c r="G25" i="41"/>
  <c r="G24" i="41"/>
  <c r="G23" i="41"/>
  <c r="G22" i="41"/>
  <c r="G21" i="41"/>
  <c r="Q20" i="41"/>
  <c r="O20" i="41"/>
  <c r="N20" i="41"/>
  <c r="L20" i="41"/>
  <c r="J20" i="41"/>
  <c r="I20" i="41"/>
  <c r="E20" i="41"/>
  <c r="G19" i="41"/>
  <c r="Q18" i="41"/>
  <c r="O18" i="41"/>
  <c r="N18" i="41"/>
  <c r="L18" i="41"/>
  <c r="J18" i="41"/>
  <c r="I18" i="41"/>
  <c r="E18" i="41"/>
  <c r="G17" i="41"/>
  <c r="G16" i="41"/>
  <c r="G11" i="41"/>
  <c r="Q10" i="41"/>
  <c r="O10" i="41"/>
  <c r="N10" i="41"/>
  <c r="L10" i="41"/>
  <c r="J10" i="41"/>
  <c r="I10" i="41"/>
  <c r="E10" i="41"/>
  <c r="W124" i="26"/>
  <c r="M295" i="41" l="1"/>
  <c r="T295" i="41" s="1"/>
  <c r="T299" i="41"/>
  <c r="F310" i="41"/>
  <c r="T310" i="41"/>
  <c r="J315" i="41"/>
  <c r="F312" i="41"/>
  <c r="T312" i="41"/>
  <c r="E152" i="41"/>
  <c r="F303" i="41"/>
  <c r="T303" i="41"/>
  <c r="L152" i="41"/>
  <c r="G251" i="41"/>
  <c r="T251" i="41"/>
  <c r="E142" i="41"/>
  <c r="N152" i="41"/>
  <c r="F308" i="41"/>
  <c r="T308" i="41"/>
  <c r="J475" i="41"/>
  <c r="F309" i="41"/>
  <c r="T309" i="41"/>
  <c r="E459" i="41"/>
  <c r="O459" i="41"/>
  <c r="N436" i="41"/>
  <c r="E61" i="41"/>
  <c r="J75" i="41"/>
  <c r="E87" i="41"/>
  <c r="Q87" i="41"/>
  <c r="L116" i="41"/>
  <c r="Q334" i="41"/>
  <c r="O375" i="41"/>
  <c r="E414" i="41"/>
  <c r="O414" i="41"/>
  <c r="I87" i="41"/>
  <c r="E436" i="41"/>
  <c r="I516" i="41"/>
  <c r="N164" i="41"/>
  <c r="N163" i="41" s="1"/>
  <c r="G229" i="41"/>
  <c r="G470" i="41"/>
  <c r="Q116" i="41"/>
  <c r="K87" i="41"/>
  <c r="E116" i="41"/>
  <c r="J248" i="41"/>
  <c r="N287" i="41"/>
  <c r="O362" i="41"/>
  <c r="I375" i="41"/>
  <c r="G392" i="41"/>
  <c r="K414" i="41"/>
  <c r="I334" i="41"/>
  <c r="H87" i="41"/>
  <c r="N116" i="41"/>
  <c r="F225" i="41"/>
  <c r="L395" i="41"/>
  <c r="L516" i="41"/>
  <c r="J334" i="41"/>
  <c r="K222" i="41"/>
  <c r="Q475" i="41"/>
  <c r="O9" i="41"/>
  <c r="L61" i="41"/>
  <c r="H222" i="41"/>
  <c r="F299" i="41"/>
  <c r="G326" i="41"/>
  <c r="F121" i="41"/>
  <c r="E395" i="41"/>
  <c r="G453" i="41"/>
  <c r="I61" i="41"/>
  <c r="Q61" i="41"/>
  <c r="I135" i="41"/>
  <c r="Q135" i="41"/>
  <c r="O163" i="41"/>
  <c r="N223" i="41"/>
  <c r="E248" i="41"/>
  <c r="G358" i="41"/>
  <c r="I459" i="41"/>
  <c r="E516" i="41"/>
  <c r="L315" i="41"/>
  <c r="G324" i="41"/>
  <c r="L9" i="41"/>
  <c r="G18" i="41"/>
  <c r="N9" i="41"/>
  <c r="J87" i="41"/>
  <c r="L222" i="41"/>
  <c r="F254" i="41"/>
  <c r="E315" i="41"/>
  <c r="O487" i="41"/>
  <c r="Q516" i="41"/>
  <c r="E9" i="41"/>
  <c r="J163" i="41"/>
  <c r="N395" i="41"/>
  <c r="J395" i="41"/>
  <c r="J9" i="41"/>
  <c r="O135" i="41"/>
  <c r="G143" i="41"/>
  <c r="G147" i="41"/>
  <c r="G150" i="41"/>
  <c r="G33" i="41"/>
  <c r="F88" i="41"/>
  <c r="O116" i="41"/>
  <c r="J135" i="41"/>
  <c r="F251" i="41"/>
  <c r="N315" i="41"/>
  <c r="G396" i="41"/>
  <c r="L436" i="41"/>
  <c r="G540" i="41"/>
  <c r="G43" i="41"/>
  <c r="G119" i="41"/>
  <c r="G161" i="41"/>
  <c r="Q75" i="41"/>
  <c r="F111" i="41"/>
  <c r="G114" i="41"/>
  <c r="G153" i="41"/>
  <c r="G155" i="41"/>
  <c r="J362" i="41"/>
  <c r="I487" i="41"/>
  <c r="G67" i="41"/>
  <c r="I9" i="41"/>
  <c r="O75" i="41"/>
  <c r="G84" i="41"/>
  <c r="G140" i="41"/>
  <c r="AF254" i="41"/>
  <c r="L248" i="41"/>
  <c r="G263" i="41"/>
  <c r="N334" i="41"/>
  <c r="G366" i="41"/>
  <c r="I414" i="41"/>
  <c r="Q414" i="41"/>
  <c r="Q436" i="41"/>
  <c r="G514" i="41"/>
  <c r="L149" i="41"/>
  <c r="G149" i="41" s="1"/>
  <c r="J61" i="41"/>
  <c r="I116" i="41"/>
  <c r="G116" i="41" s="1"/>
  <c r="G124" i="41"/>
  <c r="G123" i="41" s="1"/>
  <c r="G121" i="41" s="1"/>
  <c r="L135" i="41"/>
  <c r="I222" i="41"/>
  <c r="G363" i="41"/>
  <c r="O395" i="41"/>
  <c r="H414" i="41"/>
  <c r="J414" i="41"/>
  <c r="H436" i="41"/>
  <c r="H435" i="41" s="1"/>
  <c r="G512" i="41"/>
  <c r="O248" i="41"/>
  <c r="G136" i="41"/>
  <c r="G165" i="41"/>
  <c r="Q9" i="41"/>
  <c r="G20" i="41"/>
  <c r="N61" i="41"/>
  <c r="I75" i="41"/>
  <c r="G111" i="41"/>
  <c r="E163" i="41"/>
  <c r="M249" i="41"/>
  <c r="M414" i="41"/>
  <c r="G424" i="41"/>
  <c r="I436" i="41"/>
  <c r="M436" i="41"/>
  <c r="M435" i="41" s="1"/>
  <c r="G478" i="41"/>
  <c r="N487" i="41"/>
  <c r="N516" i="41"/>
  <c r="G483" i="41"/>
  <c r="G472" i="41"/>
  <c r="F234" i="41"/>
  <c r="Y125" i="41"/>
  <c r="Z125" i="41" s="1"/>
  <c r="U125" i="41"/>
  <c r="G62" i="41"/>
  <c r="O61" i="41"/>
  <c r="K248" i="41"/>
  <c r="P287" i="41"/>
  <c r="E362" i="41"/>
  <c r="Q362" i="41"/>
  <c r="Q375" i="41"/>
  <c r="N414" i="41"/>
  <c r="G427" i="41"/>
  <c r="G433" i="41"/>
  <c r="G437" i="41"/>
  <c r="O516" i="41"/>
  <c r="G40" i="41"/>
  <c r="G100" i="41"/>
  <c r="J116" i="41"/>
  <c r="Q222" i="41"/>
  <c r="M301" i="41"/>
  <c r="I315" i="41"/>
  <c r="O334" i="41"/>
  <c r="G372" i="41"/>
  <c r="G460" i="41"/>
  <c r="P222" i="41"/>
  <c r="K8" i="41"/>
  <c r="Q164" i="41"/>
  <c r="L187" i="41"/>
  <c r="O222" i="41"/>
  <c r="L459" i="41"/>
  <c r="G473" i="41"/>
  <c r="O475" i="41"/>
  <c r="G488" i="41"/>
  <c r="G502" i="41"/>
  <c r="G54" i="41"/>
  <c r="G79" i="41"/>
  <c r="E75" i="41"/>
  <c r="E8" i="41" s="1"/>
  <c r="N87" i="41"/>
  <c r="G92" i="41"/>
  <c r="G88" i="41" s="1"/>
  <c r="E135" i="41"/>
  <c r="E134" i="41" s="1"/>
  <c r="O142" i="41"/>
  <c r="I248" i="41"/>
  <c r="L334" i="41"/>
  <c r="E334" i="41"/>
  <c r="N362" i="41"/>
  <c r="N375" i="41"/>
  <c r="L375" i="41"/>
  <c r="G389" i="41"/>
  <c r="I395" i="41"/>
  <c r="G400" i="41"/>
  <c r="J436" i="41"/>
  <c r="G455" i="41"/>
  <c r="J459" i="41"/>
  <c r="I475" i="41"/>
  <c r="N475" i="41"/>
  <c r="G480" i="41"/>
  <c r="E487" i="41"/>
  <c r="G510" i="41"/>
  <c r="G10" i="41"/>
  <c r="G27" i="41"/>
  <c r="M88" i="41"/>
  <c r="M87" i="41" s="1"/>
  <c r="N142" i="41"/>
  <c r="I164" i="41"/>
  <c r="G188" i="41"/>
  <c r="G198" i="41"/>
  <c r="J222" i="41"/>
  <c r="G254" i="41"/>
  <c r="G249" i="41" s="1"/>
  <c r="Q248" i="41"/>
  <c r="G316" i="41"/>
  <c r="L362" i="41"/>
  <c r="J375" i="41"/>
  <c r="G386" i="41"/>
  <c r="G415" i="41"/>
  <c r="G462" i="41"/>
  <c r="L475" i="41"/>
  <c r="L87" i="41"/>
  <c r="O87" i="41"/>
  <c r="Q152" i="41"/>
  <c r="Q134" i="41" s="1"/>
  <c r="O152" i="41"/>
  <c r="L164" i="41"/>
  <c r="G244" i="41"/>
  <c r="P249" i="41"/>
  <c r="N248" i="41"/>
  <c r="Q315" i="41"/>
  <c r="O315" i="41"/>
  <c r="G356" i="41"/>
  <c r="I362" i="41"/>
  <c r="G383" i="41"/>
  <c r="P436" i="41"/>
  <c r="P435" i="41" s="1"/>
  <c r="Q487" i="41"/>
  <c r="G517" i="41"/>
  <c r="G531" i="41"/>
  <c r="H248" i="41"/>
  <c r="G76" i="41"/>
  <c r="J142" i="41"/>
  <c r="G225" i="41"/>
  <c r="G246" i="41"/>
  <c r="G328" i="41"/>
  <c r="E375" i="41"/>
  <c r="Q395" i="41"/>
  <c r="P414" i="41"/>
  <c r="L414" i="41"/>
  <c r="O436" i="41"/>
  <c r="G484" i="41"/>
  <c r="N75" i="41"/>
  <c r="G175" i="41"/>
  <c r="Q187" i="41"/>
  <c r="Q163" i="41" s="1"/>
  <c r="E222" i="41"/>
  <c r="G332" i="41"/>
  <c r="G345" i="41"/>
  <c r="G380" i="41"/>
  <c r="N459" i="41"/>
  <c r="Q459" i="41"/>
  <c r="G476" i="41"/>
  <c r="E475" i="41"/>
  <c r="L487" i="41"/>
  <c r="L486" i="41" s="1"/>
  <c r="G335" i="41"/>
  <c r="F263" i="41"/>
  <c r="F418" i="41"/>
  <c r="F414" i="41" s="1"/>
  <c r="G418" i="41"/>
  <c r="F295" i="41"/>
  <c r="K436" i="41"/>
  <c r="K435" i="41" s="1"/>
  <c r="F283" i="41"/>
  <c r="G239" i="41"/>
  <c r="M231" i="41"/>
  <c r="M222" i="41" s="1"/>
  <c r="G234" i="41"/>
  <c r="P95" i="41"/>
  <c r="P87" i="41" s="1"/>
  <c r="P8" i="41" s="1"/>
  <c r="P7" i="41" s="1"/>
  <c r="P211" i="41" s="1"/>
  <c r="F95" i="41"/>
  <c r="G96" i="41"/>
  <c r="G95" i="41" s="1"/>
  <c r="F135" i="41"/>
  <c r="F138" i="41"/>
  <c r="G139" i="41"/>
  <c r="G138" i="41" s="1"/>
  <c r="F139" i="41"/>
  <c r="F133" i="41"/>
  <c r="H128" i="41"/>
  <c r="H127" i="41" s="1"/>
  <c r="H8" i="41" s="1"/>
  <c r="H7" i="41" s="1"/>
  <c r="H211" i="41" s="1"/>
  <c r="Q435" i="41"/>
  <c r="N547" i="41"/>
  <c r="P547" i="41"/>
  <c r="G187" i="41"/>
  <c r="G276" i="41"/>
  <c r="G117" i="41"/>
  <c r="F125" i="41"/>
  <c r="M127" i="41"/>
  <c r="I142" i="41"/>
  <c r="G145" i="41"/>
  <c r="F279" i="41"/>
  <c r="F282" i="41"/>
  <c r="F314" i="41"/>
  <c r="G445" i="41"/>
  <c r="G442" i="41" s="1"/>
  <c r="K134" i="41"/>
  <c r="N135" i="41"/>
  <c r="N225" i="41"/>
  <c r="AF258" i="41"/>
  <c r="G285" i="41"/>
  <c r="G284" i="41" s="1"/>
  <c r="G288" i="41"/>
  <c r="G290" i="41"/>
  <c r="F445" i="41"/>
  <c r="F442" i="41" s="1"/>
  <c r="F436" i="41" s="1"/>
  <c r="F435" i="41" s="1"/>
  <c r="M257" i="41"/>
  <c r="T257" i="41" s="1"/>
  <c r="F285" i="41"/>
  <c r="F284" i="41" s="1"/>
  <c r="F288" i="41"/>
  <c r="M307" i="41"/>
  <c r="AF279" i="41"/>
  <c r="I152" i="41"/>
  <c r="G258" i="41"/>
  <c r="G257" i="41" s="1"/>
  <c r="G369" i="41"/>
  <c r="L75" i="41"/>
  <c r="M124" i="41"/>
  <c r="W125" i="41"/>
  <c r="AF282" i="41"/>
  <c r="J487" i="41"/>
  <c r="J486" i="41" s="1"/>
  <c r="M276" i="41"/>
  <c r="T276" i="41" s="1"/>
  <c r="P265" i="39"/>
  <c r="H132" i="39"/>
  <c r="M265" i="39"/>
  <c r="M287" i="39"/>
  <c r="M313" i="39"/>
  <c r="M257" i="39"/>
  <c r="M91" i="39"/>
  <c r="M249" i="39"/>
  <c r="M284" i="39"/>
  <c r="M282" i="39"/>
  <c r="M312" i="39"/>
  <c r="M285" i="39"/>
  <c r="M301" i="39"/>
  <c r="M302" i="39"/>
  <c r="H447" i="39"/>
  <c r="E435" i="41" l="1"/>
  <c r="G135" i="41"/>
  <c r="L8" i="41"/>
  <c r="F249" i="41"/>
  <c r="G334" i="41"/>
  <c r="I486" i="41"/>
  <c r="F301" i="41"/>
  <c r="T301" i="41"/>
  <c r="F87" i="41"/>
  <c r="F307" i="41"/>
  <c r="F304" i="41" s="1"/>
  <c r="T307" i="41"/>
  <c r="N486" i="41"/>
  <c r="L435" i="41"/>
  <c r="E7" i="41"/>
  <c r="E211" i="41" s="1"/>
  <c r="G9" i="41"/>
  <c r="N8" i="41"/>
  <c r="J221" i="41"/>
  <c r="G61" i="41"/>
  <c r="L221" i="41"/>
  <c r="N222" i="41"/>
  <c r="N221" i="41" s="1"/>
  <c r="H221" i="41"/>
  <c r="O221" i="41"/>
  <c r="K221" i="41"/>
  <c r="K220" i="41" s="1"/>
  <c r="K542" i="41" s="1"/>
  <c r="G375" i="41"/>
  <c r="G362" i="41"/>
  <c r="O134" i="41"/>
  <c r="Q8" i="41"/>
  <c r="Q7" i="41" s="1"/>
  <c r="Q211" i="41" s="1"/>
  <c r="G395" i="41"/>
  <c r="N134" i="41"/>
  <c r="J134" i="41"/>
  <c r="E486" i="41"/>
  <c r="J8" i="41"/>
  <c r="Q486" i="41"/>
  <c r="E221" i="41"/>
  <c r="E220" i="41" s="1"/>
  <c r="G436" i="41"/>
  <c r="I435" i="41"/>
  <c r="I221" i="41"/>
  <c r="O486" i="41"/>
  <c r="I8" i="41"/>
  <c r="G475" i="41"/>
  <c r="G414" i="41"/>
  <c r="G152" i="41"/>
  <c r="G459" i="41"/>
  <c r="O435" i="41"/>
  <c r="P248" i="41"/>
  <c r="P221" i="41" s="1"/>
  <c r="P220" i="41" s="1"/>
  <c r="P542" i="41" s="1"/>
  <c r="P548" i="41" s="1"/>
  <c r="L134" i="41"/>
  <c r="L7" i="41" s="1"/>
  <c r="G516" i="41"/>
  <c r="J435" i="41"/>
  <c r="G87" i="41"/>
  <c r="Q221" i="41"/>
  <c r="Q220" i="41" s="1"/>
  <c r="O8" i="41"/>
  <c r="G315" i="41"/>
  <c r="G164" i="41"/>
  <c r="I163" i="41"/>
  <c r="N435" i="41"/>
  <c r="L163" i="41"/>
  <c r="F276" i="41"/>
  <c r="G231" i="41"/>
  <c r="G222" i="41" s="1"/>
  <c r="F231" i="41"/>
  <c r="F222" i="41" s="1"/>
  <c r="F128" i="41"/>
  <c r="F127" i="41"/>
  <c r="M304" i="41"/>
  <c r="G487" i="41"/>
  <c r="G75" i="41"/>
  <c r="G8" i="41" s="1"/>
  <c r="K7" i="41"/>
  <c r="K211" i="41" s="1"/>
  <c r="F134" i="41"/>
  <c r="I134" i="41"/>
  <c r="I7" i="41" s="1"/>
  <c r="G142" i="41"/>
  <c r="F124" i="41"/>
  <c r="M123" i="41"/>
  <c r="M311" i="39"/>
  <c r="G311" i="39" s="1"/>
  <c r="M309" i="39"/>
  <c r="F309" i="39" s="1"/>
  <c r="G540" i="39"/>
  <c r="Q539" i="39"/>
  <c r="O539" i="39"/>
  <c r="N539" i="39"/>
  <c r="L539" i="39"/>
  <c r="J539" i="39"/>
  <c r="I539" i="39"/>
  <c r="E539" i="39"/>
  <c r="G538" i="39"/>
  <c r="G537" i="39"/>
  <c r="G536" i="39"/>
  <c r="G535" i="39"/>
  <c r="G534" i="39"/>
  <c r="G533" i="39"/>
  <c r="G532" i="39"/>
  <c r="G531" i="39"/>
  <c r="Q530" i="39"/>
  <c r="O530" i="39"/>
  <c r="N530" i="39"/>
  <c r="L530" i="39"/>
  <c r="J530" i="39"/>
  <c r="I530" i="39"/>
  <c r="E530" i="39"/>
  <c r="G529" i="39"/>
  <c r="G528" i="39"/>
  <c r="G527" i="39"/>
  <c r="G526" i="39"/>
  <c r="G525" i="39"/>
  <c r="G524" i="39"/>
  <c r="G523" i="39"/>
  <c r="G522" i="39"/>
  <c r="G517" i="39"/>
  <c r="Q516" i="39"/>
  <c r="O516" i="39"/>
  <c r="N516" i="39"/>
  <c r="N515" i="39" s="1"/>
  <c r="L516" i="39"/>
  <c r="J516" i="39"/>
  <c r="I516" i="39"/>
  <c r="E516" i="39"/>
  <c r="G514" i="39"/>
  <c r="Q513" i="39"/>
  <c r="O513" i="39"/>
  <c r="N513" i="39"/>
  <c r="L513" i="39"/>
  <c r="J513" i="39"/>
  <c r="I513" i="39"/>
  <c r="E513" i="39"/>
  <c r="G512" i="39"/>
  <c r="Q511" i="39"/>
  <c r="O511" i="39"/>
  <c r="N511" i="39"/>
  <c r="L511" i="39"/>
  <c r="J511" i="39"/>
  <c r="I511" i="39"/>
  <c r="E511" i="39"/>
  <c r="G510" i="39"/>
  <c r="Q509" i="39"/>
  <c r="O509" i="39"/>
  <c r="N509" i="39"/>
  <c r="L509" i="39"/>
  <c r="J509" i="39"/>
  <c r="I509" i="39"/>
  <c r="E509" i="39"/>
  <c r="G508" i="39"/>
  <c r="G507" i="39"/>
  <c r="G506" i="39"/>
  <c r="G505" i="39"/>
  <c r="G504" i="39"/>
  <c r="G503" i="39"/>
  <c r="G502" i="39"/>
  <c r="Q501" i="39"/>
  <c r="O501" i="39"/>
  <c r="N501" i="39"/>
  <c r="L501" i="39"/>
  <c r="J501" i="39"/>
  <c r="I501" i="39"/>
  <c r="E501" i="39"/>
  <c r="G500" i="39"/>
  <c r="G499" i="39"/>
  <c r="G498" i="39"/>
  <c r="G497" i="39"/>
  <c r="G496" i="39"/>
  <c r="G495" i="39"/>
  <c r="G490" i="39"/>
  <c r="G489" i="39"/>
  <c r="G488" i="39"/>
  <c r="Q487" i="39"/>
  <c r="O487" i="39"/>
  <c r="N487" i="39"/>
  <c r="L487" i="39"/>
  <c r="L486" i="39" s="1"/>
  <c r="J487" i="39"/>
  <c r="I487" i="39"/>
  <c r="E487" i="39"/>
  <c r="E486" i="39" s="1"/>
  <c r="G484" i="39"/>
  <c r="Q483" i="39"/>
  <c r="Q482" i="39" s="1"/>
  <c r="O483" i="39"/>
  <c r="O482" i="39" s="1"/>
  <c r="N483" i="39"/>
  <c r="N482" i="39" s="1"/>
  <c r="L483" i="39"/>
  <c r="J483" i="39"/>
  <c r="J482" i="39" s="1"/>
  <c r="I483" i="39"/>
  <c r="E483" i="39"/>
  <c r="L482" i="39"/>
  <c r="E482" i="39"/>
  <c r="G481" i="39"/>
  <c r="G480" i="39"/>
  <c r="Q479" i="39"/>
  <c r="O479" i="39"/>
  <c r="N479" i="39"/>
  <c r="L479" i="39"/>
  <c r="J479" i="39"/>
  <c r="I479" i="39"/>
  <c r="E479" i="39"/>
  <c r="G478" i="39"/>
  <c r="Q477" i="39"/>
  <c r="O477" i="39"/>
  <c r="N477" i="39"/>
  <c r="L477" i="39"/>
  <c r="J477" i="39"/>
  <c r="I477" i="39"/>
  <c r="E477" i="39"/>
  <c r="G476" i="39"/>
  <c r="Q475" i="39"/>
  <c r="O475" i="39"/>
  <c r="N475" i="39"/>
  <c r="L475" i="39"/>
  <c r="J475" i="39"/>
  <c r="I475" i="39"/>
  <c r="E475" i="39"/>
  <c r="L474" i="39"/>
  <c r="E474" i="39"/>
  <c r="G473" i="39"/>
  <c r="Q472" i="39"/>
  <c r="O472" i="39"/>
  <c r="N472" i="39"/>
  <c r="L472" i="39"/>
  <c r="J472" i="39"/>
  <c r="I472" i="39"/>
  <c r="G472" i="39" s="1"/>
  <c r="E472" i="39"/>
  <c r="Q471" i="39"/>
  <c r="O471" i="39"/>
  <c r="N471" i="39"/>
  <c r="L471" i="39"/>
  <c r="J471" i="39"/>
  <c r="I471" i="39"/>
  <c r="E471" i="39"/>
  <c r="G470" i="39"/>
  <c r="Q469" i="39"/>
  <c r="O469" i="39"/>
  <c r="N469" i="39"/>
  <c r="L469" i="39"/>
  <c r="J469" i="39"/>
  <c r="I469" i="39"/>
  <c r="E469" i="39"/>
  <c r="G468" i="39"/>
  <c r="G467" i="39"/>
  <c r="G462" i="39"/>
  <c r="Q461" i="39"/>
  <c r="O461" i="39"/>
  <c r="N461" i="39"/>
  <c r="L461" i="39"/>
  <c r="J461" i="39"/>
  <c r="I461" i="39"/>
  <c r="E461" i="39"/>
  <c r="G460" i="39"/>
  <c r="Q459" i="39"/>
  <c r="Q458" i="39" s="1"/>
  <c r="O459" i="39"/>
  <c r="N459" i="39"/>
  <c r="L459" i="39"/>
  <c r="J459" i="39"/>
  <c r="I459" i="39"/>
  <c r="E459" i="39"/>
  <c r="J458" i="39"/>
  <c r="G457" i="39"/>
  <c r="F457" i="39"/>
  <c r="Q456" i="39"/>
  <c r="P456" i="39"/>
  <c r="O456" i="39"/>
  <c r="N456" i="39"/>
  <c r="M456" i="39"/>
  <c r="L456" i="39"/>
  <c r="K456" i="39"/>
  <c r="J456" i="39"/>
  <c r="I456" i="39"/>
  <c r="H456" i="39"/>
  <c r="G456" i="39"/>
  <c r="F456" i="39"/>
  <c r="E456" i="39"/>
  <c r="G455" i="39"/>
  <c r="Q454" i="39"/>
  <c r="O454" i="39"/>
  <c r="N454" i="39"/>
  <c r="L454" i="39"/>
  <c r="J454" i="39"/>
  <c r="I454" i="39"/>
  <c r="E454" i="39"/>
  <c r="G453" i="39"/>
  <c r="Q452" i="39"/>
  <c r="O452" i="39"/>
  <c r="N452" i="39"/>
  <c r="L452" i="39"/>
  <c r="J452" i="39"/>
  <c r="I452" i="39"/>
  <c r="E452" i="39"/>
  <c r="G451" i="39"/>
  <c r="G450" i="39"/>
  <c r="G449" i="39"/>
  <c r="G448" i="39"/>
  <c r="G447" i="39"/>
  <c r="F447" i="39"/>
  <c r="G446" i="39"/>
  <c r="G445" i="39"/>
  <c r="P444" i="39"/>
  <c r="F444" i="39" s="1"/>
  <c r="F443" i="39"/>
  <c r="G442" i="39"/>
  <c r="Q441" i="39"/>
  <c r="P441" i="39"/>
  <c r="O441" i="39"/>
  <c r="N441" i="39"/>
  <c r="M441" i="39"/>
  <c r="L441" i="39"/>
  <c r="K441" i="39"/>
  <c r="J441" i="39"/>
  <c r="I441" i="39"/>
  <c r="H441" i="39"/>
  <c r="E441" i="39"/>
  <c r="G440" i="39"/>
  <c r="G439" i="39"/>
  <c r="F439" i="39"/>
  <c r="G438" i="39"/>
  <c r="G437" i="39"/>
  <c r="Q436" i="39"/>
  <c r="P436" i="39"/>
  <c r="O436" i="39"/>
  <c r="N436" i="39"/>
  <c r="M436" i="39"/>
  <c r="M435" i="39" s="1"/>
  <c r="M434" i="39" s="1"/>
  <c r="L436" i="39"/>
  <c r="K436" i="39"/>
  <c r="K435" i="39" s="1"/>
  <c r="K434" i="39" s="1"/>
  <c r="J436" i="39"/>
  <c r="J435" i="39" s="1"/>
  <c r="I436" i="39"/>
  <c r="H436" i="39"/>
  <c r="F436" i="39"/>
  <c r="E436" i="39"/>
  <c r="P435" i="39"/>
  <c r="P434" i="39" s="1"/>
  <c r="L435" i="39"/>
  <c r="H435" i="39"/>
  <c r="H434" i="39" s="1"/>
  <c r="G433" i="39"/>
  <c r="Q432" i="39"/>
  <c r="O432" i="39"/>
  <c r="N432" i="39"/>
  <c r="L432" i="39"/>
  <c r="J432" i="39"/>
  <c r="I432" i="39"/>
  <c r="E432" i="39"/>
  <c r="G427" i="39"/>
  <c r="Q426" i="39"/>
  <c r="O426" i="39"/>
  <c r="N426" i="39"/>
  <c r="L426" i="39"/>
  <c r="J426" i="39"/>
  <c r="I426" i="39"/>
  <c r="E426" i="39"/>
  <c r="G425" i="39"/>
  <c r="G424" i="39"/>
  <c r="Q423" i="39"/>
  <c r="O423" i="39"/>
  <c r="N423" i="39"/>
  <c r="L423" i="39"/>
  <c r="J423" i="39"/>
  <c r="I423" i="39"/>
  <c r="E423" i="39"/>
  <c r="G422" i="39"/>
  <c r="F422" i="39"/>
  <c r="F421" i="39" s="1"/>
  <c r="Q421" i="39"/>
  <c r="P421" i="39"/>
  <c r="O421" i="39"/>
  <c r="N421" i="39"/>
  <c r="M421" i="39"/>
  <c r="L421" i="39"/>
  <c r="K421" i="39"/>
  <c r="J421" i="39"/>
  <c r="I421" i="39"/>
  <c r="H421" i="39"/>
  <c r="G421" i="39"/>
  <c r="E421" i="39"/>
  <c r="G420" i="39"/>
  <c r="F420" i="39"/>
  <c r="G419" i="39"/>
  <c r="F419" i="39"/>
  <c r="F417" i="39" s="1"/>
  <c r="G418" i="39"/>
  <c r="F418" i="39"/>
  <c r="Q417" i="39"/>
  <c r="P417" i="39"/>
  <c r="O417" i="39"/>
  <c r="N417" i="39"/>
  <c r="M417" i="39"/>
  <c r="L417" i="39"/>
  <c r="L413" i="39" s="1"/>
  <c r="K417" i="39"/>
  <c r="J417" i="39"/>
  <c r="I417" i="39"/>
  <c r="H417" i="39"/>
  <c r="E417" i="39"/>
  <c r="G416" i="39"/>
  <c r="F416" i="39"/>
  <c r="F414" i="39" s="1"/>
  <c r="G415" i="39"/>
  <c r="Q414" i="39"/>
  <c r="P414" i="39"/>
  <c r="O414" i="39"/>
  <c r="N414" i="39"/>
  <c r="M414" i="39"/>
  <c r="L414" i="39"/>
  <c r="K414" i="39"/>
  <c r="J414" i="39"/>
  <c r="I414" i="39"/>
  <c r="H414" i="39"/>
  <c r="E414" i="39"/>
  <c r="P413" i="39"/>
  <c r="J413" i="39"/>
  <c r="H413" i="39"/>
  <c r="G412" i="39"/>
  <c r="G411" i="39"/>
  <c r="G410" i="39"/>
  <c r="G409" i="39"/>
  <c r="G408" i="39"/>
  <c r="G407" i="39"/>
  <c r="G406" i="39"/>
  <c r="G405" i="39"/>
  <c r="G404" i="39"/>
  <c r="Q399" i="39"/>
  <c r="O399" i="39"/>
  <c r="N399" i="39"/>
  <c r="L399" i="39"/>
  <c r="J399" i="39"/>
  <c r="I399" i="39"/>
  <c r="E399" i="39"/>
  <c r="G398" i="39"/>
  <c r="G397" i="39"/>
  <c r="G396" i="39"/>
  <c r="Q395" i="39"/>
  <c r="Q394" i="39" s="1"/>
  <c r="O395" i="39"/>
  <c r="N395" i="39"/>
  <c r="L395" i="39"/>
  <c r="J395" i="39"/>
  <c r="I395" i="39"/>
  <c r="E395" i="39"/>
  <c r="N394" i="39"/>
  <c r="G393" i="39"/>
  <c r="G392" i="39"/>
  <c r="F392" i="39"/>
  <c r="F391" i="39" s="1"/>
  <c r="F374" i="39" s="1"/>
  <c r="Q391" i="39"/>
  <c r="P391" i="39"/>
  <c r="P374" i="39" s="1"/>
  <c r="O391" i="39"/>
  <c r="N391" i="39"/>
  <c r="M391" i="39"/>
  <c r="L391" i="39"/>
  <c r="K391" i="39"/>
  <c r="J391" i="39"/>
  <c r="I391" i="39"/>
  <c r="H391" i="39"/>
  <c r="H374" i="39" s="1"/>
  <c r="E391" i="39"/>
  <c r="G390" i="39"/>
  <c r="G389" i="39"/>
  <c r="Q388" i="39"/>
  <c r="O388" i="39"/>
  <c r="N388" i="39"/>
  <c r="L388" i="39"/>
  <c r="J388" i="39"/>
  <c r="I388" i="39"/>
  <c r="E388" i="39"/>
  <c r="G387" i="39"/>
  <c r="G386" i="39"/>
  <c r="Q385" i="39"/>
  <c r="O385" i="39"/>
  <c r="N385" i="39"/>
  <c r="L385" i="39"/>
  <c r="J385" i="39"/>
  <c r="I385" i="39"/>
  <c r="E385" i="39"/>
  <c r="G384" i="39"/>
  <c r="G383" i="39"/>
  <c r="Q382" i="39"/>
  <c r="Q374" i="39" s="1"/>
  <c r="O382" i="39"/>
  <c r="N382" i="39"/>
  <c r="L382" i="39"/>
  <c r="J382" i="39"/>
  <c r="I382" i="39"/>
  <c r="E382" i="39"/>
  <c r="G381" i="39"/>
  <c r="G380" i="39"/>
  <c r="Q379" i="39"/>
  <c r="O379" i="39"/>
  <c r="N379" i="39"/>
  <c r="L379" i="39"/>
  <c r="J379" i="39"/>
  <c r="I379" i="39"/>
  <c r="I374" i="39" s="1"/>
  <c r="E379" i="39"/>
  <c r="M374" i="39"/>
  <c r="K374" i="39"/>
  <c r="G373" i="39"/>
  <c r="G372" i="39"/>
  <c r="Q371" i="39"/>
  <c r="O371" i="39"/>
  <c r="N371" i="39"/>
  <c r="L371" i="39"/>
  <c r="J371" i="39"/>
  <c r="I371" i="39"/>
  <c r="E371" i="39"/>
  <c r="G370" i="39"/>
  <c r="G369" i="39"/>
  <c r="Q368" i="39"/>
  <c r="O368" i="39"/>
  <c r="N368" i="39"/>
  <c r="L368" i="39"/>
  <c r="J368" i="39"/>
  <c r="I368" i="39"/>
  <c r="E368" i="39"/>
  <c r="G367" i="39"/>
  <c r="G366" i="39"/>
  <c r="Q365" i="39"/>
  <c r="O365" i="39"/>
  <c r="N365" i="39"/>
  <c r="L365" i="39"/>
  <c r="J365" i="39"/>
  <c r="I365" i="39"/>
  <c r="E365" i="39"/>
  <c r="G364" i="39"/>
  <c r="G363" i="39"/>
  <c r="Q362" i="39"/>
  <c r="Q361" i="39" s="1"/>
  <c r="O362" i="39"/>
  <c r="N362" i="39"/>
  <c r="N361" i="39" s="1"/>
  <c r="L362" i="39"/>
  <c r="J362" i="39"/>
  <c r="J361" i="39" s="1"/>
  <c r="I362" i="39"/>
  <c r="E362" i="39"/>
  <c r="G360" i="39"/>
  <c r="G359" i="39"/>
  <c r="G358" i="39"/>
  <c r="Q357" i="39"/>
  <c r="O357" i="39"/>
  <c r="O333" i="39" s="1"/>
  <c r="N357" i="39"/>
  <c r="L357" i="39"/>
  <c r="J357" i="39"/>
  <c r="I357" i="39"/>
  <c r="E357" i="39"/>
  <c r="G356" i="39"/>
  <c r="Q355" i="39"/>
  <c r="O355" i="39"/>
  <c r="N355" i="39"/>
  <c r="L355" i="39"/>
  <c r="J355" i="39"/>
  <c r="I355" i="39"/>
  <c r="E355" i="39"/>
  <c r="G354" i="39"/>
  <c r="G353" i="39"/>
  <c r="G348" i="39"/>
  <c r="G347" i="39"/>
  <c r="G346" i="39"/>
  <c r="G345" i="39"/>
  <c r="Q344" i="39"/>
  <c r="O344" i="39"/>
  <c r="N344" i="39"/>
  <c r="L344" i="39"/>
  <c r="J344" i="39"/>
  <c r="I344" i="39"/>
  <c r="E344" i="39"/>
  <c r="G343" i="39"/>
  <c r="G342" i="39"/>
  <c r="G341" i="39"/>
  <c r="G340" i="39"/>
  <c r="G339" i="39"/>
  <c r="F339" i="39"/>
  <c r="G338" i="39"/>
  <c r="G337" i="39"/>
  <c r="G336" i="39"/>
  <c r="G335" i="39"/>
  <c r="Q334" i="39"/>
  <c r="P334" i="39"/>
  <c r="P333" i="39" s="1"/>
  <c r="O334" i="39"/>
  <c r="N334" i="39"/>
  <c r="M334" i="39"/>
  <c r="M333" i="39" s="1"/>
  <c r="L334" i="39"/>
  <c r="K334" i="39"/>
  <c r="J334" i="39"/>
  <c r="I334" i="39"/>
  <c r="H334" i="39"/>
  <c r="H333" i="39" s="1"/>
  <c r="F334" i="39"/>
  <c r="F333" i="39" s="1"/>
  <c r="E334" i="39"/>
  <c r="E333" i="39" s="1"/>
  <c r="K333" i="39"/>
  <c r="I333" i="39"/>
  <c r="G332" i="39"/>
  <c r="Q331" i="39"/>
  <c r="O331" i="39"/>
  <c r="N331" i="39"/>
  <c r="L331" i="39"/>
  <c r="J331" i="39"/>
  <c r="I331" i="39"/>
  <c r="E331" i="39"/>
  <c r="G330" i="39"/>
  <c r="G329" i="39"/>
  <c r="G328" i="39"/>
  <c r="Q327" i="39"/>
  <c r="O327" i="39"/>
  <c r="N327" i="39"/>
  <c r="L327" i="39"/>
  <c r="J327" i="39"/>
  <c r="I327" i="39"/>
  <c r="E327" i="39"/>
  <c r="G326" i="39"/>
  <c r="Q325" i="39"/>
  <c r="Q314" i="39" s="1"/>
  <c r="O325" i="39"/>
  <c r="N325" i="39"/>
  <c r="L325" i="39"/>
  <c r="J325" i="39"/>
  <c r="I325" i="39"/>
  <c r="E325" i="39"/>
  <c r="G324" i="39"/>
  <c r="Q323" i="39"/>
  <c r="O323" i="39"/>
  <c r="N323" i="39"/>
  <c r="L323" i="39"/>
  <c r="J323" i="39"/>
  <c r="J314" i="39" s="1"/>
  <c r="I323" i="39"/>
  <c r="E323" i="39"/>
  <c r="G318" i="39"/>
  <c r="G317" i="39"/>
  <c r="G316" i="39"/>
  <c r="Q315" i="39"/>
  <c r="O315" i="39"/>
  <c r="N315" i="39"/>
  <c r="L315" i="39"/>
  <c r="J315" i="39"/>
  <c r="I315" i="39"/>
  <c r="E315" i="39"/>
  <c r="N314" i="39"/>
  <c r="P313" i="39"/>
  <c r="F313" i="39" s="1"/>
  <c r="N312" i="39"/>
  <c r="G312" i="39" s="1"/>
  <c r="F312" i="39"/>
  <c r="F311" i="39"/>
  <c r="F310" i="39"/>
  <c r="M308" i="39"/>
  <c r="F308" i="39" s="1"/>
  <c r="M307" i="39"/>
  <c r="F307" i="39" s="1"/>
  <c r="M306" i="39"/>
  <c r="F306" i="39" s="1"/>
  <c r="M305" i="39"/>
  <c r="F305" i="39" s="1"/>
  <c r="M304" i="39"/>
  <c r="P302" i="39"/>
  <c r="P300" i="39" s="1"/>
  <c r="P293" i="39" s="1"/>
  <c r="F302" i="39"/>
  <c r="F301" i="39"/>
  <c r="O300" i="39"/>
  <c r="O293" i="39" s="1"/>
  <c r="O286" i="39" s="1"/>
  <c r="N300" i="39"/>
  <c r="M300" i="39"/>
  <c r="F300" i="39" s="1"/>
  <c r="F299" i="39"/>
  <c r="M298" i="39"/>
  <c r="F298" i="39"/>
  <c r="F297" i="39"/>
  <c r="M296" i="39"/>
  <c r="F296" i="39" s="1"/>
  <c r="M295" i="39"/>
  <c r="N293" i="39"/>
  <c r="N286" i="39" s="1"/>
  <c r="G292" i="39"/>
  <c r="G291" i="39"/>
  <c r="G290" i="39"/>
  <c r="F290" i="39"/>
  <c r="P289" i="39"/>
  <c r="G289" i="39" s="1"/>
  <c r="G288" i="39"/>
  <c r="P287" i="39"/>
  <c r="G287" i="39" s="1"/>
  <c r="F287" i="39"/>
  <c r="Q286" i="39"/>
  <c r="L286" i="39"/>
  <c r="K286" i="39"/>
  <c r="J286" i="39"/>
  <c r="I286" i="39"/>
  <c r="H286" i="39"/>
  <c r="E286" i="39"/>
  <c r="F285" i="39"/>
  <c r="G284" i="39"/>
  <c r="F284" i="39"/>
  <c r="F283" i="39" s="1"/>
  <c r="Q283" i="39"/>
  <c r="P283" i="39"/>
  <c r="O283" i="39"/>
  <c r="N283" i="39"/>
  <c r="L283" i="39"/>
  <c r="K283" i="39"/>
  <c r="J283" i="39"/>
  <c r="I283" i="39"/>
  <c r="H283" i="39"/>
  <c r="E283" i="39"/>
  <c r="P282" i="39"/>
  <c r="M281" i="39"/>
  <c r="G280" i="39"/>
  <c r="G279" i="39"/>
  <c r="M278" i="39"/>
  <c r="F278" i="39" s="1"/>
  <c r="G277" i="39"/>
  <c r="G276" i="39"/>
  <c r="Q275" i="39"/>
  <c r="P275" i="39"/>
  <c r="O275" i="39"/>
  <c r="N275" i="39"/>
  <c r="L275" i="39"/>
  <c r="K275" i="39"/>
  <c r="J275" i="39"/>
  <c r="I275" i="39"/>
  <c r="I247" i="39" s="1"/>
  <c r="H275" i="39"/>
  <c r="E275" i="39"/>
  <c r="F274" i="39"/>
  <c r="F269" i="39"/>
  <c r="F267" i="39"/>
  <c r="F266" i="39"/>
  <c r="F265" i="39"/>
  <c r="M264" i="39"/>
  <c r="G263" i="39"/>
  <c r="Q262" i="39"/>
  <c r="O262" i="39"/>
  <c r="N262" i="39"/>
  <c r="M262" i="39"/>
  <c r="L262" i="39"/>
  <c r="K262" i="39"/>
  <c r="J262" i="39"/>
  <c r="I262" i="39"/>
  <c r="H262" i="39"/>
  <c r="E262" i="39"/>
  <c r="G261" i="39"/>
  <c r="G260" i="39"/>
  <c r="G259" i="39"/>
  <c r="G258" i="39"/>
  <c r="G257" i="39"/>
  <c r="F257" i="39"/>
  <c r="F256" i="39" s="1"/>
  <c r="Q256" i="39"/>
  <c r="P256" i="39"/>
  <c r="O256" i="39"/>
  <c r="N256" i="39"/>
  <c r="M256" i="39"/>
  <c r="L256" i="39"/>
  <c r="K256" i="39"/>
  <c r="J256" i="39"/>
  <c r="I256" i="39"/>
  <c r="H256" i="39"/>
  <c r="E256" i="39"/>
  <c r="G255" i="39"/>
  <c r="G254" i="39"/>
  <c r="P253" i="39"/>
  <c r="M253" i="39"/>
  <c r="F253" i="39"/>
  <c r="M252" i="39"/>
  <c r="F252" i="39" s="1"/>
  <c r="M251" i="39"/>
  <c r="M250" i="39"/>
  <c r="G250" i="39" s="1"/>
  <c r="G249" i="39"/>
  <c r="F249" i="39"/>
  <c r="Q248" i="39"/>
  <c r="P248" i="39"/>
  <c r="O248" i="39"/>
  <c r="N248" i="39"/>
  <c r="L248" i="39"/>
  <c r="K248" i="39"/>
  <c r="J248" i="39"/>
  <c r="I248" i="39"/>
  <c r="H248" i="39"/>
  <c r="E248" i="39"/>
  <c r="G246" i="39"/>
  <c r="Q245" i="39"/>
  <c r="O245" i="39"/>
  <c r="N245" i="39"/>
  <c r="L245" i="39"/>
  <c r="J245" i="39"/>
  <c r="I245" i="39"/>
  <c r="E245" i="39"/>
  <c r="G244" i="39"/>
  <c r="Q243" i="39"/>
  <c r="O243" i="39"/>
  <c r="N243" i="39"/>
  <c r="L243" i="39"/>
  <c r="J243" i="39"/>
  <c r="I243" i="39"/>
  <c r="E243" i="39"/>
  <c r="G242" i="39"/>
  <c r="G241" i="39" s="1"/>
  <c r="F242" i="39"/>
  <c r="Q241" i="39"/>
  <c r="P241" i="39"/>
  <c r="O241" i="39"/>
  <c r="N241" i="39"/>
  <c r="M241" i="39"/>
  <c r="L241" i="39"/>
  <c r="K241" i="39"/>
  <c r="J241" i="39"/>
  <c r="I241" i="39"/>
  <c r="H241" i="39"/>
  <c r="F241" i="39"/>
  <c r="E241" i="39"/>
  <c r="G240" i="39"/>
  <c r="G239" i="39" s="1"/>
  <c r="F240" i="39"/>
  <c r="F239" i="39" s="1"/>
  <c r="Q239" i="39"/>
  <c r="P239" i="39"/>
  <c r="O239" i="39"/>
  <c r="N239" i="39"/>
  <c r="M239" i="39"/>
  <c r="L239" i="39"/>
  <c r="K239" i="39"/>
  <c r="J239" i="39"/>
  <c r="I239" i="39"/>
  <c r="H239" i="39"/>
  <c r="E239" i="39"/>
  <c r="G238" i="39"/>
  <c r="F238" i="39"/>
  <c r="G233" i="39"/>
  <c r="F233" i="39"/>
  <c r="G232" i="39"/>
  <c r="G231" i="39"/>
  <c r="Q230" i="39"/>
  <c r="P230" i="39"/>
  <c r="O230" i="39"/>
  <c r="N230" i="39"/>
  <c r="M230" i="39"/>
  <c r="L230" i="39"/>
  <c r="K230" i="39"/>
  <c r="J230" i="39"/>
  <c r="I230" i="39"/>
  <c r="H230" i="39"/>
  <c r="E230" i="39"/>
  <c r="G229" i="39"/>
  <c r="Q228" i="39"/>
  <c r="O228" i="39"/>
  <c r="N228" i="39"/>
  <c r="L228" i="39"/>
  <c r="J228" i="39"/>
  <c r="I228" i="39"/>
  <c r="E228" i="39"/>
  <c r="G227" i="39"/>
  <c r="N226" i="39"/>
  <c r="G226" i="39" s="1"/>
  <c r="F226" i="39"/>
  <c r="E226" i="39"/>
  <c r="N225" i="39"/>
  <c r="F225" i="39"/>
  <c r="E225" i="39"/>
  <c r="E224" i="39" s="1"/>
  <c r="Q224" i="39"/>
  <c r="P224" i="39"/>
  <c r="O224" i="39"/>
  <c r="M224" i="39"/>
  <c r="L224" i="39"/>
  <c r="K224" i="39"/>
  <c r="J224" i="39"/>
  <c r="I224" i="39"/>
  <c r="H224" i="39"/>
  <c r="N223" i="39"/>
  <c r="G223" i="39" s="1"/>
  <c r="G222" i="39" s="1"/>
  <c r="F223" i="39"/>
  <c r="F222" i="39" s="1"/>
  <c r="E223" i="39"/>
  <c r="E222" i="39" s="1"/>
  <c r="Q222" i="39"/>
  <c r="P222" i="39"/>
  <c r="O222" i="39"/>
  <c r="M222" i="39"/>
  <c r="L222" i="39"/>
  <c r="K222" i="39"/>
  <c r="J222" i="39"/>
  <c r="I222" i="39"/>
  <c r="H222" i="39"/>
  <c r="H221" i="39"/>
  <c r="G209" i="39"/>
  <c r="G208" i="39"/>
  <c r="G207" i="39"/>
  <c r="G202" i="39"/>
  <c r="G201" i="39"/>
  <c r="G200" i="39"/>
  <c r="G199" i="39"/>
  <c r="G198" i="39"/>
  <c r="Q197" i="39"/>
  <c r="O197" i="39"/>
  <c r="N197" i="39"/>
  <c r="L197" i="39"/>
  <c r="J197" i="39"/>
  <c r="J186" i="39" s="1"/>
  <c r="I197" i="39"/>
  <c r="E197" i="39"/>
  <c r="G196" i="39"/>
  <c r="G195" i="39"/>
  <c r="G194" i="39"/>
  <c r="G193" i="39"/>
  <c r="G192" i="39"/>
  <c r="G191" i="39"/>
  <c r="G190" i="39"/>
  <c r="G189" i="39"/>
  <c r="G188" i="39"/>
  <c r="Q187" i="39"/>
  <c r="Q186" i="39" s="1"/>
  <c r="O187" i="39"/>
  <c r="N187" i="39"/>
  <c r="L187" i="39"/>
  <c r="J187" i="39"/>
  <c r="I187" i="39"/>
  <c r="E187" i="39"/>
  <c r="N186" i="39"/>
  <c r="G185" i="39"/>
  <c r="G180" i="39"/>
  <c r="G179" i="39"/>
  <c r="G178" i="39"/>
  <c r="G177" i="39"/>
  <c r="G176" i="39"/>
  <c r="G175" i="39"/>
  <c r="Q174" i="39"/>
  <c r="O174" i="39"/>
  <c r="N174" i="39"/>
  <c r="L174" i="39"/>
  <c r="J174" i="39"/>
  <c r="I174" i="39"/>
  <c r="E174" i="39"/>
  <c r="G173" i="39"/>
  <c r="G172" i="39"/>
  <c r="G171" i="39"/>
  <c r="G170" i="39"/>
  <c r="G169" i="39"/>
  <c r="G168" i="39"/>
  <c r="G167" i="39"/>
  <c r="G166" i="39"/>
  <c r="G165" i="39"/>
  <c r="Q164" i="39"/>
  <c r="O164" i="39"/>
  <c r="N164" i="39"/>
  <c r="N163" i="39" s="1"/>
  <c r="N162" i="39" s="1"/>
  <c r="L164" i="39"/>
  <c r="J164" i="39"/>
  <c r="J163" i="39" s="1"/>
  <c r="I164" i="39"/>
  <c r="E164" i="39"/>
  <c r="Q163" i="39"/>
  <c r="G161" i="39"/>
  <c r="Q160" i="39"/>
  <c r="O160" i="39"/>
  <c r="N160" i="39"/>
  <c r="L160" i="39"/>
  <c r="J160" i="39"/>
  <c r="I160" i="39"/>
  <c r="I151" i="39" s="1"/>
  <c r="E160" i="39"/>
  <c r="G159" i="39"/>
  <c r="Q154" i="39"/>
  <c r="O154" i="39"/>
  <c r="N154" i="39"/>
  <c r="L154" i="39"/>
  <c r="J154" i="39"/>
  <c r="I154" i="39"/>
  <c r="E154" i="39"/>
  <c r="G153" i="39"/>
  <c r="Q152" i="39"/>
  <c r="O152" i="39"/>
  <c r="O151" i="39" s="1"/>
  <c r="N152" i="39"/>
  <c r="L152" i="39"/>
  <c r="J152" i="39"/>
  <c r="I152" i="39"/>
  <c r="E152" i="39"/>
  <c r="L151" i="39"/>
  <c r="G150" i="39"/>
  <c r="Q149" i="39"/>
  <c r="Q148" i="39" s="1"/>
  <c r="O149" i="39"/>
  <c r="N149" i="39"/>
  <c r="N148" i="39" s="1"/>
  <c r="L149" i="39"/>
  <c r="L148" i="39" s="1"/>
  <c r="J149" i="39"/>
  <c r="J148" i="39" s="1"/>
  <c r="I149" i="39"/>
  <c r="E149" i="39"/>
  <c r="E148" i="39" s="1"/>
  <c r="O148" i="39"/>
  <c r="I148" i="39"/>
  <c r="G147" i="39"/>
  <c r="Q146" i="39"/>
  <c r="O146" i="39"/>
  <c r="N146" i="39"/>
  <c r="L146" i="39"/>
  <c r="J146" i="39"/>
  <c r="I146" i="39"/>
  <c r="E146" i="39"/>
  <c r="G145" i="39"/>
  <c r="Q144" i="39"/>
  <c r="O144" i="39"/>
  <c r="N144" i="39"/>
  <c r="L144" i="39"/>
  <c r="J144" i="39"/>
  <c r="I144" i="39"/>
  <c r="E144" i="39"/>
  <c r="G143" i="39"/>
  <c r="Q142" i="39"/>
  <c r="O142" i="39"/>
  <c r="N142" i="39"/>
  <c r="L142" i="39"/>
  <c r="J142" i="39"/>
  <c r="I142" i="39"/>
  <c r="E142" i="39"/>
  <c r="E141" i="39" s="1"/>
  <c r="I141" i="39"/>
  <c r="G140" i="39"/>
  <c r="Q139" i="39"/>
  <c r="O139" i="39"/>
  <c r="N139" i="39"/>
  <c r="L139" i="39"/>
  <c r="J139" i="39"/>
  <c r="I139" i="39"/>
  <c r="E139" i="39"/>
  <c r="G138" i="39"/>
  <c r="G137" i="39" s="1"/>
  <c r="F138" i="39"/>
  <c r="Q137" i="39"/>
  <c r="P137" i="39"/>
  <c r="O137" i="39"/>
  <c r="N137" i="39"/>
  <c r="M137" i="39"/>
  <c r="M134" i="39" s="1"/>
  <c r="M133" i="39" s="1"/>
  <c r="L137" i="39"/>
  <c r="K137" i="39"/>
  <c r="J137" i="39"/>
  <c r="I137" i="39"/>
  <c r="H137" i="39"/>
  <c r="E137" i="39"/>
  <c r="G136" i="39"/>
  <c r="F136" i="39"/>
  <c r="Q135" i="39"/>
  <c r="O135" i="39"/>
  <c r="N135" i="39"/>
  <c r="L135" i="39"/>
  <c r="J135" i="39"/>
  <c r="I135" i="39"/>
  <c r="F135" i="39"/>
  <c r="E135" i="39"/>
  <c r="E134" i="39" s="1"/>
  <c r="Q134" i="39"/>
  <c r="P134" i="39"/>
  <c r="H134" i="39"/>
  <c r="P133" i="39"/>
  <c r="H133" i="39"/>
  <c r="F132" i="39"/>
  <c r="G132" i="39"/>
  <c r="G127" i="39" s="1"/>
  <c r="G126" i="39" s="1"/>
  <c r="F131" i="39"/>
  <c r="F130" i="39"/>
  <c r="F129" i="39"/>
  <c r="F128" i="39"/>
  <c r="Q127" i="39"/>
  <c r="Q126" i="39" s="1"/>
  <c r="P127" i="39"/>
  <c r="P126" i="39" s="1"/>
  <c r="O127" i="39"/>
  <c r="O126" i="39" s="1"/>
  <c r="N127" i="39"/>
  <c r="N126" i="39" s="1"/>
  <c r="M127" i="39"/>
  <c r="L127" i="39"/>
  <c r="L126" i="39" s="1"/>
  <c r="K127" i="39"/>
  <c r="J127" i="39"/>
  <c r="J126" i="39" s="1"/>
  <c r="I127" i="39"/>
  <c r="I126" i="39" s="1"/>
  <c r="H127" i="39"/>
  <c r="F127" i="39" s="1"/>
  <c r="E127" i="39"/>
  <c r="E126" i="39" s="1"/>
  <c r="M126" i="39"/>
  <c r="K126" i="39"/>
  <c r="G125" i="39"/>
  <c r="F125" i="39"/>
  <c r="G124" i="39"/>
  <c r="G123" i="39" s="1"/>
  <c r="G122" i="39" s="1"/>
  <c r="G120" i="39" s="1"/>
  <c r="F124" i="39"/>
  <c r="Q123" i="39"/>
  <c r="Q122" i="39" s="1"/>
  <c r="P123" i="39"/>
  <c r="P122" i="39" s="1"/>
  <c r="O123" i="39"/>
  <c r="O122" i="39" s="1"/>
  <c r="N123" i="39"/>
  <c r="N122" i="39" s="1"/>
  <c r="M123" i="39"/>
  <c r="M122" i="39" s="1"/>
  <c r="L123" i="39"/>
  <c r="L122" i="39" s="1"/>
  <c r="L120" i="39" s="1"/>
  <c r="K123" i="39"/>
  <c r="J123" i="39"/>
  <c r="J122" i="39" s="1"/>
  <c r="J120" i="39" s="1"/>
  <c r="I123" i="39"/>
  <c r="I122" i="39" s="1"/>
  <c r="I120" i="39" s="1"/>
  <c r="H123" i="39"/>
  <c r="E123" i="39"/>
  <c r="E122" i="39" s="1"/>
  <c r="E120" i="39" s="1"/>
  <c r="H122" i="39"/>
  <c r="H120" i="39" s="1"/>
  <c r="F121" i="39"/>
  <c r="P120" i="39"/>
  <c r="G119" i="39"/>
  <c r="F119" i="39"/>
  <c r="Q118" i="39"/>
  <c r="O118" i="39"/>
  <c r="N118" i="39"/>
  <c r="L118" i="39"/>
  <c r="J118" i="39"/>
  <c r="I118" i="39"/>
  <c r="F118" i="39"/>
  <c r="E118" i="39"/>
  <c r="G117" i="39"/>
  <c r="F117" i="39"/>
  <c r="Q116" i="39"/>
  <c r="Q115" i="39" s="1"/>
  <c r="O116" i="39"/>
  <c r="N116" i="39"/>
  <c r="L116" i="39"/>
  <c r="J116" i="39"/>
  <c r="J115" i="39" s="1"/>
  <c r="I116" i="39"/>
  <c r="F116" i="39"/>
  <c r="E116" i="39"/>
  <c r="F115" i="39"/>
  <c r="E115" i="39"/>
  <c r="G114" i="39"/>
  <c r="F114" i="39"/>
  <c r="Q113" i="39"/>
  <c r="O113" i="39"/>
  <c r="N113" i="39"/>
  <c r="L113" i="39"/>
  <c r="J113" i="39"/>
  <c r="I113" i="39"/>
  <c r="F113" i="39"/>
  <c r="E113" i="39"/>
  <c r="G112" i="39"/>
  <c r="F112" i="39"/>
  <c r="G111" i="39"/>
  <c r="G110" i="39" s="1"/>
  <c r="F111" i="39"/>
  <c r="Q110" i="39"/>
  <c r="P110" i="39"/>
  <c r="O110" i="39"/>
  <c r="N110" i="39"/>
  <c r="M110" i="39"/>
  <c r="L110" i="39"/>
  <c r="K110" i="39"/>
  <c r="J110" i="39"/>
  <c r="I110" i="39"/>
  <c r="H110" i="39"/>
  <c r="H86" i="39" s="1"/>
  <c r="E110" i="39"/>
  <c r="G109" i="39"/>
  <c r="F109" i="39"/>
  <c r="G108" i="39"/>
  <c r="F108" i="39"/>
  <c r="G107" i="39"/>
  <c r="F107" i="39"/>
  <c r="G106" i="39"/>
  <c r="F106" i="39"/>
  <c r="G105" i="39"/>
  <c r="F105" i="39"/>
  <c r="G104" i="39"/>
  <c r="F104" i="39"/>
  <c r="F103" i="39"/>
  <c r="F102" i="39"/>
  <c r="F101" i="39"/>
  <c r="F100" i="39"/>
  <c r="Q99" i="39"/>
  <c r="O99" i="39"/>
  <c r="N99" i="39"/>
  <c r="L99" i="39"/>
  <c r="J99" i="39"/>
  <c r="I99" i="39"/>
  <c r="F99" i="39"/>
  <c r="E99" i="39"/>
  <c r="G98" i="39"/>
  <c r="F98" i="39"/>
  <c r="G97" i="39"/>
  <c r="F97" i="39"/>
  <c r="G96" i="39"/>
  <c r="F96" i="39"/>
  <c r="G95" i="39"/>
  <c r="F95" i="39"/>
  <c r="F94" i="39" s="1"/>
  <c r="Q94" i="39"/>
  <c r="P94" i="39"/>
  <c r="O94" i="39"/>
  <c r="N94" i="39"/>
  <c r="M94" i="39"/>
  <c r="L94" i="39"/>
  <c r="K94" i="39"/>
  <c r="J94" i="39"/>
  <c r="I94" i="39"/>
  <c r="H94" i="39"/>
  <c r="E94" i="39"/>
  <c r="G93" i="39"/>
  <c r="F93" i="39"/>
  <c r="G92" i="39"/>
  <c r="F92" i="39"/>
  <c r="G91" i="39"/>
  <c r="F91" i="39"/>
  <c r="G90" i="39"/>
  <c r="G89" i="39"/>
  <c r="G88" i="39"/>
  <c r="Q87" i="39"/>
  <c r="Q86" i="39" s="1"/>
  <c r="P87" i="39"/>
  <c r="O87" i="39"/>
  <c r="N87" i="39"/>
  <c r="N86" i="39" s="1"/>
  <c r="M87" i="39"/>
  <c r="L87" i="39"/>
  <c r="K87" i="39"/>
  <c r="K86" i="39" s="1"/>
  <c r="J87" i="39"/>
  <c r="I87" i="39"/>
  <c r="I86" i="39" s="1"/>
  <c r="H87" i="39"/>
  <c r="E87" i="39"/>
  <c r="G85" i="39"/>
  <c r="G84" i="39"/>
  <c r="Q83" i="39"/>
  <c r="O83" i="39"/>
  <c r="N83" i="39"/>
  <c r="L83" i="39"/>
  <c r="J83" i="39"/>
  <c r="I83" i="39"/>
  <c r="E83" i="39"/>
  <c r="G82" i="39"/>
  <c r="G81" i="39"/>
  <c r="G80" i="39"/>
  <c r="G79" i="39"/>
  <c r="Q78" i="39"/>
  <c r="O78" i="39"/>
  <c r="N78" i="39"/>
  <c r="L78" i="39"/>
  <c r="J78" i="39"/>
  <c r="I78" i="39"/>
  <c r="E78" i="39"/>
  <c r="G77" i="39"/>
  <c r="G76" i="39"/>
  <c r="Q75" i="39"/>
  <c r="O75" i="39"/>
  <c r="N75" i="39"/>
  <c r="L75" i="39"/>
  <c r="J75" i="39"/>
  <c r="I75" i="39"/>
  <c r="E75" i="39"/>
  <c r="E74" i="39" s="1"/>
  <c r="L74" i="39"/>
  <c r="G69" i="39"/>
  <c r="G68" i="39"/>
  <c r="G67" i="39"/>
  <c r="Q66" i="39"/>
  <c r="O66" i="39"/>
  <c r="N66" i="39"/>
  <c r="L66" i="39"/>
  <c r="J66" i="39"/>
  <c r="I66" i="39"/>
  <c r="I60" i="39" s="1"/>
  <c r="E66" i="39"/>
  <c r="G65" i="39"/>
  <c r="G64" i="39"/>
  <c r="G63" i="39"/>
  <c r="G62" i="39"/>
  <c r="Q61" i="39"/>
  <c r="Q60" i="39" s="1"/>
  <c r="O61" i="39"/>
  <c r="N61" i="39"/>
  <c r="L61" i="39"/>
  <c r="J61" i="39"/>
  <c r="J60" i="39" s="1"/>
  <c r="I61" i="39"/>
  <c r="E61" i="39"/>
  <c r="N60" i="39"/>
  <c r="L60" i="39"/>
  <c r="G59" i="39"/>
  <c r="G58" i="39"/>
  <c r="G57" i="39"/>
  <c r="G56" i="39"/>
  <c r="G55" i="39"/>
  <c r="G54" i="39"/>
  <c r="Q53" i="39"/>
  <c r="O53" i="39"/>
  <c r="N53" i="39"/>
  <c r="L53" i="39"/>
  <c r="J53" i="39"/>
  <c r="I53" i="39"/>
  <c r="E53" i="39"/>
  <c r="G52" i="39"/>
  <c r="G51" i="39"/>
  <c r="G50" i="39"/>
  <c r="G49" i="39"/>
  <c r="G48" i="39"/>
  <c r="G47" i="39"/>
  <c r="Q42" i="39"/>
  <c r="O42" i="39"/>
  <c r="N42" i="39"/>
  <c r="L42" i="39"/>
  <c r="J42" i="39"/>
  <c r="I42" i="39"/>
  <c r="E42" i="39"/>
  <c r="G41" i="39"/>
  <c r="G40" i="39"/>
  <c r="Q39" i="39"/>
  <c r="O39" i="39"/>
  <c r="N39" i="39"/>
  <c r="L39" i="39"/>
  <c r="J39" i="39"/>
  <c r="I39" i="39"/>
  <c r="E39" i="39"/>
  <c r="G38" i="39"/>
  <c r="G37" i="39"/>
  <c r="G36" i="39"/>
  <c r="G35" i="39"/>
  <c r="G34" i="39"/>
  <c r="G33" i="39"/>
  <c r="Q32" i="39"/>
  <c r="O32" i="39"/>
  <c r="N32" i="39"/>
  <c r="L32" i="39"/>
  <c r="J32" i="39"/>
  <c r="I32" i="39"/>
  <c r="E32" i="39"/>
  <c r="G31" i="39"/>
  <c r="G30" i="39"/>
  <c r="G29" i="39"/>
  <c r="G28" i="39"/>
  <c r="G27" i="39"/>
  <c r="Q26" i="39"/>
  <c r="O26" i="39"/>
  <c r="N26" i="39"/>
  <c r="L26" i="39"/>
  <c r="J26" i="39"/>
  <c r="I26" i="39"/>
  <c r="E26" i="39"/>
  <c r="G25" i="39"/>
  <c r="G24" i="39"/>
  <c r="G23" i="39"/>
  <c r="G22" i="39"/>
  <c r="G21" i="39"/>
  <c r="G20" i="39"/>
  <c r="Q19" i="39"/>
  <c r="O19" i="39"/>
  <c r="N19" i="39"/>
  <c r="L19" i="39"/>
  <c r="J19" i="39"/>
  <c r="I19" i="39"/>
  <c r="E19" i="39"/>
  <c r="G18" i="39"/>
  <c r="Q17" i="39"/>
  <c r="O17" i="39"/>
  <c r="N17" i="39"/>
  <c r="L17" i="39"/>
  <c r="J17" i="39"/>
  <c r="I17" i="39"/>
  <c r="E17" i="39"/>
  <c r="G16" i="39"/>
  <c r="G15" i="39"/>
  <c r="G10" i="39"/>
  <c r="Q9" i="39"/>
  <c r="O9" i="39"/>
  <c r="N9" i="39"/>
  <c r="L9" i="39"/>
  <c r="J9" i="39"/>
  <c r="I9" i="39"/>
  <c r="E9" i="39"/>
  <c r="M124" i="37"/>
  <c r="M304" i="37"/>
  <c r="M305" i="37"/>
  <c r="M308" i="37"/>
  <c r="M307" i="37"/>
  <c r="M302" i="35"/>
  <c r="M308" i="35"/>
  <c r="M307" i="35"/>
  <c r="M305" i="35"/>
  <c r="M304" i="35"/>
  <c r="M124" i="35"/>
  <c r="M308" i="33"/>
  <c r="M307" i="33"/>
  <c r="M305" i="33"/>
  <c r="M304" i="33"/>
  <c r="M302" i="33"/>
  <c r="M124" i="33"/>
  <c r="M124" i="32"/>
  <c r="M302" i="32"/>
  <c r="M308" i="32"/>
  <c r="M307" i="32"/>
  <c r="M305" i="32"/>
  <c r="M304" i="32"/>
  <c r="M405" i="38"/>
  <c r="M275" i="38"/>
  <c r="J162" i="39" l="1"/>
  <c r="E221" i="39"/>
  <c r="M294" i="39"/>
  <c r="G334" i="39"/>
  <c r="G355" i="39"/>
  <c r="E394" i="39"/>
  <c r="G436" i="39"/>
  <c r="J8" i="39"/>
  <c r="E60" i="39"/>
  <c r="N74" i="39"/>
  <c r="O361" i="39"/>
  <c r="G361" i="39" s="1"/>
  <c r="J86" i="39"/>
  <c r="J7" i="39" s="1"/>
  <c r="G256" i="39"/>
  <c r="K247" i="39"/>
  <c r="J333" i="39"/>
  <c r="Q333" i="39"/>
  <c r="O374" i="39"/>
  <c r="J394" i="39"/>
  <c r="J486" i="39"/>
  <c r="E247" i="39"/>
  <c r="F289" i="39"/>
  <c r="E374" i="39"/>
  <c r="Q413" i="39"/>
  <c r="N435" i="39"/>
  <c r="P86" i="39"/>
  <c r="G94" i="39"/>
  <c r="L333" i="39"/>
  <c r="O435" i="39"/>
  <c r="L515" i="39"/>
  <c r="L485" i="39" s="1"/>
  <c r="N413" i="39"/>
  <c r="L8" i="39"/>
  <c r="L221" i="39"/>
  <c r="E361" i="39"/>
  <c r="E413" i="39"/>
  <c r="E485" i="39"/>
  <c r="N8" i="39"/>
  <c r="Q74" i="39"/>
  <c r="G357" i="39"/>
  <c r="I361" i="39"/>
  <c r="E458" i="39"/>
  <c r="E515" i="39"/>
  <c r="E151" i="39"/>
  <c r="I413" i="39"/>
  <c r="G417" i="39"/>
  <c r="G454" i="39"/>
  <c r="I515" i="39"/>
  <c r="G139" i="39"/>
  <c r="L141" i="39"/>
  <c r="Q162" i="39"/>
  <c r="G83" i="39"/>
  <c r="F87" i="39"/>
  <c r="G471" i="39"/>
  <c r="G148" i="39"/>
  <c r="G19" i="39"/>
  <c r="G32" i="39"/>
  <c r="O60" i="39"/>
  <c r="G60" i="39" s="1"/>
  <c r="G87" i="39"/>
  <c r="G86" i="39" s="1"/>
  <c r="G99" i="39"/>
  <c r="N115" i="39"/>
  <c r="O134" i="39"/>
  <c r="F137" i="39"/>
  <c r="K221" i="39"/>
  <c r="K220" i="39" s="1"/>
  <c r="K219" i="39" s="1"/>
  <c r="K541" i="39" s="1"/>
  <c r="G245" i="39"/>
  <c r="M275" i="39"/>
  <c r="N374" i="39"/>
  <c r="O458" i="39"/>
  <c r="F110" i="39"/>
  <c r="G118" i="39"/>
  <c r="G149" i="39"/>
  <c r="F230" i="39"/>
  <c r="F221" i="39" s="1"/>
  <c r="N247" i="39"/>
  <c r="G315" i="39"/>
  <c r="G323" i="39"/>
  <c r="G325" i="39"/>
  <c r="G385" i="39"/>
  <c r="O413" i="39"/>
  <c r="G513" i="39"/>
  <c r="G530" i="39"/>
  <c r="J74" i="39"/>
  <c r="I74" i="39"/>
  <c r="I134" i="39"/>
  <c r="I133" i="39" s="1"/>
  <c r="J374" i="39"/>
  <c r="G382" i="39"/>
  <c r="L458" i="39"/>
  <c r="G469" i="39"/>
  <c r="G75" i="39"/>
  <c r="L134" i="39"/>
  <c r="L133" i="39" s="1"/>
  <c r="E86" i="39"/>
  <c r="O86" i="39"/>
  <c r="Q221" i="39"/>
  <c r="F250" i="39"/>
  <c r="N333" i="39"/>
  <c r="G371" i="39"/>
  <c r="G379" i="39"/>
  <c r="L394" i="39"/>
  <c r="M413" i="39"/>
  <c r="G423" i="39"/>
  <c r="I435" i="39"/>
  <c r="Q435" i="39"/>
  <c r="Q434" i="39" s="1"/>
  <c r="Q486" i="39"/>
  <c r="I221" i="39"/>
  <c r="L247" i="39"/>
  <c r="G26" i="39"/>
  <c r="G61" i="39"/>
  <c r="G135" i="39"/>
  <c r="G134" i="39" s="1"/>
  <c r="G187" i="39"/>
  <c r="P221" i="39"/>
  <c r="J221" i="39"/>
  <c r="F224" i="39"/>
  <c r="J247" i="39"/>
  <c r="G344" i="39"/>
  <c r="G333" i="39" s="1"/>
  <c r="L361" i="39"/>
  <c r="G368" i="39"/>
  <c r="G388" i="39"/>
  <c r="G414" i="39"/>
  <c r="G413" i="39" s="1"/>
  <c r="G461" i="39"/>
  <c r="O141" i="39"/>
  <c r="M86" i="39"/>
  <c r="M7" i="39" s="1"/>
  <c r="M6" i="39" s="1"/>
  <c r="M210" i="39" s="1"/>
  <c r="G164" i="39"/>
  <c r="G174" i="39"/>
  <c r="K413" i="39"/>
  <c r="N486" i="39"/>
  <c r="N485" i="39" s="1"/>
  <c r="Q8" i="39"/>
  <c r="Q7" i="39" s="1"/>
  <c r="O74" i="39"/>
  <c r="L86" i="39"/>
  <c r="M221" i="39"/>
  <c r="G253" i="39"/>
  <c r="G331" i="39"/>
  <c r="G395" i="39"/>
  <c r="E435" i="39"/>
  <c r="E434" i="39" s="1"/>
  <c r="O515" i="39"/>
  <c r="G66" i="39"/>
  <c r="M303" i="39"/>
  <c r="M293" i="39" s="1"/>
  <c r="F293" i="39" s="1"/>
  <c r="G399" i="39"/>
  <c r="G432" i="39"/>
  <c r="L434" i="39"/>
  <c r="G475" i="39"/>
  <c r="I474" i="39"/>
  <c r="G483" i="39"/>
  <c r="G501" i="39"/>
  <c r="O8" i="39"/>
  <c r="O7" i="39" s="1"/>
  <c r="N141" i="39"/>
  <c r="E163" i="39"/>
  <c r="P286" i="39"/>
  <c r="G426" i="39"/>
  <c r="G509" i="39"/>
  <c r="E133" i="39"/>
  <c r="Q151" i="39"/>
  <c r="O186" i="39"/>
  <c r="G230" i="39"/>
  <c r="G252" i="39"/>
  <c r="G278" i="39"/>
  <c r="O314" i="39"/>
  <c r="G452" i="39"/>
  <c r="N458" i="39"/>
  <c r="G511" i="39"/>
  <c r="O115" i="39"/>
  <c r="G144" i="39"/>
  <c r="N224" i="39"/>
  <c r="Q474" i="39"/>
  <c r="G42" i="39"/>
  <c r="G78" i="39"/>
  <c r="G142" i="39"/>
  <c r="G146" i="39"/>
  <c r="N151" i="39"/>
  <c r="O163" i="39"/>
  <c r="L186" i="39"/>
  <c r="O247" i="39"/>
  <c r="L314" i="39"/>
  <c r="O394" i="39"/>
  <c r="I458" i="39"/>
  <c r="O474" i="39"/>
  <c r="O486" i="39"/>
  <c r="O485" i="39" s="1"/>
  <c r="G516" i="39"/>
  <c r="G539" i="39"/>
  <c r="I8" i="39"/>
  <c r="G39" i="39"/>
  <c r="L115" i="39"/>
  <c r="N134" i="39"/>
  <c r="O221" i="39"/>
  <c r="G228" i="39"/>
  <c r="G243" i="39"/>
  <c r="G327" i="39"/>
  <c r="N474" i="39"/>
  <c r="G9" i="39"/>
  <c r="E8" i="39"/>
  <c r="E7" i="39" s="1"/>
  <c r="E6" i="39" s="1"/>
  <c r="G113" i="39"/>
  <c r="G154" i="39"/>
  <c r="L163" i="39"/>
  <c r="G197" i="39"/>
  <c r="G365" i="39"/>
  <c r="G444" i="39"/>
  <c r="G441" i="39" s="1"/>
  <c r="G459" i="39"/>
  <c r="G53" i="39"/>
  <c r="G116" i="39"/>
  <c r="K134" i="39"/>
  <c r="F134" i="39" s="1"/>
  <c r="J134" i="39"/>
  <c r="Q141" i="39"/>
  <c r="G152" i="39"/>
  <c r="G160" i="39"/>
  <c r="E186" i="39"/>
  <c r="E162" i="39" s="1"/>
  <c r="Q247" i="39"/>
  <c r="G313" i="39"/>
  <c r="E314" i="39"/>
  <c r="G362" i="39"/>
  <c r="L374" i="39"/>
  <c r="G391" i="39"/>
  <c r="F413" i="39"/>
  <c r="F441" i="39"/>
  <c r="F435" i="39" s="1"/>
  <c r="F434" i="39" s="1"/>
  <c r="G477" i="39"/>
  <c r="I482" i="39"/>
  <c r="G482" i="39" s="1"/>
  <c r="G487" i="39"/>
  <c r="Q515" i="39"/>
  <c r="Q485" i="39" s="1"/>
  <c r="I220" i="41"/>
  <c r="I542" i="41" s="1"/>
  <c r="O220" i="41"/>
  <c r="O542" i="41" s="1"/>
  <c r="E542" i="41"/>
  <c r="H220" i="41"/>
  <c r="H542" i="41" s="1"/>
  <c r="J220" i="41"/>
  <c r="J542" i="41" s="1"/>
  <c r="N7" i="41"/>
  <c r="N211" i="41" s="1"/>
  <c r="M294" i="41"/>
  <c r="T294" i="41" s="1"/>
  <c r="T304" i="41"/>
  <c r="L220" i="41"/>
  <c r="L542" i="41" s="1"/>
  <c r="G435" i="41"/>
  <c r="Q542" i="41"/>
  <c r="G486" i="41"/>
  <c r="G134" i="41"/>
  <c r="G7" i="41" s="1"/>
  <c r="J7" i="41"/>
  <c r="J211" i="41" s="1"/>
  <c r="I211" i="41"/>
  <c r="O7" i="41"/>
  <c r="O211" i="41" s="1"/>
  <c r="P544" i="41"/>
  <c r="N220" i="41"/>
  <c r="N542" i="41" s="1"/>
  <c r="L211" i="41"/>
  <c r="G163" i="41"/>
  <c r="P7" i="39"/>
  <c r="P6" i="39" s="1"/>
  <c r="P210" i="39" s="1"/>
  <c r="K548" i="41"/>
  <c r="K544" i="41"/>
  <c r="M8" i="41"/>
  <c r="F123" i="41"/>
  <c r="F123" i="39"/>
  <c r="H247" i="39"/>
  <c r="H220" i="39" s="1"/>
  <c r="H219" i="39" s="1"/>
  <c r="L7" i="39"/>
  <c r="L6" i="39" s="1"/>
  <c r="G435" i="39"/>
  <c r="N133" i="39"/>
  <c r="O434" i="39"/>
  <c r="G17" i="39"/>
  <c r="J141" i="39"/>
  <c r="J151" i="39"/>
  <c r="N222" i="39"/>
  <c r="N221" i="39" s="1"/>
  <c r="N220" i="39" s="1"/>
  <c r="G225" i="39"/>
  <c r="G224" i="39" s="1"/>
  <c r="M248" i="39"/>
  <c r="G251" i="39"/>
  <c r="P262" i="39"/>
  <c r="G264" i="39"/>
  <c r="G262" i="39" s="1"/>
  <c r="G281" i="39"/>
  <c r="G282" i="39"/>
  <c r="M283" i="39"/>
  <c r="F295" i="39"/>
  <c r="F294" i="39" s="1"/>
  <c r="F304" i="39"/>
  <c r="F303" i="39" s="1"/>
  <c r="I314" i="39"/>
  <c r="G314" i="39" s="1"/>
  <c r="I394" i="39"/>
  <c r="F251" i="39"/>
  <c r="F248" i="39" s="1"/>
  <c r="F264" i="39"/>
  <c r="F262" i="39" s="1"/>
  <c r="F281" i="39"/>
  <c r="F282" i="39"/>
  <c r="I115" i="39"/>
  <c r="K122" i="39"/>
  <c r="H126" i="39"/>
  <c r="I163" i="39"/>
  <c r="I186" i="39"/>
  <c r="G186" i="39" s="1"/>
  <c r="G285" i="39"/>
  <c r="G283" i="39" s="1"/>
  <c r="J474" i="39"/>
  <c r="G474" i="39" s="1"/>
  <c r="G479" i="39"/>
  <c r="I486" i="39"/>
  <c r="J515" i="39"/>
  <c r="J485" i="39" s="1"/>
  <c r="M404" i="38"/>
  <c r="M322" i="38"/>
  <c r="M317" i="38" s="1"/>
  <c r="G296" i="38"/>
  <c r="K279" i="38"/>
  <c r="G279" i="38" s="1"/>
  <c r="K263" i="38"/>
  <c r="F117" i="38"/>
  <c r="F115" i="38"/>
  <c r="E295" i="38"/>
  <c r="E287" i="38" s="1"/>
  <c r="E251" i="38"/>
  <c r="F251" i="38" s="1"/>
  <c r="G523" i="38"/>
  <c r="N523" i="38" s="1"/>
  <c r="M522" i="38"/>
  <c r="L522" i="38"/>
  <c r="K522" i="38"/>
  <c r="J522" i="38"/>
  <c r="I522" i="38"/>
  <c r="H522" i="38"/>
  <c r="F522" i="38"/>
  <c r="E522" i="38"/>
  <c r="D522" i="38"/>
  <c r="G521" i="38"/>
  <c r="N521" i="38" s="1"/>
  <c r="N520" i="38"/>
  <c r="G520" i="38"/>
  <c r="G519" i="38"/>
  <c r="N519" i="38" s="1"/>
  <c r="N518" i="38"/>
  <c r="G518" i="38"/>
  <c r="G517" i="38"/>
  <c r="N517" i="38" s="1"/>
  <c r="G516" i="38"/>
  <c r="N516" i="38" s="1"/>
  <c r="G515" i="38"/>
  <c r="N515" i="38" s="1"/>
  <c r="G514" i="38"/>
  <c r="N514" i="38" s="1"/>
  <c r="M513" i="38"/>
  <c r="L513" i="38"/>
  <c r="K513" i="38"/>
  <c r="J513" i="38"/>
  <c r="I513" i="38"/>
  <c r="H513" i="38"/>
  <c r="F513" i="38"/>
  <c r="E513" i="38"/>
  <c r="D513" i="38"/>
  <c r="G512" i="38"/>
  <c r="N512" i="38" s="1"/>
  <c r="G511" i="38"/>
  <c r="N511" i="38" s="1"/>
  <c r="G510" i="38"/>
  <c r="N510" i="38" s="1"/>
  <c r="G509" i="38"/>
  <c r="N509" i="38" s="1"/>
  <c r="G508" i="38"/>
  <c r="N508" i="38" s="1"/>
  <c r="G507" i="38"/>
  <c r="N507" i="38" s="1"/>
  <c r="G506" i="38"/>
  <c r="N506" i="38" s="1"/>
  <c r="G505" i="38"/>
  <c r="N505" i="38" s="1"/>
  <c r="N504" i="38"/>
  <c r="N503" i="38"/>
  <c r="N502" i="38"/>
  <c r="N501" i="38"/>
  <c r="G500" i="38"/>
  <c r="N500" i="38" s="1"/>
  <c r="M499" i="38"/>
  <c r="L499" i="38"/>
  <c r="K499" i="38"/>
  <c r="J499" i="38"/>
  <c r="J498" i="38" s="1"/>
  <c r="I499" i="38"/>
  <c r="I498" i="38" s="1"/>
  <c r="H499" i="38"/>
  <c r="F499" i="38"/>
  <c r="F498" i="38" s="1"/>
  <c r="E499" i="38"/>
  <c r="E498" i="38" s="1"/>
  <c r="D499" i="38"/>
  <c r="D498" i="38" s="1"/>
  <c r="G497" i="38"/>
  <c r="N497" i="38" s="1"/>
  <c r="M496" i="38"/>
  <c r="L496" i="38"/>
  <c r="K496" i="38"/>
  <c r="J496" i="38"/>
  <c r="I496" i="38"/>
  <c r="H496" i="38"/>
  <c r="G496" i="38" s="1"/>
  <c r="F496" i="38"/>
  <c r="E496" i="38"/>
  <c r="D496" i="38"/>
  <c r="G495" i="38"/>
  <c r="N495" i="38" s="1"/>
  <c r="M494" i="38"/>
  <c r="L494" i="38"/>
  <c r="K494" i="38"/>
  <c r="J494" i="38"/>
  <c r="I494" i="38"/>
  <c r="H494" i="38"/>
  <c r="G494" i="38" s="1"/>
  <c r="N494" i="38" s="1"/>
  <c r="F494" i="38"/>
  <c r="E494" i="38"/>
  <c r="D494" i="38"/>
  <c r="G493" i="38"/>
  <c r="N493" i="38" s="1"/>
  <c r="M492" i="38"/>
  <c r="L492" i="38"/>
  <c r="K492" i="38"/>
  <c r="J492" i="38"/>
  <c r="I492" i="38"/>
  <c r="H492" i="38"/>
  <c r="F492" i="38"/>
  <c r="E492" i="38"/>
  <c r="D492" i="38"/>
  <c r="G491" i="38"/>
  <c r="N491" i="38" s="1"/>
  <c r="G490" i="38"/>
  <c r="N490" i="38" s="1"/>
  <c r="G489" i="38"/>
  <c r="N489" i="38" s="1"/>
  <c r="G488" i="38"/>
  <c r="N488" i="38" s="1"/>
  <c r="N487" i="38"/>
  <c r="G487" i="38"/>
  <c r="G486" i="38"/>
  <c r="N486" i="38" s="1"/>
  <c r="G485" i="38"/>
  <c r="N485" i="38" s="1"/>
  <c r="M484" i="38"/>
  <c r="L484" i="38"/>
  <c r="K484" i="38"/>
  <c r="J484" i="38"/>
  <c r="I484" i="38"/>
  <c r="H484" i="38"/>
  <c r="F484" i="38"/>
  <c r="E484" i="38"/>
  <c r="D484" i="38"/>
  <c r="G483" i="38"/>
  <c r="N483" i="38" s="1"/>
  <c r="G482" i="38"/>
  <c r="N482" i="38" s="1"/>
  <c r="G481" i="38"/>
  <c r="N481" i="38" s="1"/>
  <c r="G480" i="38"/>
  <c r="N480" i="38" s="1"/>
  <c r="G479" i="38"/>
  <c r="N479" i="38" s="1"/>
  <c r="G478" i="38"/>
  <c r="N478" i="38" s="1"/>
  <c r="N477" i="38"/>
  <c r="N476" i="38"/>
  <c r="N475" i="38"/>
  <c r="N474" i="38"/>
  <c r="G473" i="38"/>
  <c r="N473" i="38" s="1"/>
  <c r="G472" i="38"/>
  <c r="N472" i="38" s="1"/>
  <c r="G471" i="38"/>
  <c r="N471" i="38" s="1"/>
  <c r="M470" i="38"/>
  <c r="L470" i="38"/>
  <c r="K470" i="38"/>
  <c r="J470" i="38"/>
  <c r="I470" i="38"/>
  <c r="I469" i="38" s="1"/>
  <c r="H470" i="38"/>
  <c r="F470" i="38"/>
  <c r="E470" i="38"/>
  <c r="D470" i="38"/>
  <c r="G467" i="38"/>
  <c r="N467" i="38" s="1"/>
  <c r="M466" i="38"/>
  <c r="M465" i="38" s="1"/>
  <c r="L466" i="38"/>
  <c r="L465" i="38" s="1"/>
  <c r="K466" i="38"/>
  <c r="J466" i="38"/>
  <c r="I466" i="38"/>
  <c r="I465" i="38" s="1"/>
  <c r="H466" i="38"/>
  <c r="F466" i="38"/>
  <c r="F465" i="38" s="1"/>
  <c r="E466" i="38"/>
  <c r="E465" i="38" s="1"/>
  <c r="D466" i="38"/>
  <c r="D465" i="38" s="1"/>
  <c r="K465" i="38"/>
  <c r="J465" i="38"/>
  <c r="G464" i="38"/>
  <c r="N464" i="38" s="1"/>
  <c r="G463" i="38"/>
  <c r="N463" i="38" s="1"/>
  <c r="M462" i="38"/>
  <c r="L462" i="38"/>
  <c r="K462" i="38"/>
  <c r="K457" i="38" s="1"/>
  <c r="J462" i="38"/>
  <c r="I462" i="38"/>
  <c r="H462" i="38"/>
  <c r="F462" i="38"/>
  <c r="E462" i="38"/>
  <c r="D462" i="38"/>
  <c r="G461" i="38"/>
  <c r="N461" i="38" s="1"/>
  <c r="M460" i="38"/>
  <c r="L460" i="38"/>
  <c r="K460" i="38"/>
  <c r="J460" i="38"/>
  <c r="I460" i="38"/>
  <c r="H460" i="38"/>
  <c r="F460" i="38"/>
  <c r="E460" i="38"/>
  <c r="D460" i="38"/>
  <c r="N459" i="38"/>
  <c r="G459" i="38"/>
  <c r="M458" i="38"/>
  <c r="L458" i="38"/>
  <c r="K458" i="38"/>
  <c r="J458" i="38"/>
  <c r="I458" i="38"/>
  <c r="H458" i="38"/>
  <c r="F458" i="38"/>
  <c r="E458" i="38"/>
  <c r="D458" i="38"/>
  <c r="D457" i="38" s="1"/>
  <c r="L457" i="38"/>
  <c r="G456" i="38"/>
  <c r="N456" i="38" s="1"/>
  <c r="M455" i="38"/>
  <c r="M454" i="38" s="1"/>
  <c r="L455" i="38"/>
  <c r="K455" i="38"/>
  <c r="J455" i="38"/>
  <c r="I455" i="38"/>
  <c r="I454" i="38" s="1"/>
  <c r="H455" i="38"/>
  <c r="F455" i="38"/>
  <c r="F454" i="38" s="1"/>
  <c r="E455" i="38"/>
  <c r="E454" i="38" s="1"/>
  <c r="D455" i="38"/>
  <c r="D454" i="38" s="1"/>
  <c r="L454" i="38"/>
  <c r="K454" i="38"/>
  <c r="J454" i="38"/>
  <c r="G453" i="38"/>
  <c r="N453" i="38" s="1"/>
  <c r="M452" i="38"/>
  <c r="L452" i="38"/>
  <c r="K452" i="38"/>
  <c r="J452" i="38"/>
  <c r="J441" i="38" s="1"/>
  <c r="I452" i="38"/>
  <c r="H452" i="38"/>
  <c r="F452" i="38"/>
  <c r="E452" i="38"/>
  <c r="D452" i="38"/>
  <c r="G451" i="38"/>
  <c r="N451" i="38" s="1"/>
  <c r="G450" i="38"/>
  <c r="N450" i="38" s="1"/>
  <c r="N449" i="38"/>
  <c r="N448" i="38"/>
  <c r="N447" i="38"/>
  <c r="N446" i="38"/>
  <c r="G445" i="38"/>
  <c r="N445" i="38" s="1"/>
  <c r="M444" i="38"/>
  <c r="L444" i="38"/>
  <c r="K444" i="38"/>
  <c r="J444" i="38"/>
  <c r="I444" i="38"/>
  <c r="H444" i="38"/>
  <c r="F444" i="38"/>
  <c r="E444" i="38"/>
  <c r="D444" i="38"/>
  <c r="G443" i="38"/>
  <c r="N443" i="38" s="1"/>
  <c r="M442" i="38"/>
  <c r="L442" i="38"/>
  <c r="K442" i="38"/>
  <c r="K441" i="38" s="1"/>
  <c r="J442" i="38"/>
  <c r="G442" i="38" s="1"/>
  <c r="N442" i="38" s="1"/>
  <c r="I442" i="38"/>
  <c r="H442" i="38"/>
  <c r="F442" i="38"/>
  <c r="E442" i="38"/>
  <c r="D442" i="38"/>
  <c r="G440" i="38"/>
  <c r="F440" i="38"/>
  <c r="F439" i="38" s="1"/>
  <c r="M439" i="38"/>
  <c r="L439" i="38"/>
  <c r="K439" i="38"/>
  <c r="J439" i="38"/>
  <c r="I439" i="38"/>
  <c r="H439" i="38"/>
  <c r="E439" i="38"/>
  <c r="D439" i="38"/>
  <c r="G438" i="38"/>
  <c r="N438" i="38" s="1"/>
  <c r="M437" i="38"/>
  <c r="L437" i="38"/>
  <c r="K437" i="38"/>
  <c r="J437" i="38"/>
  <c r="I437" i="38"/>
  <c r="I418" i="38" s="1"/>
  <c r="H437" i="38"/>
  <c r="F437" i="38"/>
  <c r="E437" i="38"/>
  <c r="D437" i="38"/>
  <c r="G436" i="38"/>
  <c r="N436" i="38" s="1"/>
  <c r="M435" i="38"/>
  <c r="L435" i="38"/>
  <c r="K435" i="38"/>
  <c r="J435" i="38"/>
  <c r="I435" i="38"/>
  <c r="H435" i="38"/>
  <c r="F435" i="38"/>
  <c r="E435" i="38"/>
  <c r="D435" i="38"/>
  <c r="G434" i="38"/>
  <c r="N434" i="38" s="1"/>
  <c r="G433" i="38"/>
  <c r="N433" i="38" s="1"/>
  <c r="G432" i="38"/>
  <c r="N432" i="38" s="1"/>
  <c r="G431" i="38"/>
  <c r="N431" i="38" s="1"/>
  <c r="G430" i="38"/>
  <c r="D430" i="38"/>
  <c r="D424" i="38" s="1"/>
  <c r="D418" i="38" s="1"/>
  <c r="G429" i="38"/>
  <c r="F429" i="38"/>
  <c r="G428" i="38"/>
  <c r="F428" i="38"/>
  <c r="N428" i="38" s="1"/>
  <c r="G427" i="38"/>
  <c r="N427" i="38" s="1"/>
  <c r="F427" i="38"/>
  <c r="G426" i="38"/>
  <c r="F426" i="38"/>
  <c r="G425" i="38"/>
  <c r="N425" i="38" s="1"/>
  <c r="M424" i="38"/>
  <c r="L424" i="38"/>
  <c r="K424" i="38"/>
  <c r="J424" i="38"/>
  <c r="I424" i="38"/>
  <c r="H424" i="38"/>
  <c r="E424" i="38"/>
  <c r="G423" i="38"/>
  <c r="N423" i="38" s="1"/>
  <c r="G422" i="38"/>
  <c r="F422" i="38"/>
  <c r="F419" i="38" s="1"/>
  <c r="G421" i="38"/>
  <c r="N421" i="38" s="1"/>
  <c r="G420" i="38"/>
  <c r="N420" i="38" s="1"/>
  <c r="M419" i="38"/>
  <c r="L419" i="38"/>
  <c r="K419" i="38"/>
  <c r="J419" i="38"/>
  <c r="I419" i="38"/>
  <c r="H419" i="38"/>
  <c r="E419" i="38"/>
  <c r="D419" i="38"/>
  <c r="G416" i="38"/>
  <c r="N416" i="38" s="1"/>
  <c r="M415" i="38"/>
  <c r="L415" i="38"/>
  <c r="K415" i="38"/>
  <c r="J415" i="38"/>
  <c r="I415" i="38"/>
  <c r="H415" i="38"/>
  <c r="F415" i="38"/>
  <c r="E415" i="38"/>
  <c r="D415" i="38"/>
  <c r="N414" i="38"/>
  <c r="N413" i="38"/>
  <c r="N412" i="38"/>
  <c r="N411" i="38"/>
  <c r="G410" i="38"/>
  <c r="N410" i="38" s="1"/>
  <c r="M409" i="38"/>
  <c r="L409" i="38"/>
  <c r="K409" i="38"/>
  <c r="J409" i="38"/>
  <c r="I409" i="38"/>
  <c r="H409" i="38"/>
  <c r="F409" i="38"/>
  <c r="E409" i="38"/>
  <c r="D409" i="38"/>
  <c r="N408" i="38"/>
  <c r="G408" i="38"/>
  <c r="G407" i="38"/>
  <c r="N407" i="38" s="1"/>
  <c r="M406" i="38"/>
  <c r="L406" i="38"/>
  <c r="K406" i="38"/>
  <c r="J406" i="38"/>
  <c r="I406" i="38"/>
  <c r="H406" i="38"/>
  <c r="F406" i="38"/>
  <c r="E406" i="38"/>
  <c r="D406" i="38"/>
  <c r="G405" i="38"/>
  <c r="F405" i="38"/>
  <c r="F404" i="38" s="1"/>
  <c r="L404" i="38"/>
  <c r="K404" i="38"/>
  <c r="J404" i="38"/>
  <c r="I404" i="38"/>
  <c r="H404" i="38"/>
  <c r="E404" i="38"/>
  <c r="D404" i="38"/>
  <c r="G403" i="38"/>
  <c r="N403" i="38" s="1"/>
  <c r="F403" i="38"/>
  <c r="G402" i="38"/>
  <c r="F402" i="38"/>
  <c r="N402" i="38" s="1"/>
  <c r="G401" i="38"/>
  <c r="F401" i="38"/>
  <c r="M400" i="38"/>
  <c r="L400" i="38"/>
  <c r="K400" i="38"/>
  <c r="J400" i="38"/>
  <c r="I400" i="38"/>
  <c r="H400" i="38"/>
  <c r="E400" i="38"/>
  <c r="D400" i="38"/>
  <c r="G399" i="38"/>
  <c r="F399" i="38"/>
  <c r="F397" i="38" s="1"/>
  <c r="G398" i="38"/>
  <c r="N398" i="38" s="1"/>
  <c r="M397" i="38"/>
  <c r="L397" i="38"/>
  <c r="K397" i="38"/>
  <c r="J397" i="38"/>
  <c r="I397" i="38"/>
  <c r="H397" i="38"/>
  <c r="E397" i="38"/>
  <c r="D397" i="38"/>
  <c r="G395" i="38"/>
  <c r="N395" i="38" s="1"/>
  <c r="N394" i="38"/>
  <c r="G394" i="38"/>
  <c r="G393" i="38"/>
  <c r="N393" i="38" s="1"/>
  <c r="N392" i="38"/>
  <c r="G392" i="38"/>
  <c r="G391" i="38"/>
  <c r="N391" i="38" s="1"/>
  <c r="G390" i="38"/>
  <c r="N390" i="38" s="1"/>
  <c r="G389" i="38"/>
  <c r="N389" i="38" s="1"/>
  <c r="G388" i="38"/>
  <c r="N388" i="38" s="1"/>
  <c r="N387" i="38"/>
  <c r="G387" i="38"/>
  <c r="N386" i="38"/>
  <c r="N385" i="38"/>
  <c r="N384" i="38"/>
  <c r="N383" i="38"/>
  <c r="M382" i="38"/>
  <c r="L382" i="38"/>
  <c r="K382" i="38"/>
  <c r="J382" i="38"/>
  <c r="J377" i="38" s="1"/>
  <c r="I382" i="38"/>
  <c r="H382" i="38"/>
  <c r="F382" i="38"/>
  <c r="F377" i="38" s="1"/>
  <c r="E382" i="38"/>
  <c r="D382" i="38"/>
  <c r="G381" i="38"/>
  <c r="N381" i="38" s="1"/>
  <c r="G380" i="38"/>
  <c r="N380" i="38" s="1"/>
  <c r="G379" i="38"/>
  <c r="N379" i="38" s="1"/>
  <c r="M378" i="38"/>
  <c r="L378" i="38"/>
  <c r="L377" i="38" s="1"/>
  <c r="K378" i="38"/>
  <c r="J378" i="38"/>
  <c r="I378" i="38"/>
  <c r="H378" i="38"/>
  <c r="F378" i="38"/>
  <c r="E378" i="38"/>
  <c r="D378" i="38"/>
  <c r="N376" i="38"/>
  <c r="G376" i="38"/>
  <c r="G375" i="38"/>
  <c r="F375" i="38"/>
  <c r="F374" i="38" s="1"/>
  <c r="M374" i="38"/>
  <c r="L374" i="38"/>
  <c r="K374" i="38"/>
  <c r="J374" i="38"/>
  <c r="I374" i="38"/>
  <c r="H374" i="38"/>
  <c r="E374" i="38"/>
  <c r="D374" i="38"/>
  <c r="N373" i="38"/>
  <c r="G373" i="38"/>
  <c r="G372" i="38"/>
  <c r="N372" i="38" s="1"/>
  <c r="M371" i="38"/>
  <c r="L371" i="38"/>
  <c r="K371" i="38"/>
  <c r="J371" i="38"/>
  <c r="I371" i="38"/>
  <c r="H371" i="38"/>
  <c r="F371" i="38"/>
  <c r="E371" i="38"/>
  <c r="D371" i="38"/>
  <c r="G370" i="38"/>
  <c r="N370" i="38" s="1"/>
  <c r="G369" i="38"/>
  <c r="N369" i="38" s="1"/>
  <c r="M368" i="38"/>
  <c r="L368" i="38"/>
  <c r="K368" i="38"/>
  <c r="J368" i="38"/>
  <c r="I368" i="38"/>
  <c r="H368" i="38"/>
  <c r="F368" i="38"/>
  <c r="E368" i="38"/>
  <c r="D368" i="38"/>
  <c r="G367" i="38"/>
  <c r="N367" i="38" s="1"/>
  <c r="G366" i="38"/>
  <c r="N366" i="38" s="1"/>
  <c r="M365" i="38"/>
  <c r="L365" i="38"/>
  <c r="K365" i="38"/>
  <c r="J365" i="38"/>
  <c r="I365" i="38"/>
  <c r="H365" i="38"/>
  <c r="F365" i="38"/>
  <c r="E365" i="38"/>
  <c r="D365" i="38"/>
  <c r="G364" i="38"/>
  <c r="N364" i="38" s="1"/>
  <c r="G363" i="38"/>
  <c r="N363" i="38" s="1"/>
  <c r="M362" i="38"/>
  <c r="L362" i="38"/>
  <c r="K362" i="38"/>
  <c r="J362" i="38"/>
  <c r="I362" i="38"/>
  <c r="H362" i="38"/>
  <c r="F362" i="38"/>
  <c r="E362" i="38"/>
  <c r="D362" i="38"/>
  <c r="N361" i="38"/>
  <c r="N360" i="38"/>
  <c r="N359" i="38"/>
  <c r="N358" i="38"/>
  <c r="G356" i="38"/>
  <c r="N356" i="38" s="1"/>
  <c r="G355" i="38"/>
  <c r="N355" i="38" s="1"/>
  <c r="M354" i="38"/>
  <c r="L354" i="38"/>
  <c r="K354" i="38"/>
  <c r="J354" i="38"/>
  <c r="I354" i="38"/>
  <c r="H354" i="38"/>
  <c r="F354" i="38"/>
  <c r="E354" i="38"/>
  <c r="D354" i="38"/>
  <c r="G353" i="38"/>
  <c r="N353" i="38" s="1"/>
  <c r="G352" i="38"/>
  <c r="N352" i="38" s="1"/>
  <c r="M351" i="38"/>
  <c r="L351" i="38"/>
  <c r="K351" i="38"/>
  <c r="J351" i="38"/>
  <c r="I351" i="38"/>
  <c r="H351" i="38"/>
  <c r="F351" i="38"/>
  <c r="E351" i="38"/>
  <c r="D351" i="38"/>
  <c r="G350" i="38"/>
  <c r="N350" i="38" s="1"/>
  <c r="G349" i="38"/>
  <c r="N349" i="38" s="1"/>
  <c r="M348" i="38"/>
  <c r="L348" i="38"/>
  <c r="K348" i="38"/>
  <c r="J348" i="38"/>
  <c r="I348" i="38"/>
  <c r="H348" i="38"/>
  <c r="F348" i="38"/>
  <c r="E348" i="38"/>
  <c r="D348" i="38"/>
  <c r="G347" i="38"/>
  <c r="N347" i="38" s="1"/>
  <c r="G346" i="38"/>
  <c r="N346" i="38" s="1"/>
  <c r="M345" i="38"/>
  <c r="L345" i="38"/>
  <c r="K345" i="38"/>
  <c r="J345" i="38"/>
  <c r="I345" i="38"/>
  <c r="H345" i="38"/>
  <c r="F345" i="38"/>
  <c r="E345" i="38"/>
  <c r="D345" i="38"/>
  <c r="J344" i="38"/>
  <c r="G343" i="38"/>
  <c r="N343" i="38" s="1"/>
  <c r="G342" i="38"/>
  <c r="N342" i="38" s="1"/>
  <c r="G341" i="38"/>
  <c r="N341" i="38" s="1"/>
  <c r="M340" i="38"/>
  <c r="L340" i="38"/>
  <c r="K340" i="38"/>
  <c r="J340" i="38"/>
  <c r="I340" i="38"/>
  <c r="H340" i="38"/>
  <c r="F340" i="38"/>
  <c r="E340" i="38"/>
  <c r="D340" i="38"/>
  <c r="G339" i="38"/>
  <c r="N339" i="38" s="1"/>
  <c r="M338" i="38"/>
  <c r="L338" i="38"/>
  <c r="K338" i="38"/>
  <c r="J338" i="38"/>
  <c r="I338" i="38"/>
  <c r="H338" i="38"/>
  <c r="F338" i="38"/>
  <c r="E338" i="38"/>
  <c r="D338" i="38"/>
  <c r="G337" i="38"/>
  <c r="N337" i="38" s="1"/>
  <c r="G336" i="38"/>
  <c r="N336" i="38" s="1"/>
  <c r="N335" i="38"/>
  <c r="N334" i="38"/>
  <c r="N333" i="38"/>
  <c r="N332" i="38"/>
  <c r="G331" i="38"/>
  <c r="N331" i="38" s="1"/>
  <c r="G330" i="38"/>
  <c r="N330" i="38" s="1"/>
  <c r="G329" i="38"/>
  <c r="N329" i="38" s="1"/>
  <c r="G328" i="38"/>
  <c r="N328" i="38" s="1"/>
  <c r="M327" i="38"/>
  <c r="L327" i="38"/>
  <c r="K327" i="38"/>
  <c r="J327" i="38"/>
  <c r="I327" i="38"/>
  <c r="H327" i="38"/>
  <c r="F327" i="38"/>
  <c r="E327" i="38"/>
  <c r="D327" i="38"/>
  <c r="G326" i="38"/>
  <c r="N326" i="38" s="1"/>
  <c r="G325" i="38"/>
  <c r="N325" i="38" s="1"/>
  <c r="G324" i="38"/>
  <c r="N324" i="38" s="1"/>
  <c r="G323" i="38"/>
  <c r="N323" i="38" s="1"/>
  <c r="G322" i="38"/>
  <c r="N322" i="38" s="1"/>
  <c r="F322" i="38"/>
  <c r="G321" i="38"/>
  <c r="N321" i="38" s="1"/>
  <c r="G320" i="38"/>
  <c r="N320" i="38" s="1"/>
  <c r="G319" i="38"/>
  <c r="N319" i="38" s="1"/>
  <c r="G318" i="38"/>
  <c r="N318" i="38" s="1"/>
  <c r="L317" i="38"/>
  <c r="K317" i="38"/>
  <c r="J317" i="38"/>
  <c r="I317" i="38"/>
  <c r="H317" i="38"/>
  <c r="H316" i="38" s="1"/>
  <c r="F317" i="38"/>
  <c r="E317" i="38"/>
  <c r="E316" i="38" s="1"/>
  <c r="D317" i="38"/>
  <c r="G315" i="38"/>
  <c r="N315" i="38" s="1"/>
  <c r="M314" i="38"/>
  <c r="L314" i="38"/>
  <c r="K314" i="38"/>
  <c r="J314" i="38"/>
  <c r="I314" i="38"/>
  <c r="H314" i="38"/>
  <c r="F314" i="38"/>
  <c r="E314" i="38"/>
  <c r="G313" i="38"/>
  <c r="N313" i="38" s="1"/>
  <c r="N312" i="38"/>
  <c r="G312" i="38"/>
  <c r="G311" i="38"/>
  <c r="N311" i="38" s="1"/>
  <c r="M310" i="38"/>
  <c r="L310" i="38"/>
  <c r="K310" i="38"/>
  <c r="J310" i="38"/>
  <c r="I310" i="38"/>
  <c r="H310" i="38"/>
  <c r="F310" i="38"/>
  <c r="E310" i="38"/>
  <c r="G309" i="38"/>
  <c r="N309" i="38" s="1"/>
  <c r="M308" i="38"/>
  <c r="L308" i="38"/>
  <c r="K308" i="38"/>
  <c r="J308" i="38"/>
  <c r="I308" i="38"/>
  <c r="H308" i="38"/>
  <c r="F308" i="38"/>
  <c r="E308" i="38"/>
  <c r="G307" i="38"/>
  <c r="N307" i="38" s="1"/>
  <c r="M306" i="38"/>
  <c r="L306" i="38"/>
  <c r="K306" i="38"/>
  <c r="J306" i="38"/>
  <c r="I306" i="38"/>
  <c r="H306" i="38"/>
  <c r="F306" i="38"/>
  <c r="E306" i="38"/>
  <c r="N305" i="38"/>
  <c r="N304" i="38"/>
  <c r="N303" i="38"/>
  <c r="N302" i="38"/>
  <c r="G301" i="38"/>
  <c r="N301" i="38" s="1"/>
  <c r="G300" i="38"/>
  <c r="N300" i="38" s="1"/>
  <c r="G299" i="38"/>
  <c r="N299" i="38" s="1"/>
  <c r="M298" i="38"/>
  <c r="L298" i="38"/>
  <c r="K298" i="38"/>
  <c r="K297" i="38" s="1"/>
  <c r="J298" i="38"/>
  <c r="I298" i="38"/>
  <c r="H298" i="38"/>
  <c r="F298" i="38"/>
  <c r="E298" i="38"/>
  <c r="F296" i="38"/>
  <c r="G295" i="38"/>
  <c r="G294" i="38"/>
  <c r="D294" i="38"/>
  <c r="F294" i="38" s="1"/>
  <c r="G293" i="38"/>
  <c r="N293" i="38" s="1"/>
  <c r="F293" i="38"/>
  <c r="G292" i="38"/>
  <c r="F292" i="38"/>
  <c r="G291" i="38"/>
  <c r="N291" i="38" s="1"/>
  <c r="F291" i="38"/>
  <c r="G290" i="38"/>
  <c r="F290" i="38"/>
  <c r="G289" i="38"/>
  <c r="F289" i="38"/>
  <c r="G288" i="38"/>
  <c r="F288" i="38"/>
  <c r="M287" i="38"/>
  <c r="L287" i="38"/>
  <c r="K287" i="38"/>
  <c r="J287" i="38"/>
  <c r="I287" i="38"/>
  <c r="H287" i="38"/>
  <c r="G286" i="38"/>
  <c r="F286" i="38"/>
  <c r="G285" i="38"/>
  <c r="F285" i="38"/>
  <c r="M284" i="38"/>
  <c r="L284" i="38"/>
  <c r="K284" i="38"/>
  <c r="J284" i="38"/>
  <c r="I284" i="38"/>
  <c r="H284" i="38"/>
  <c r="E284" i="38"/>
  <c r="D284" i="38"/>
  <c r="G283" i="38"/>
  <c r="F283" i="38"/>
  <c r="G282" i="38"/>
  <c r="F282" i="38"/>
  <c r="G281" i="38"/>
  <c r="F281" i="38"/>
  <c r="G280" i="38"/>
  <c r="F280" i="38"/>
  <c r="F279" i="38"/>
  <c r="G278" i="38"/>
  <c r="N278" i="38" s="1"/>
  <c r="G277" i="38"/>
  <c r="N277" i="38" s="1"/>
  <c r="M276" i="38"/>
  <c r="L276" i="38"/>
  <c r="J276" i="38"/>
  <c r="I276" i="38"/>
  <c r="H276" i="38"/>
  <c r="E276" i="38"/>
  <c r="D276" i="38"/>
  <c r="G275" i="38"/>
  <c r="F275" i="38"/>
  <c r="F274" i="38"/>
  <c r="N274" i="38" s="1"/>
  <c r="N273" i="38"/>
  <c r="F273" i="38"/>
  <c r="F272" i="38"/>
  <c r="N272" i="38" s="1"/>
  <c r="F271" i="38"/>
  <c r="N271" i="38" s="1"/>
  <c r="G270" i="38"/>
  <c r="F270" i="38"/>
  <c r="G269" i="38"/>
  <c r="F269" i="38"/>
  <c r="G268" i="38"/>
  <c r="F268" i="38"/>
  <c r="G267" i="38"/>
  <c r="F267" i="38"/>
  <c r="G266" i="38"/>
  <c r="N266" i="38" s="1"/>
  <c r="F266" i="38"/>
  <c r="G265" i="38"/>
  <c r="F265" i="38"/>
  <c r="G264" i="38"/>
  <c r="N264" i="38" s="1"/>
  <c r="M263" i="38"/>
  <c r="L263" i="38"/>
  <c r="J263" i="38"/>
  <c r="I263" i="38"/>
  <c r="H263" i="38"/>
  <c r="E263" i="38"/>
  <c r="D263" i="38"/>
  <c r="G262" i="38"/>
  <c r="N262" i="38" s="1"/>
  <c r="G261" i="38"/>
  <c r="N261" i="38" s="1"/>
  <c r="G260" i="38"/>
  <c r="N260" i="38" s="1"/>
  <c r="G259" i="38"/>
  <c r="N259" i="38" s="1"/>
  <c r="G258" i="38"/>
  <c r="F258" i="38"/>
  <c r="F257" i="38" s="1"/>
  <c r="M257" i="38"/>
  <c r="L257" i="38"/>
  <c r="K257" i="38"/>
  <c r="J257" i="38"/>
  <c r="I257" i="38"/>
  <c r="H257" i="38"/>
  <c r="G257" i="38" s="1"/>
  <c r="E257" i="38"/>
  <c r="D257" i="38"/>
  <c r="G256" i="38"/>
  <c r="F256" i="38"/>
  <c r="G255" i="38"/>
  <c r="F255" i="38"/>
  <c r="G254" i="38"/>
  <c r="F254" i="38"/>
  <c r="G253" i="38"/>
  <c r="N253" i="38" s="1"/>
  <c r="F253" i="38"/>
  <c r="G252" i="38"/>
  <c r="F252" i="38"/>
  <c r="G251" i="38"/>
  <c r="G250" i="38"/>
  <c r="F250" i="38"/>
  <c r="M249" i="38"/>
  <c r="L249" i="38"/>
  <c r="K249" i="38"/>
  <c r="J249" i="38"/>
  <c r="I249" i="38"/>
  <c r="H249" i="38"/>
  <c r="D249" i="38"/>
  <c r="G247" i="38"/>
  <c r="N247" i="38" s="1"/>
  <c r="M246" i="38"/>
  <c r="L246" i="38"/>
  <c r="K246" i="38"/>
  <c r="J246" i="38"/>
  <c r="I246" i="38"/>
  <c r="H246" i="38"/>
  <c r="F246" i="38"/>
  <c r="E246" i="38"/>
  <c r="G245" i="38"/>
  <c r="N245" i="38" s="1"/>
  <c r="M244" i="38"/>
  <c r="L244" i="38"/>
  <c r="K244" i="38"/>
  <c r="J244" i="38"/>
  <c r="G244" i="38" s="1"/>
  <c r="N244" i="38" s="1"/>
  <c r="I244" i="38"/>
  <c r="H244" i="38"/>
  <c r="F244" i="38"/>
  <c r="E244" i="38"/>
  <c r="G243" i="38"/>
  <c r="F243" i="38"/>
  <c r="F242" i="38" s="1"/>
  <c r="M242" i="38"/>
  <c r="L242" i="38"/>
  <c r="K242" i="38"/>
  <c r="J242" i="38"/>
  <c r="I242" i="38"/>
  <c r="H242" i="38"/>
  <c r="E242" i="38"/>
  <c r="D242" i="38"/>
  <c r="G241" i="38"/>
  <c r="F241" i="38"/>
  <c r="F240" i="38" s="1"/>
  <c r="M240" i="38"/>
  <c r="L240" i="38"/>
  <c r="K240" i="38"/>
  <c r="J240" i="38"/>
  <c r="I240" i="38"/>
  <c r="H240" i="38"/>
  <c r="E240" i="38"/>
  <c r="D240" i="38"/>
  <c r="G239" i="38"/>
  <c r="N239" i="38" s="1"/>
  <c r="F239" i="38"/>
  <c r="F238" i="38"/>
  <c r="N238" i="38" s="1"/>
  <c r="F237" i="38"/>
  <c r="N237" i="38" s="1"/>
  <c r="F236" i="38"/>
  <c r="N236" i="38" s="1"/>
  <c r="F235" i="38"/>
  <c r="N235" i="38" s="1"/>
  <c r="G234" i="38"/>
  <c r="N234" i="38" s="1"/>
  <c r="F234" i="38"/>
  <c r="G233" i="38"/>
  <c r="N233" i="38" s="1"/>
  <c r="G232" i="38"/>
  <c r="N232" i="38" s="1"/>
  <c r="M231" i="38"/>
  <c r="L231" i="38"/>
  <c r="K231" i="38"/>
  <c r="J231" i="38"/>
  <c r="I231" i="38"/>
  <c r="H231" i="38"/>
  <c r="E231" i="38"/>
  <c r="D231" i="38"/>
  <c r="G230" i="38"/>
  <c r="N230" i="38" s="1"/>
  <c r="F230" i="38"/>
  <c r="M229" i="38"/>
  <c r="L229" i="38"/>
  <c r="K229" i="38"/>
  <c r="J229" i="38"/>
  <c r="I229" i="38"/>
  <c r="H229" i="38"/>
  <c r="E229" i="38"/>
  <c r="F229" i="38" s="1"/>
  <c r="G228" i="38"/>
  <c r="F228" i="38"/>
  <c r="N228" i="38" s="1"/>
  <c r="G227" i="38"/>
  <c r="G226" i="38"/>
  <c r="M225" i="38"/>
  <c r="L225" i="38"/>
  <c r="K225" i="38"/>
  <c r="J225" i="38"/>
  <c r="I225" i="38"/>
  <c r="H225" i="38"/>
  <c r="E225" i="38"/>
  <c r="G224" i="38"/>
  <c r="D224" i="38"/>
  <c r="M223" i="38"/>
  <c r="L223" i="38"/>
  <c r="K223" i="38"/>
  <c r="J223" i="38"/>
  <c r="I223" i="38"/>
  <c r="H223" i="38"/>
  <c r="E223" i="38"/>
  <c r="G210" i="38"/>
  <c r="N210" i="38" s="1"/>
  <c r="G209" i="38"/>
  <c r="N209" i="38" s="1"/>
  <c r="G208" i="38"/>
  <c r="N208" i="38" s="1"/>
  <c r="N207" i="38"/>
  <c r="N206" i="38"/>
  <c r="N205" i="38"/>
  <c r="N204" i="38"/>
  <c r="G203" i="38"/>
  <c r="N203" i="38" s="1"/>
  <c r="G202" i="38"/>
  <c r="N202" i="38" s="1"/>
  <c r="G201" i="38"/>
  <c r="N201" i="38" s="1"/>
  <c r="G200" i="38"/>
  <c r="N200" i="38" s="1"/>
  <c r="G199" i="38"/>
  <c r="N199" i="38" s="1"/>
  <c r="M198" i="38"/>
  <c r="L198" i="38"/>
  <c r="K198" i="38"/>
  <c r="J198" i="38"/>
  <c r="I198" i="38"/>
  <c r="H198" i="38"/>
  <c r="F198" i="38"/>
  <c r="E198" i="38"/>
  <c r="G197" i="38"/>
  <c r="N197" i="38" s="1"/>
  <c r="N196" i="38"/>
  <c r="G196" i="38"/>
  <c r="G195" i="38"/>
  <c r="N195" i="38" s="1"/>
  <c r="G194" i="38"/>
  <c r="N194" i="38" s="1"/>
  <c r="G193" i="38"/>
  <c r="N193" i="38" s="1"/>
  <c r="G192" i="38"/>
  <c r="N192" i="38" s="1"/>
  <c r="G191" i="38"/>
  <c r="N191" i="38" s="1"/>
  <c r="G190" i="38"/>
  <c r="N190" i="38" s="1"/>
  <c r="G189" i="38"/>
  <c r="N189" i="38" s="1"/>
  <c r="M188" i="38"/>
  <c r="M187" i="38" s="1"/>
  <c r="L188" i="38"/>
  <c r="L187" i="38" s="1"/>
  <c r="K188" i="38"/>
  <c r="J188" i="38"/>
  <c r="I188" i="38"/>
  <c r="H188" i="38"/>
  <c r="H187" i="38" s="1"/>
  <c r="F188" i="38"/>
  <c r="E188" i="38"/>
  <c r="E187" i="38" s="1"/>
  <c r="N186" i="38"/>
  <c r="G186" i="38"/>
  <c r="N185" i="38"/>
  <c r="N184" i="38"/>
  <c r="N183" i="38"/>
  <c r="N182" i="38"/>
  <c r="G181" i="38"/>
  <c r="N181" i="38" s="1"/>
  <c r="N180" i="38"/>
  <c r="G180" i="38"/>
  <c r="G179" i="38"/>
  <c r="N179" i="38" s="1"/>
  <c r="G178" i="38"/>
  <c r="N178" i="38" s="1"/>
  <c r="G177" i="38"/>
  <c r="N177" i="38" s="1"/>
  <c r="N176" i="38"/>
  <c r="G176" i="38"/>
  <c r="M175" i="38"/>
  <c r="L175" i="38"/>
  <c r="K175" i="38"/>
  <c r="J175" i="38"/>
  <c r="I175" i="38"/>
  <c r="H175" i="38"/>
  <c r="F175" i="38"/>
  <c r="E175" i="38"/>
  <c r="N174" i="38"/>
  <c r="G174" i="38"/>
  <c r="G173" i="38"/>
  <c r="N173" i="38" s="1"/>
  <c r="G172" i="38"/>
  <c r="N172" i="38" s="1"/>
  <c r="G171" i="38"/>
  <c r="N171" i="38" s="1"/>
  <c r="N170" i="38"/>
  <c r="G170" i="38"/>
  <c r="G169" i="38"/>
  <c r="N169" i="38" s="1"/>
  <c r="G168" i="38"/>
  <c r="N168" i="38" s="1"/>
  <c r="G167" i="38"/>
  <c r="N167" i="38" s="1"/>
  <c r="G166" i="38"/>
  <c r="N166" i="38" s="1"/>
  <c r="M165" i="38"/>
  <c r="L165" i="38"/>
  <c r="K165" i="38"/>
  <c r="J165" i="38"/>
  <c r="J164" i="38" s="1"/>
  <c r="I165" i="38"/>
  <c r="H165" i="38"/>
  <c r="F165" i="38"/>
  <c r="E165" i="38"/>
  <c r="F164" i="38"/>
  <c r="G162" i="38"/>
  <c r="N162" i="38" s="1"/>
  <c r="M161" i="38"/>
  <c r="L161" i="38"/>
  <c r="K161" i="38"/>
  <c r="J161" i="38"/>
  <c r="I161" i="38"/>
  <c r="H161" i="38"/>
  <c r="F161" i="38"/>
  <c r="E161" i="38"/>
  <c r="G160" i="38"/>
  <c r="N160" i="38" s="1"/>
  <c r="N159" i="38"/>
  <c r="N158" i="38"/>
  <c r="N157" i="38"/>
  <c r="N156" i="38"/>
  <c r="M155" i="38"/>
  <c r="L155" i="38"/>
  <c r="K155" i="38"/>
  <c r="J155" i="38"/>
  <c r="I155" i="38"/>
  <c r="H155" i="38"/>
  <c r="F155" i="38"/>
  <c r="E155" i="38"/>
  <c r="N154" i="38"/>
  <c r="G154" i="38"/>
  <c r="M153" i="38"/>
  <c r="L153" i="38"/>
  <c r="K153" i="38"/>
  <c r="J153" i="38"/>
  <c r="J152" i="38" s="1"/>
  <c r="I153" i="38"/>
  <c r="H153" i="38"/>
  <c r="F153" i="38"/>
  <c r="F152" i="38" s="1"/>
  <c r="E153" i="38"/>
  <c r="G151" i="38"/>
  <c r="N151" i="38" s="1"/>
  <c r="M150" i="38"/>
  <c r="L150" i="38"/>
  <c r="L149" i="38" s="1"/>
  <c r="K150" i="38"/>
  <c r="K149" i="38" s="1"/>
  <c r="J150" i="38"/>
  <c r="J149" i="38" s="1"/>
  <c r="I150" i="38"/>
  <c r="H150" i="38"/>
  <c r="F150" i="38"/>
  <c r="F149" i="38" s="1"/>
  <c r="E150" i="38"/>
  <c r="E149" i="38" s="1"/>
  <c r="M149" i="38"/>
  <c r="I149" i="38"/>
  <c r="G148" i="38"/>
  <c r="N148" i="38" s="1"/>
  <c r="M147" i="38"/>
  <c r="L147" i="38"/>
  <c r="K147" i="38"/>
  <c r="J147" i="38"/>
  <c r="I147" i="38"/>
  <c r="H147" i="38"/>
  <c r="F147" i="38"/>
  <c r="E147" i="38"/>
  <c r="G146" i="38"/>
  <c r="N146" i="38" s="1"/>
  <c r="M145" i="38"/>
  <c r="L145" i="38"/>
  <c r="K145" i="38"/>
  <c r="J145" i="38"/>
  <c r="I145" i="38"/>
  <c r="H145" i="38"/>
  <c r="F145" i="38"/>
  <c r="E145" i="38"/>
  <c r="G144" i="38"/>
  <c r="N144" i="38" s="1"/>
  <c r="M143" i="38"/>
  <c r="L143" i="38"/>
  <c r="K143" i="38"/>
  <c r="J143" i="38"/>
  <c r="I143" i="38"/>
  <c r="H143" i="38"/>
  <c r="F143" i="38"/>
  <c r="F142" i="38" s="1"/>
  <c r="E143" i="38"/>
  <c r="J142" i="38"/>
  <c r="G141" i="38"/>
  <c r="N141" i="38" s="1"/>
  <c r="M140" i="38"/>
  <c r="L140" i="38"/>
  <c r="K140" i="38"/>
  <c r="J140" i="38"/>
  <c r="I140" i="38"/>
  <c r="H140" i="38"/>
  <c r="F140" i="38"/>
  <c r="E140" i="38"/>
  <c r="G139" i="38"/>
  <c r="F139" i="38"/>
  <c r="F138" i="38" s="1"/>
  <c r="M138" i="38"/>
  <c r="L138" i="38"/>
  <c r="K138" i="38"/>
  <c r="J138" i="38"/>
  <c r="I138" i="38"/>
  <c r="H138" i="38"/>
  <c r="E138" i="38"/>
  <c r="D138" i="38"/>
  <c r="N137" i="38"/>
  <c r="G137" i="38"/>
  <c r="M136" i="38"/>
  <c r="L136" i="38"/>
  <c r="K136" i="38"/>
  <c r="J136" i="38"/>
  <c r="I136" i="38"/>
  <c r="H136" i="38"/>
  <c r="H135" i="38" s="1"/>
  <c r="F136" i="38"/>
  <c r="E136" i="38"/>
  <c r="D136" i="38"/>
  <c r="D135" i="38" s="1"/>
  <c r="D134" i="38" s="1"/>
  <c r="G133" i="38"/>
  <c r="F133" i="38"/>
  <c r="F128" i="38" s="1"/>
  <c r="F127" i="38" s="1"/>
  <c r="N132" i="38"/>
  <c r="N131" i="38"/>
  <c r="N130" i="38"/>
  <c r="D130" i="38"/>
  <c r="D129" i="38" s="1"/>
  <c r="N129" i="38"/>
  <c r="M128" i="38"/>
  <c r="M127" i="38" s="1"/>
  <c r="L128" i="38"/>
  <c r="L127" i="38" s="1"/>
  <c r="K128" i="38"/>
  <c r="J128" i="38"/>
  <c r="J127" i="38" s="1"/>
  <c r="I128" i="38"/>
  <c r="I127" i="38" s="1"/>
  <c r="H128" i="38"/>
  <c r="H127" i="38" s="1"/>
  <c r="E128" i="38"/>
  <c r="E127" i="38" s="1"/>
  <c r="D128" i="38"/>
  <c r="D127" i="38" s="1"/>
  <c r="G126" i="38"/>
  <c r="N126" i="38" s="1"/>
  <c r="D126" i="38"/>
  <c r="G125" i="38"/>
  <c r="D125" i="38"/>
  <c r="M124" i="38"/>
  <c r="L124" i="38"/>
  <c r="L123" i="38" s="1"/>
  <c r="K124" i="38"/>
  <c r="K123" i="38" s="1"/>
  <c r="J124" i="38"/>
  <c r="J123" i="38" s="1"/>
  <c r="I124" i="38"/>
  <c r="I123" i="38" s="1"/>
  <c r="H124" i="38"/>
  <c r="H123" i="38" s="1"/>
  <c r="E124" i="38"/>
  <c r="E123" i="38" s="1"/>
  <c r="M123" i="38"/>
  <c r="G122" i="38"/>
  <c r="N122" i="38" s="1"/>
  <c r="M121" i="38"/>
  <c r="L121" i="38"/>
  <c r="K121" i="38"/>
  <c r="J121" i="38"/>
  <c r="I121" i="38"/>
  <c r="H121" i="38"/>
  <c r="F121" i="38"/>
  <c r="E121" i="38"/>
  <c r="G120" i="38"/>
  <c r="N120" i="38" s="1"/>
  <c r="M119" i="38"/>
  <c r="M118" i="38" s="1"/>
  <c r="L119" i="38"/>
  <c r="K119" i="38"/>
  <c r="J119" i="38"/>
  <c r="I119" i="38"/>
  <c r="I118" i="38" s="1"/>
  <c r="H119" i="38"/>
  <c r="H118" i="38" s="1"/>
  <c r="F119" i="38"/>
  <c r="E119" i="38"/>
  <c r="G117" i="38"/>
  <c r="M116" i="38"/>
  <c r="L116" i="38"/>
  <c r="K116" i="38"/>
  <c r="J116" i="38"/>
  <c r="I116" i="38"/>
  <c r="H116" i="38"/>
  <c r="G115" i="38"/>
  <c r="G114" i="38"/>
  <c r="F114" i="38"/>
  <c r="F113" i="38" s="1"/>
  <c r="M113" i="38"/>
  <c r="L113" i="38"/>
  <c r="K113" i="38"/>
  <c r="J113" i="38"/>
  <c r="I113" i="38"/>
  <c r="H113" i="38"/>
  <c r="E113" i="38"/>
  <c r="D113" i="38"/>
  <c r="G112" i="38"/>
  <c r="N112" i="38" s="1"/>
  <c r="F112" i="38"/>
  <c r="G111" i="38"/>
  <c r="N111" i="38" s="1"/>
  <c r="F111" i="38"/>
  <c r="G110" i="38"/>
  <c r="N110" i="38" s="1"/>
  <c r="F110" i="38"/>
  <c r="G109" i="38"/>
  <c r="F109" i="38"/>
  <c r="G108" i="38"/>
  <c r="F108" i="38"/>
  <c r="G107" i="38"/>
  <c r="F107" i="38"/>
  <c r="N107" i="38" s="1"/>
  <c r="F106" i="38"/>
  <c r="N106" i="38" s="1"/>
  <c r="F105" i="38"/>
  <c r="N105" i="38" s="1"/>
  <c r="F104" i="38"/>
  <c r="N104" i="38" s="1"/>
  <c r="F103" i="38"/>
  <c r="N103" i="38" s="1"/>
  <c r="M102" i="38"/>
  <c r="L102" i="38"/>
  <c r="K102" i="38"/>
  <c r="J102" i="38"/>
  <c r="I102" i="38"/>
  <c r="H102" i="38"/>
  <c r="E102" i="38"/>
  <c r="F102" i="38" s="1"/>
  <c r="G101" i="38"/>
  <c r="F101" i="38"/>
  <c r="G100" i="38"/>
  <c r="F100" i="38"/>
  <c r="G99" i="38"/>
  <c r="F99" i="38"/>
  <c r="G98" i="38"/>
  <c r="F98" i="38"/>
  <c r="M97" i="38"/>
  <c r="L97" i="38"/>
  <c r="K97" i="38"/>
  <c r="J97" i="38"/>
  <c r="I97" i="38"/>
  <c r="H97" i="38"/>
  <c r="E97" i="38"/>
  <c r="D97" i="38"/>
  <c r="G96" i="38"/>
  <c r="N96" i="38" s="1"/>
  <c r="G95" i="38"/>
  <c r="N95" i="38" s="1"/>
  <c r="G94" i="38"/>
  <c r="F94" i="38"/>
  <c r="F90" i="38" s="1"/>
  <c r="G93" i="38"/>
  <c r="N93" i="38" s="1"/>
  <c r="G92" i="38"/>
  <c r="N92" i="38" s="1"/>
  <c r="G91" i="38"/>
  <c r="N91" i="38" s="1"/>
  <c r="M90" i="38"/>
  <c r="L90" i="38"/>
  <c r="K90" i="38"/>
  <c r="J90" i="38"/>
  <c r="I90" i="38"/>
  <c r="H90" i="38"/>
  <c r="E90" i="38"/>
  <c r="D90" i="38"/>
  <c r="G88" i="38"/>
  <c r="N88" i="38" s="1"/>
  <c r="G87" i="38"/>
  <c r="N87" i="38" s="1"/>
  <c r="M86" i="38"/>
  <c r="L86" i="38"/>
  <c r="K86" i="38"/>
  <c r="G86" i="38" s="1"/>
  <c r="N86" i="38" s="1"/>
  <c r="J86" i="38"/>
  <c r="I86" i="38"/>
  <c r="H86" i="38"/>
  <c r="F86" i="38"/>
  <c r="E86" i="38"/>
  <c r="D86" i="38"/>
  <c r="N85" i="38"/>
  <c r="G85" i="38"/>
  <c r="G84" i="38"/>
  <c r="N84" i="38" s="1"/>
  <c r="G83" i="38"/>
  <c r="N83" i="38" s="1"/>
  <c r="G82" i="38"/>
  <c r="N82" i="38" s="1"/>
  <c r="M81" i="38"/>
  <c r="L81" i="38"/>
  <c r="K81" i="38"/>
  <c r="J81" i="38"/>
  <c r="I81" i="38"/>
  <c r="H81" i="38"/>
  <c r="F81" i="38"/>
  <c r="E81" i="38"/>
  <c r="D81" i="38"/>
  <c r="G80" i="38"/>
  <c r="N80" i="38" s="1"/>
  <c r="G79" i="38"/>
  <c r="N79" i="38" s="1"/>
  <c r="M78" i="38"/>
  <c r="L78" i="38"/>
  <c r="L77" i="38" s="1"/>
  <c r="K78" i="38"/>
  <c r="J78" i="38"/>
  <c r="J77" i="38" s="1"/>
  <c r="I78" i="38"/>
  <c r="H78" i="38"/>
  <c r="F78" i="38"/>
  <c r="E78" i="38"/>
  <c r="D78" i="38"/>
  <c r="N76" i="38"/>
  <c r="N75" i="38"/>
  <c r="N74" i="38"/>
  <c r="N73" i="38"/>
  <c r="G72" i="38"/>
  <c r="N72" i="38" s="1"/>
  <c r="G71" i="38"/>
  <c r="N71" i="38" s="1"/>
  <c r="G70" i="38"/>
  <c r="N70" i="38" s="1"/>
  <c r="M69" i="38"/>
  <c r="L69" i="38"/>
  <c r="K69" i="38"/>
  <c r="J69" i="38"/>
  <c r="I69" i="38"/>
  <c r="H69" i="38"/>
  <c r="F69" i="38"/>
  <c r="E69" i="38"/>
  <c r="D69" i="38"/>
  <c r="G68" i="38"/>
  <c r="N68" i="38" s="1"/>
  <c r="G67" i="38"/>
  <c r="N67" i="38" s="1"/>
  <c r="G66" i="38"/>
  <c r="N66" i="38" s="1"/>
  <c r="G65" i="38"/>
  <c r="N65" i="38" s="1"/>
  <c r="M64" i="38"/>
  <c r="M63" i="38" s="1"/>
  <c r="L64" i="38"/>
  <c r="K64" i="38"/>
  <c r="J64" i="38"/>
  <c r="I64" i="38"/>
  <c r="H64" i="38"/>
  <c r="H63" i="38" s="1"/>
  <c r="F64" i="38"/>
  <c r="F63" i="38" s="1"/>
  <c r="E64" i="38"/>
  <c r="D64" i="38"/>
  <c r="K63" i="38"/>
  <c r="G62" i="38"/>
  <c r="N62" i="38" s="1"/>
  <c r="N61" i="38"/>
  <c r="G61" i="38"/>
  <c r="G60" i="38"/>
  <c r="N60" i="38" s="1"/>
  <c r="G59" i="38"/>
  <c r="N59" i="38" s="1"/>
  <c r="G58" i="38"/>
  <c r="N58" i="38" s="1"/>
  <c r="N57" i="38"/>
  <c r="G57" i="38"/>
  <c r="M56" i="38"/>
  <c r="L56" i="38"/>
  <c r="K56" i="38"/>
  <c r="J56" i="38"/>
  <c r="I56" i="38"/>
  <c r="H56" i="38"/>
  <c r="F56" i="38"/>
  <c r="E56" i="38"/>
  <c r="D56" i="38"/>
  <c r="G55" i="38"/>
  <c r="N55" i="38" s="1"/>
  <c r="G54" i="38"/>
  <c r="N54" i="38" s="1"/>
  <c r="G53" i="38"/>
  <c r="N53" i="38" s="1"/>
  <c r="G52" i="38"/>
  <c r="N52" i="38" s="1"/>
  <c r="G51" i="38"/>
  <c r="N51" i="38" s="1"/>
  <c r="G50" i="38"/>
  <c r="N50" i="38" s="1"/>
  <c r="N49" i="38"/>
  <c r="N48" i="38"/>
  <c r="N47" i="38"/>
  <c r="N46" i="38"/>
  <c r="M45" i="38"/>
  <c r="L45" i="38"/>
  <c r="K45" i="38"/>
  <c r="J45" i="38"/>
  <c r="I45" i="38"/>
  <c r="H45" i="38"/>
  <c r="F45" i="38"/>
  <c r="E45" i="38"/>
  <c r="D45" i="38"/>
  <c r="G44" i="38"/>
  <c r="N44" i="38" s="1"/>
  <c r="G43" i="38"/>
  <c r="N43" i="38" s="1"/>
  <c r="M42" i="38"/>
  <c r="L42" i="38"/>
  <c r="K42" i="38"/>
  <c r="J42" i="38"/>
  <c r="I42" i="38"/>
  <c r="H42" i="38"/>
  <c r="F42" i="38"/>
  <c r="E42" i="38"/>
  <c r="D42" i="38"/>
  <c r="G41" i="38"/>
  <c r="N41" i="38" s="1"/>
  <c r="G40" i="38"/>
  <c r="N40" i="38" s="1"/>
  <c r="G39" i="38"/>
  <c r="N39" i="38" s="1"/>
  <c r="G38" i="38"/>
  <c r="N38" i="38" s="1"/>
  <c r="G37" i="38"/>
  <c r="N37" i="38" s="1"/>
  <c r="G36" i="38"/>
  <c r="N36" i="38" s="1"/>
  <c r="M35" i="38"/>
  <c r="L35" i="38"/>
  <c r="K35" i="38"/>
  <c r="J35" i="38"/>
  <c r="I35" i="38"/>
  <c r="G35" i="38" s="1"/>
  <c r="N35" i="38" s="1"/>
  <c r="H35" i="38"/>
  <c r="F35" i="38"/>
  <c r="E35" i="38"/>
  <c r="D35" i="38"/>
  <c r="G34" i="38"/>
  <c r="N34" i="38" s="1"/>
  <c r="G33" i="38"/>
  <c r="N33" i="38" s="1"/>
  <c r="G32" i="38"/>
  <c r="N32" i="38" s="1"/>
  <c r="G31" i="38"/>
  <c r="N31" i="38" s="1"/>
  <c r="G30" i="38"/>
  <c r="N30" i="38" s="1"/>
  <c r="M29" i="38"/>
  <c r="L29" i="38"/>
  <c r="K29" i="38"/>
  <c r="J29" i="38"/>
  <c r="I29" i="38"/>
  <c r="H29" i="38"/>
  <c r="F29" i="38"/>
  <c r="E29" i="38"/>
  <c r="D29" i="38"/>
  <c r="G28" i="38"/>
  <c r="N28" i="38" s="1"/>
  <c r="G27" i="38"/>
  <c r="N27" i="38" s="1"/>
  <c r="G26" i="38"/>
  <c r="N26" i="38" s="1"/>
  <c r="N25" i="38"/>
  <c r="G25" i="38"/>
  <c r="G24" i="38"/>
  <c r="N24" i="38" s="1"/>
  <c r="G23" i="38"/>
  <c r="N23" i="38" s="1"/>
  <c r="M22" i="38"/>
  <c r="L22" i="38"/>
  <c r="K22" i="38"/>
  <c r="J22" i="38"/>
  <c r="I22" i="38"/>
  <c r="H22" i="38"/>
  <c r="F22" i="38"/>
  <c r="E22" i="38"/>
  <c r="D22" i="38"/>
  <c r="N21" i="38"/>
  <c r="G21" i="38"/>
  <c r="M20" i="38"/>
  <c r="L20" i="38"/>
  <c r="K20" i="38"/>
  <c r="J20" i="38"/>
  <c r="I20" i="38"/>
  <c r="H20" i="38"/>
  <c r="F20" i="38"/>
  <c r="E20" i="38"/>
  <c r="D20" i="38"/>
  <c r="G19" i="38"/>
  <c r="N19" i="38" s="1"/>
  <c r="N18" i="38"/>
  <c r="G18" i="38"/>
  <c r="N17" i="38"/>
  <c r="N16" i="38"/>
  <c r="N15" i="38"/>
  <c r="N14" i="38"/>
  <c r="G13" i="38"/>
  <c r="N13" i="38" s="1"/>
  <c r="M12" i="38"/>
  <c r="L12" i="38"/>
  <c r="K12" i="38"/>
  <c r="J12" i="38"/>
  <c r="I12" i="38"/>
  <c r="H12" i="38"/>
  <c r="F12" i="38"/>
  <c r="E12" i="38"/>
  <c r="D12" i="38"/>
  <c r="M282" i="37"/>
  <c r="M312" i="37"/>
  <c r="M313" i="37"/>
  <c r="M285" i="37"/>
  <c r="M284" i="37"/>
  <c r="M250" i="37"/>
  <c r="M302" i="37"/>
  <c r="F302" i="37" s="1"/>
  <c r="F124" i="37"/>
  <c r="G540" i="37"/>
  <c r="Q539" i="37"/>
  <c r="O539" i="37"/>
  <c r="N539" i="37"/>
  <c r="L539" i="37"/>
  <c r="J539" i="37"/>
  <c r="I539" i="37"/>
  <c r="E539" i="37"/>
  <c r="G538" i="37"/>
  <c r="G537" i="37"/>
  <c r="G536" i="37"/>
  <c r="G535" i="37"/>
  <c r="G534" i="37"/>
  <c r="G533" i="37"/>
  <c r="G532" i="37"/>
  <c r="G531" i="37"/>
  <c r="Q530" i="37"/>
  <c r="O530" i="37"/>
  <c r="N530" i="37"/>
  <c r="L530" i="37"/>
  <c r="J530" i="37"/>
  <c r="I530" i="37"/>
  <c r="E530" i="37"/>
  <c r="G529" i="37"/>
  <c r="G528" i="37"/>
  <c r="G527" i="37"/>
  <c r="G526" i="37"/>
  <c r="G525" i="37"/>
  <c r="G524" i="37"/>
  <c r="G523" i="37"/>
  <c r="G522" i="37"/>
  <c r="G517" i="37"/>
  <c r="Q516" i="37"/>
  <c r="O516" i="37"/>
  <c r="O515" i="37" s="1"/>
  <c r="N516" i="37"/>
  <c r="L516" i="37"/>
  <c r="L515" i="37" s="1"/>
  <c r="J516" i="37"/>
  <c r="I516" i="37"/>
  <c r="E516" i="37"/>
  <c r="G514" i="37"/>
  <c r="Q513" i="37"/>
  <c r="O513" i="37"/>
  <c r="N513" i="37"/>
  <c r="L513" i="37"/>
  <c r="J513" i="37"/>
  <c r="I513" i="37"/>
  <c r="E513" i="37"/>
  <c r="G512" i="37"/>
  <c r="Q511" i="37"/>
  <c r="O511" i="37"/>
  <c r="N511" i="37"/>
  <c r="L511" i="37"/>
  <c r="J511" i="37"/>
  <c r="I511" i="37"/>
  <c r="E511" i="37"/>
  <c r="G510" i="37"/>
  <c r="Q509" i="37"/>
  <c r="O509" i="37"/>
  <c r="N509" i="37"/>
  <c r="L509" i="37"/>
  <c r="J509" i="37"/>
  <c r="I509" i="37"/>
  <c r="E509" i="37"/>
  <c r="G508" i="37"/>
  <c r="G507" i="37"/>
  <c r="G506" i="37"/>
  <c r="G505" i="37"/>
  <c r="G504" i="37"/>
  <c r="G503" i="37"/>
  <c r="G502" i="37"/>
  <c r="Q501" i="37"/>
  <c r="O501" i="37"/>
  <c r="N501" i="37"/>
  <c r="L501" i="37"/>
  <c r="J501" i="37"/>
  <c r="I501" i="37"/>
  <c r="E501" i="37"/>
  <c r="G500" i="37"/>
  <c r="G499" i="37"/>
  <c r="G498" i="37"/>
  <c r="G497" i="37"/>
  <c r="G496" i="37"/>
  <c r="G495" i="37"/>
  <c r="G490" i="37"/>
  <c r="G489" i="37"/>
  <c r="G488" i="37"/>
  <c r="Q487" i="37"/>
  <c r="O487" i="37"/>
  <c r="N487" i="37"/>
  <c r="L487" i="37"/>
  <c r="J487" i="37"/>
  <c r="J486" i="37" s="1"/>
  <c r="I487" i="37"/>
  <c r="E487" i="37"/>
  <c r="G484" i="37"/>
  <c r="Q483" i="37"/>
  <c r="Q482" i="37" s="1"/>
  <c r="O483" i="37"/>
  <c r="O482" i="37" s="1"/>
  <c r="N483" i="37"/>
  <c r="N482" i="37" s="1"/>
  <c r="L483" i="37"/>
  <c r="L482" i="37" s="1"/>
  <c r="J483" i="37"/>
  <c r="J482" i="37" s="1"/>
  <c r="I483" i="37"/>
  <c r="I482" i="37" s="1"/>
  <c r="E483" i="37"/>
  <c r="E482" i="37" s="1"/>
  <c r="G481" i="37"/>
  <c r="G480" i="37"/>
  <c r="Q479" i="37"/>
  <c r="O479" i="37"/>
  <c r="N479" i="37"/>
  <c r="L479" i="37"/>
  <c r="J479" i="37"/>
  <c r="I479" i="37"/>
  <c r="E479" i="37"/>
  <c r="G478" i="37"/>
  <c r="Q477" i="37"/>
  <c r="O477" i="37"/>
  <c r="N477" i="37"/>
  <c r="L477" i="37"/>
  <c r="J477" i="37"/>
  <c r="I477" i="37"/>
  <c r="E477" i="37"/>
  <c r="G476" i="37"/>
  <c r="Q475" i="37"/>
  <c r="O475" i="37"/>
  <c r="N475" i="37"/>
  <c r="L475" i="37"/>
  <c r="J475" i="37"/>
  <c r="I475" i="37"/>
  <c r="E475" i="37"/>
  <c r="G473" i="37"/>
  <c r="Q472" i="37"/>
  <c r="Q471" i="37" s="1"/>
  <c r="O472" i="37"/>
  <c r="O471" i="37" s="1"/>
  <c r="N472" i="37"/>
  <c r="N471" i="37" s="1"/>
  <c r="L472" i="37"/>
  <c r="L471" i="37" s="1"/>
  <c r="J472" i="37"/>
  <c r="J471" i="37" s="1"/>
  <c r="I472" i="37"/>
  <c r="I471" i="37" s="1"/>
  <c r="E472" i="37"/>
  <c r="E471" i="37" s="1"/>
  <c r="G470" i="37"/>
  <c r="Q469" i="37"/>
  <c r="O469" i="37"/>
  <c r="N469" i="37"/>
  <c r="L469" i="37"/>
  <c r="J469" i="37"/>
  <c r="I469" i="37"/>
  <c r="E469" i="37"/>
  <c r="G468" i="37"/>
  <c r="G467" i="37"/>
  <c r="G462" i="37"/>
  <c r="Q461" i="37"/>
  <c r="O461" i="37"/>
  <c r="N461" i="37"/>
  <c r="L461" i="37"/>
  <c r="J461" i="37"/>
  <c r="I461" i="37"/>
  <c r="E461" i="37"/>
  <c r="G460" i="37"/>
  <c r="Q459" i="37"/>
  <c r="O459" i="37"/>
  <c r="N459" i="37"/>
  <c r="L459" i="37"/>
  <c r="J459" i="37"/>
  <c r="I459" i="37"/>
  <c r="I458" i="37" s="1"/>
  <c r="E459" i="37"/>
  <c r="G457" i="37"/>
  <c r="G456" i="37" s="1"/>
  <c r="F457" i="37"/>
  <c r="F456" i="37" s="1"/>
  <c r="Q456" i="37"/>
  <c r="P456" i="37"/>
  <c r="O456" i="37"/>
  <c r="N456" i="37"/>
  <c r="M456" i="37"/>
  <c r="L456" i="37"/>
  <c r="K456" i="37"/>
  <c r="J456" i="37"/>
  <c r="I456" i="37"/>
  <c r="H456" i="37"/>
  <c r="E456" i="37"/>
  <c r="G455" i="37"/>
  <c r="Q454" i="37"/>
  <c r="O454" i="37"/>
  <c r="N454" i="37"/>
  <c r="L454" i="37"/>
  <c r="J454" i="37"/>
  <c r="I454" i="37"/>
  <c r="E454" i="37"/>
  <c r="G453" i="37"/>
  <c r="Q452" i="37"/>
  <c r="O452" i="37"/>
  <c r="N452" i="37"/>
  <c r="L452" i="37"/>
  <c r="J452" i="37"/>
  <c r="I452" i="37"/>
  <c r="E452" i="37"/>
  <c r="G451" i="37"/>
  <c r="G450" i="37"/>
  <c r="G449" i="37"/>
  <c r="G448" i="37"/>
  <c r="G447" i="37"/>
  <c r="F447" i="37"/>
  <c r="G446" i="37"/>
  <c r="G445" i="37"/>
  <c r="P444" i="37"/>
  <c r="F444" i="37" s="1"/>
  <c r="F443" i="37"/>
  <c r="G442" i="37"/>
  <c r="Q441" i="37"/>
  <c r="P441" i="37"/>
  <c r="O441" i="37"/>
  <c r="N441" i="37"/>
  <c r="M441" i="37"/>
  <c r="L441" i="37"/>
  <c r="K441" i="37"/>
  <c r="J441" i="37"/>
  <c r="I441" i="37"/>
  <c r="H441" i="37"/>
  <c r="E441" i="37"/>
  <c r="G440" i="37"/>
  <c r="G439" i="37"/>
  <c r="F439" i="37"/>
  <c r="F436" i="37" s="1"/>
  <c r="G438" i="37"/>
  <c r="G437" i="37"/>
  <c r="Q436" i="37"/>
  <c r="P436" i="37"/>
  <c r="O436" i="37"/>
  <c r="N436" i="37"/>
  <c r="M436" i="37"/>
  <c r="L436" i="37"/>
  <c r="K436" i="37"/>
  <c r="J436" i="37"/>
  <c r="I436" i="37"/>
  <c r="H436" i="37"/>
  <c r="E436" i="37"/>
  <c r="G433" i="37"/>
  <c r="Q432" i="37"/>
  <c r="O432" i="37"/>
  <c r="N432" i="37"/>
  <c r="L432" i="37"/>
  <c r="J432" i="37"/>
  <c r="I432" i="37"/>
  <c r="E432" i="37"/>
  <c r="G427" i="37"/>
  <c r="Q426" i="37"/>
  <c r="O426" i="37"/>
  <c r="N426" i="37"/>
  <c r="L426" i="37"/>
  <c r="J426" i="37"/>
  <c r="I426" i="37"/>
  <c r="E426" i="37"/>
  <c r="G425" i="37"/>
  <c r="G424" i="37"/>
  <c r="Q423" i="37"/>
  <c r="O423" i="37"/>
  <c r="N423" i="37"/>
  <c r="L423" i="37"/>
  <c r="J423" i="37"/>
  <c r="I423" i="37"/>
  <c r="E423" i="37"/>
  <c r="G422" i="37"/>
  <c r="G421" i="37" s="1"/>
  <c r="F422" i="37"/>
  <c r="F421" i="37" s="1"/>
  <c r="Q421" i="37"/>
  <c r="P421" i="37"/>
  <c r="O421" i="37"/>
  <c r="N421" i="37"/>
  <c r="M421" i="37"/>
  <c r="L421" i="37"/>
  <c r="K421" i="37"/>
  <c r="J421" i="37"/>
  <c r="I421" i="37"/>
  <c r="H421" i="37"/>
  <c r="E421" i="37"/>
  <c r="G420" i="37"/>
  <c r="F420" i="37"/>
  <c r="G419" i="37"/>
  <c r="G417" i="37" s="1"/>
  <c r="F419" i="37"/>
  <c r="G418" i="37"/>
  <c r="F418" i="37"/>
  <c r="Q417" i="37"/>
  <c r="P417" i="37"/>
  <c r="O417" i="37"/>
  <c r="N417" i="37"/>
  <c r="M417" i="37"/>
  <c r="L417" i="37"/>
  <c r="K417" i="37"/>
  <c r="J417" i="37"/>
  <c r="I417" i="37"/>
  <c r="H417" i="37"/>
  <c r="E417" i="37"/>
  <c r="G416" i="37"/>
  <c r="F416" i="37"/>
  <c r="F414" i="37" s="1"/>
  <c r="G415" i="37"/>
  <c r="Q414" i="37"/>
  <c r="P414" i="37"/>
  <c r="O414" i="37"/>
  <c r="N414" i="37"/>
  <c r="M414" i="37"/>
  <c r="L414" i="37"/>
  <c r="K414" i="37"/>
  <c r="J414" i="37"/>
  <c r="I414" i="37"/>
  <c r="H414" i="37"/>
  <c r="E414" i="37"/>
  <c r="G412" i="37"/>
  <c r="G411" i="37"/>
  <c r="G410" i="37"/>
  <c r="G409" i="37"/>
  <c r="G408" i="37"/>
  <c r="G407" i="37"/>
  <c r="G406" i="37"/>
  <c r="G405" i="37"/>
  <c r="G404" i="37"/>
  <c r="Q399" i="37"/>
  <c r="O399" i="37"/>
  <c r="N399" i="37"/>
  <c r="L399" i="37"/>
  <c r="J399" i="37"/>
  <c r="I399" i="37"/>
  <c r="E399" i="37"/>
  <c r="G398" i="37"/>
  <c r="G397" i="37"/>
  <c r="G396" i="37"/>
  <c r="Q395" i="37"/>
  <c r="Q394" i="37" s="1"/>
  <c r="O395" i="37"/>
  <c r="N395" i="37"/>
  <c r="L395" i="37"/>
  <c r="J395" i="37"/>
  <c r="J394" i="37" s="1"/>
  <c r="I395" i="37"/>
  <c r="E395" i="37"/>
  <c r="G393" i="37"/>
  <c r="G392" i="37"/>
  <c r="F392" i="37"/>
  <c r="F391" i="37" s="1"/>
  <c r="F374" i="37" s="1"/>
  <c r="Q391" i="37"/>
  <c r="P391" i="37"/>
  <c r="P374" i="37" s="1"/>
  <c r="O391" i="37"/>
  <c r="N391" i="37"/>
  <c r="M391" i="37"/>
  <c r="M374" i="37" s="1"/>
  <c r="L391" i="37"/>
  <c r="K391" i="37"/>
  <c r="K374" i="37" s="1"/>
  <c r="J391" i="37"/>
  <c r="I391" i="37"/>
  <c r="H391" i="37"/>
  <c r="H374" i="37" s="1"/>
  <c r="E391" i="37"/>
  <c r="G390" i="37"/>
  <c r="G389" i="37"/>
  <c r="Q388" i="37"/>
  <c r="O388" i="37"/>
  <c r="N388" i="37"/>
  <c r="L388" i="37"/>
  <c r="J388" i="37"/>
  <c r="I388" i="37"/>
  <c r="E388" i="37"/>
  <c r="G387" i="37"/>
  <c r="G386" i="37"/>
  <c r="Q385" i="37"/>
  <c r="O385" i="37"/>
  <c r="N385" i="37"/>
  <c r="L385" i="37"/>
  <c r="J385" i="37"/>
  <c r="I385" i="37"/>
  <c r="E385" i="37"/>
  <c r="G384" i="37"/>
  <c r="G383" i="37"/>
  <c r="Q382" i="37"/>
  <c r="O382" i="37"/>
  <c r="N382" i="37"/>
  <c r="L382" i="37"/>
  <c r="J382" i="37"/>
  <c r="I382" i="37"/>
  <c r="E382" i="37"/>
  <c r="G381" i="37"/>
  <c r="G380" i="37"/>
  <c r="Q379" i="37"/>
  <c r="O379" i="37"/>
  <c r="N379" i="37"/>
  <c r="L379" i="37"/>
  <c r="J379" i="37"/>
  <c r="I379" i="37"/>
  <c r="E379" i="37"/>
  <c r="G373" i="37"/>
  <c r="G372" i="37"/>
  <c r="Q371" i="37"/>
  <c r="O371" i="37"/>
  <c r="N371" i="37"/>
  <c r="L371" i="37"/>
  <c r="J371" i="37"/>
  <c r="I371" i="37"/>
  <c r="E371" i="37"/>
  <c r="G370" i="37"/>
  <c r="G369" i="37"/>
  <c r="Q368" i="37"/>
  <c r="O368" i="37"/>
  <c r="N368" i="37"/>
  <c r="L368" i="37"/>
  <c r="J368" i="37"/>
  <c r="I368" i="37"/>
  <c r="E368" i="37"/>
  <c r="G367" i="37"/>
  <c r="G366" i="37"/>
  <c r="Q365" i="37"/>
  <c r="O365" i="37"/>
  <c r="N365" i="37"/>
  <c r="L365" i="37"/>
  <c r="J365" i="37"/>
  <c r="I365" i="37"/>
  <c r="E365" i="37"/>
  <c r="G364" i="37"/>
  <c r="G363" i="37"/>
  <c r="Q362" i="37"/>
  <c r="O362" i="37"/>
  <c r="N362" i="37"/>
  <c r="L362" i="37"/>
  <c r="J362" i="37"/>
  <c r="I362" i="37"/>
  <c r="E362" i="37"/>
  <c r="G360" i="37"/>
  <c r="G359" i="37"/>
  <c r="G358" i="37"/>
  <c r="Q357" i="37"/>
  <c r="O357" i="37"/>
  <c r="N357" i="37"/>
  <c r="L357" i="37"/>
  <c r="J357" i="37"/>
  <c r="I357" i="37"/>
  <c r="E357" i="37"/>
  <c r="G356" i="37"/>
  <c r="Q355" i="37"/>
  <c r="O355" i="37"/>
  <c r="N355" i="37"/>
  <c r="L355" i="37"/>
  <c r="J355" i="37"/>
  <c r="I355" i="37"/>
  <c r="E355" i="37"/>
  <c r="G354" i="37"/>
  <c r="G353" i="37"/>
  <c r="G348" i="37"/>
  <c r="G347" i="37"/>
  <c r="G346" i="37"/>
  <c r="G345" i="37"/>
  <c r="Q344" i="37"/>
  <c r="O344" i="37"/>
  <c r="N344" i="37"/>
  <c r="L344" i="37"/>
  <c r="J344" i="37"/>
  <c r="I344" i="37"/>
  <c r="E344" i="37"/>
  <c r="G343" i="37"/>
  <c r="G342" i="37"/>
  <c r="G341" i="37"/>
  <c r="G340" i="37"/>
  <c r="G339" i="37"/>
  <c r="F339" i="37"/>
  <c r="F334" i="37" s="1"/>
  <c r="F333" i="37" s="1"/>
  <c r="G338" i="37"/>
  <c r="G337" i="37"/>
  <c r="G336" i="37"/>
  <c r="G335" i="37"/>
  <c r="Q334" i="37"/>
  <c r="P334" i="37"/>
  <c r="P333" i="37" s="1"/>
  <c r="O334" i="37"/>
  <c r="N334" i="37"/>
  <c r="M334" i="37"/>
  <c r="M333" i="37" s="1"/>
  <c r="L334" i="37"/>
  <c r="K334" i="37"/>
  <c r="K333" i="37" s="1"/>
  <c r="J334" i="37"/>
  <c r="I334" i="37"/>
  <c r="H334" i="37"/>
  <c r="H333" i="37" s="1"/>
  <c r="E334" i="37"/>
  <c r="G332" i="37"/>
  <c r="Q331" i="37"/>
  <c r="O331" i="37"/>
  <c r="N331" i="37"/>
  <c r="L331" i="37"/>
  <c r="J331" i="37"/>
  <c r="I331" i="37"/>
  <c r="E331" i="37"/>
  <c r="G330" i="37"/>
  <c r="G329" i="37"/>
  <c r="G328" i="37"/>
  <c r="Q327" i="37"/>
  <c r="O327" i="37"/>
  <c r="N327" i="37"/>
  <c r="L327" i="37"/>
  <c r="J327" i="37"/>
  <c r="I327" i="37"/>
  <c r="E327" i="37"/>
  <c r="G326" i="37"/>
  <c r="Q325" i="37"/>
  <c r="O325" i="37"/>
  <c r="N325" i="37"/>
  <c r="L325" i="37"/>
  <c r="J325" i="37"/>
  <c r="I325" i="37"/>
  <c r="E325" i="37"/>
  <c r="G324" i="37"/>
  <c r="Q323" i="37"/>
  <c r="O323" i="37"/>
  <c r="N323" i="37"/>
  <c r="L323" i="37"/>
  <c r="J323" i="37"/>
  <c r="I323" i="37"/>
  <c r="E323" i="37"/>
  <c r="G318" i="37"/>
  <c r="G317" i="37"/>
  <c r="G316" i="37"/>
  <c r="Q315" i="37"/>
  <c r="O315" i="37"/>
  <c r="N315" i="37"/>
  <c r="L315" i="37"/>
  <c r="J315" i="37"/>
  <c r="I315" i="37"/>
  <c r="E315" i="37"/>
  <c r="P313" i="37"/>
  <c r="F313" i="37" s="1"/>
  <c r="N312" i="37"/>
  <c r="G312" i="37" s="1"/>
  <c r="F312" i="37"/>
  <c r="G311" i="37"/>
  <c r="F311" i="37"/>
  <c r="F310" i="37"/>
  <c r="F309" i="37"/>
  <c r="F308" i="37"/>
  <c r="F307" i="37"/>
  <c r="M306" i="37"/>
  <c r="F306" i="37" s="1"/>
  <c r="F304" i="37"/>
  <c r="P302" i="37"/>
  <c r="P300" i="37" s="1"/>
  <c r="P293" i="37" s="1"/>
  <c r="M301" i="37"/>
  <c r="F301" i="37" s="1"/>
  <c r="O300" i="37"/>
  <c r="O293" i="37" s="1"/>
  <c r="O286" i="37" s="1"/>
  <c r="N300" i="37"/>
  <c r="N293" i="37" s="1"/>
  <c r="F299" i="37"/>
  <c r="M298" i="37"/>
  <c r="F297" i="37"/>
  <c r="M296" i="37"/>
  <c r="F296" i="37" s="1"/>
  <c r="M295" i="37"/>
  <c r="F295" i="37" s="1"/>
  <c r="G292" i="37"/>
  <c r="G291" i="37"/>
  <c r="G290" i="37"/>
  <c r="F290" i="37"/>
  <c r="P289" i="37"/>
  <c r="G289" i="37" s="1"/>
  <c r="G288" i="37"/>
  <c r="P287" i="37"/>
  <c r="M287" i="37"/>
  <c r="Q286" i="37"/>
  <c r="L286" i="37"/>
  <c r="K286" i="37"/>
  <c r="J286" i="37"/>
  <c r="I286" i="37"/>
  <c r="H286" i="37"/>
  <c r="E286" i="37"/>
  <c r="F285" i="37"/>
  <c r="G285" i="37"/>
  <c r="G284" i="37"/>
  <c r="F284" i="37"/>
  <c r="Q283" i="37"/>
  <c r="P283" i="37"/>
  <c r="O283" i="37"/>
  <c r="N283" i="37"/>
  <c r="L283" i="37"/>
  <c r="K283" i="37"/>
  <c r="J283" i="37"/>
  <c r="I283" i="37"/>
  <c r="H283" i="37"/>
  <c r="E283" i="37"/>
  <c r="P282" i="37"/>
  <c r="P275" i="37" s="1"/>
  <c r="M281" i="37"/>
  <c r="G281" i="37" s="1"/>
  <c r="G280" i="37"/>
  <c r="G279" i="37"/>
  <c r="M278" i="37"/>
  <c r="F278" i="37" s="1"/>
  <c r="G277" i="37"/>
  <c r="G276" i="37"/>
  <c r="Q275" i="37"/>
  <c r="O275" i="37"/>
  <c r="N275" i="37"/>
  <c r="L275" i="37"/>
  <c r="K275" i="37"/>
  <c r="J275" i="37"/>
  <c r="I275" i="37"/>
  <c r="H275" i="37"/>
  <c r="E275" i="37"/>
  <c r="F274" i="37"/>
  <c r="F269" i="37"/>
  <c r="F267" i="37"/>
  <c r="F266" i="37"/>
  <c r="P265" i="37"/>
  <c r="M265" i="37"/>
  <c r="M264" i="37"/>
  <c r="F264" i="37" s="1"/>
  <c r="G263" i="37"/>
  <c r="Q262" i="37"/>
  <c r="P262" i="37"/>
  <c r="O262" i="37"/>
  <c r="N262" i="37"/>
  <c r="L262" i="37"/>
  <c r="K262" i="37"/>
  <c r="J262" i="37"/>
  <c r="I262" i="37"/>
  <c r="H262" i="37"/>
  <c r="E262" i="37"/>
  <c r="G261" i="37"/>
  <c r="G260" i="37"/>
  <c r="G259" i="37"/>
  <c r="G258" i="37"/>
  <c r="G257" i="37"/>
  <c r="F257" i="37"/>
  <c r="F256" i="37" s="1"/>
  <c r="Q256" i="37"/>
  <c r="P256" i="37"/>
  <c r="O256" i="37"/>
  <c r="N256" i="37"/>
  <c r="M256" i="37"/>
  <c r="L256" i="37"/>
  <c r="K256" i="37"/>
  <c r="J256" i="37"/>
  <c r="I256" i="37"/>
  <c r="H256" i="37"/>
  <c r="E256" i="37"/>
  <c r="G255" i="37"/>
  <c r="G254" i="37"/>
  <c r="P253" i="37"/>
  <c r="F253" i="37" s="1"/>
  <c r="M253" i="37"/>
  <c r="M252" i="37"/>
  <c r="G252" i="37" s="1"/>
  <c r="M251" i="37"/>
  <c r="G250" i="37"/>
  <c r="F250" i="37"/>
  <c r="G249" i="37"/>
  <c r="F249" i="37"/>
  <c r="Q248" i="37"/>
  <c r="O248" i="37"/>
  <c r="N248" i="37"/>
  <c r="L248" i="37"/>
  <c r="K248" i="37"/>
  <c r="J248" i="37"/>
  <c r="I248" i="37"/>
  <c r="H248" i="37"/>
  <c r="E248" i="37"/>
  <c r="G246" i="37"/>
  <c r="Q245" i="37"/>
  <c r="O245" i="37"/>
  <c r="N245" i="37"/>
  <c r="L245" i="37"/>
  <c r="J245" i="37"/>
  <c r="I245" i="37"/>
  <c r="E245" i="37"/>
  <c r="G244" i="37"/>
  <c r="Q243" i="37"/>
  <c r="O243" i="37"/>
  <c r="N243" i="37"/>
  <c r="L243" i="37"/>
  <c r="J243" i="37"/>
  <c r="I243" i="37"/>
  <c r="E243" i="37"/>
  <c r="G242" i="37"/>
  <c r="G241" i="37" s="1"/>
  <c r="F242" i="37"/>
  <c r="Q241" i="37"/>
  <c r="P241" i="37"/>
  <c r="O241" i="37"/>
  <c r="N241" i="37"/>
  <c r="M241" i="37"/>
  <c r="L241" i="37"/>
  <c r="K241" i="37"/>
  <c r="J241" i="37"/>
  <c r="I241" i="37"/>
  <c r="H241" i="37"/>
  <c r="F241" i="37"/>
  <c r="E241" i="37"/>
  <c r="G240" i="37"/>
  <c r="G239" i="37" s="1"/>
  <c r="F240" i="37"/>
  <c r="F239" i="37" s="1"/>
  <c r="Q239" i="37"/>
  <c r="P239" i="37"/>
  <c r="O239" i="37"/>
  <c r="N239" i="37"/>
  <c r="M239" i="37"/>
  <c r="L239" i="37"/>
  <c r="K239" i="37"/>
  <c r="J239" i="37"/>
  <c r="I239" i="37"/>
  <c r="H239" i="37"/>
  <c r="E239" i="37"/>
  <c r="G238" i="37"/>
  <c r="F238" i="37"/>
  <c r="G233" i="37"/>
  <c r="F233" i="37"/>
  <c r="G232" i="37"/>
  <c r="G231" i="37"/>
  <c r="Q230" i="37"/>
  <c r="P230" i="37"/>
  <c r="O230" i="37"/>
  <c r="N230" i="37"/>
  <c r="M230" i="37"/>
  <c r="L230" i="37"/>
  <c r="K230" i="37"/>
  <c r="J230" i="37"/>
  <c r="I230" i="37"/>
  <c r="H230" i="37"/>
  <c r="E230" i="37"/>
  <c r="G229" i="37"/>
  <c r="Q228" i="37"/>
  <c r="O228" i="37"/>
  <c r="N228" i="37"/>
  <c r="L228" i="37"/>
  <c r="J228" i="37"/>
  <c r="I228" i="37"/>
  <c r="E228" i="37"/>
  <c r="G227" i="37"/>
  <c r="N226" i="37"/>
  <c r="G226" i="37" s="1"/>
  <c r="F226" i="37"/>
  <c r="E226" i="37"/>
  <c r="N225" i="37"/>
  <c r="G225" i="37" s="1"/>
  <c r="F225" i="37"/>
  <c r="E225" i="37"/>
  <c r="Q224" i="37"/>
  <c r="P224" i="37"/>
  <c r="O224" i="37"/>
  <c r="M224" i="37"/>
  <c r="L224" i="37"/>
  <c r="K224" i="37"/>
  <c r="J224" i="37"/>
  <c r="I224" i="37"/>
  <c r="H224" i="37"/>
  <c r="N223" i="37"/>
  <c r="G223" i="37" s="1"/>
  <c r="G222" i="37" s="1"/>
  <c r="F223" i="37"/>
  <c r="F222" i="37" s="1"/>
  <c r="E223" i="37"/>
  <c r="E222" i="37" s="1"/>
  <c r="Q222" i="37"/>
  <c r="P222" i="37"/>
  <c r="O222" i="37"/>
  <c r="M222" i="37"/>
  <c r="L222" i="37"/>
  <c r="K222" i="37"/>
  <c r="J222" i="37"/>
  <c r="I222" i="37"/>
  <c r="H222" i="37"/>
  <c r="G209" i="37"/>
  <c r="G208" i="37"/>
  <c r="G207" i="37"/>
  <c r="G202" i="37"/>
  <c r="G201" i="37"/>
  <c r="G200" i="37"/>
  <c r="G199" i="37"/>
  <c r="G198" i="37"/>
  <c r="Q197" i="37"/>
  <c r="O197" i="37"/>
  <c r="N197" i="37"/>
  <c r="L197" i="37"/>
  <c r="J197" i="37"/>
  <c r="I197" i="37"/>
  <c r="E197" i="37"/>
  <c r="G196" i="37"/>
  <c r="G195" i="37"/>
  <c r="G194" i="37"/>
  <c r="G193" i="37"/>
  <c r="G192" i="37"/>
  <c r="G191" i="37"/>
  <c r="G190" i="37"/>
  <c r="G189" i="37"/>
  <c r="G188" i="37"/>
  <c r="Q187" i="37"/>
  <c r="O187" i="37"/>
  <c r="O186" i="37" s="1"/>
  <c r="N187" i="37"/>
  <c r="L187" i="37"/>
  <c r="L186" i="37" s="1"/>
  <c r="J187" i="37"/>
  <c r="I187" i="37"/>
  <c r="I186" i="37" s="1"/>
  <c r="E187" i="37"/>
  <c r="E186" i="37" s="1"/>
  <c r="G185" i="37"/>
  <c r="G180" i="37"/>
  <c r="G179" i="37"/>
  <c r="G178" i="37"/>
  <c r="G177" i="37"/>
  <c r="G176" i="37"/>
  <c r="G175" i="37"/>
  <c r="Q174" i="37"/>
  <c r="O174" i="37"/>
  <c r="N174" i="37"/>
  <c r="L174" i="37"/>
  <c r="J174" i="37"/>
  <c r="I174" i="37"/>
  <c r="E174" i="37"/>
  <c r="G173" i="37"/>
  <c r="G172" i="37"/>
  <c r="G171" i="37"/>
  <c r="G170" i="37"/>
  <c r="G169" i="37"/>
  <c r="G168" i="37"/>
  <c r="G167" i="37"/>
  <c r="G166" i="37"/>
  <c r="G165" i="37"/>
  <c r="Q164" i="37"/>
  <c r="O164" i="37"/>
  <c r="O163" i="37" s="1"/>
  <c r="N164" i="37"/>
  <c r="L164" i="37"/>
  <c r="L163" i="37" s="1"/>
  <c r="J164" i="37"/>
  <c r="I164" i="37"/>
  <c r="I163" i="37" s="1"/>
  <c r="E164" i="37"/>
  <c r="E163" i="37" s="1"/>
  <c r="G161" i="37"/>
  <c r="Q160" i="37"/>
  <c r="O160" i="37"/>
  <c r="N160" i="37"/>
  <c r="L160" i="37"/>
  <c r="J160" i="37"/>
  <c r="I160" i="37"/>
  <c r="E160" i="37"/>
  <c r="G159" i="37"/>
  <c r="Q154" i="37"/>
  <c r="O154" i="37"/>
  <c r="N154" i="37"/>
  <c r="L154" i="37"/>
  <c r="J154" i="37"/>
  <c r="I154" i="37"/>
  <c r="E154" i="37"/>
  <c r="G153" i="37"/>
  <c r="Q152" i="37"/>
  <c r="O152" i="37"/>
  <c r="N152" i="37"/>
  <c r="N151" i="37" s="1"/>
  <c r="L152" i="37"/>
  <c r="J152" i="37"/>
  <c r="I152" i="37"/>
  <c r="E152" i="37"/>
  <c r="G150" i="37"/>
  <c r="Q149" i="37"/>
  <c r="Q148" i="37" s="1"/>
  <c r="O149" i="37"/>
  <c r="O148" i="37" s="1"/>
  <c r="N149" i="37"/>
  <c r="N148" i="37" s="1"/>
  <c r="L149" i="37"/>
  <c r="L148" i="37" s="1"/>
  <c r="J149" i="37"/>
  <c r="J148" i="37" s="1"/>
  <c r="I149" i="37"/>
  <c r="E149" i="37"/>
  <c r="E148" i="37" s="1"/>
  <c r="G147" i="37"/>
  <c r="Q146" i="37"/>
  <c r="O146" i="37"/>
  <c r="N146" i="37"/>
  <c r="L146" i="37"/>
  <c r="J146" i="37"/>
  <c r="I146" i="37"/>
  <c r="E146" i="37"/>
  <c r="G145" i="37"/>
  <c r="Q144" i="37"/>
  <c r="O144" i="37"/>
  <c r="N144" i="37"/>
  <c r="L144" i="37"/>
  <c r="J144" i="37"/>
  <c r="I144" i="37"/>
  <c r="E144" i="37"/>
  <c r="G143" i="37"/>
  <c r="Q142" i="37"/>
  <c r="O142" i="37"/>
  <c r="N142" i="37"/>
  <c r="L142" i="37"/>
  <c r="J142" i="37"/>
  <c r="I142" i="37"/>
  <c r="E142" i="37"/>
  <c r="G140" i="37"/>
  <c r="Q139" i="37"/>
  <c r="O139" i="37"/>
  <c r="N139" i="37"/>
  <c r="L139" i="37"/>
  <c r="J139" i="37"/>
  <c r="I139" i="37"/>
  <c r="E139" i="37"/>
  <c r="G138" i="37"/>
  <c r="G137" i="37" s="1"/>
  <c r="F138" i="37"/>
  <c r="Q137" i="37"/>
  <c r="P137" i="37"/>
  <c r="O137" i="37"/>
  <c r="N137" i="37"/>
  <c r="M137" i="37"/>
  <c r="M134" i="37" s="1"/>
  <c r="M133" i="37" s="1"/>
  <c r="L137" i="37"/>
  <c r="K137" i="37"/>
  <c r="J137" i="37"/>
  <c r="I137" i="37"/>
  <c r="H137" i="37"/>
  <c r="H134" i="37" s="1"/>
  <c r="E137" i="37"/>
  <c r="G136" i="37"/>
  <c r="F136" i="37"/>
  <c r="Q135" i="37"/>
  <c r="O135" i="37"/>
  <c r="N135" i="37"/>
  <c r="N134" i="37" s="1"/>
  <c r="L135" i="37"/>
  <c r="J135" i="37"/>
  <c r="I135" i="37"/>
  <c r="F135" i="37"/>
  <c r="E135" i="37"/>
  <c r="P134" i="37"/>
  <c r="P133" i="37" s="1"/>
  <c r="H132" i="37"/>
  <c r="F132" i="37" s="1"/>
  <c r="G132" i="37"/>
  <c r="G127" i="37" s="1"/>
  <c r="G126" i="37" s="1"/>
  <c r="F131" i="37"/>
  <c r="F130" i="37"/>
  <c r="F129" i="37"/>
  <c r="F128" i="37"/>
  <c r="Q127" i="37"/>
  <c r="Q126" i="37" s="1"/>
  <c r="P127" i="37"/>
  <c r="P126" i="37" s="1"/>
  <c r="O127" i="37"/>
  <c r="O126" i="37" s="1"/>
  <c r="N127" i="37"/>
  <c r="N126" i="37" s="1"/>
  <c r="M127" i="37"/>
  <c r="M126" i="37" s="1"/>
  <c r="L127" i="37"/>
  <c r="L126" i="37" s="1"/>
  <c r="K127" i="37"/>
  <c r="K126" i="37" s="1"/>
  <c r="J127" i="37"/>
  <c r="J126" i="37" s="1"/>
  <c r="I127" i="37"/>
  <c r="I126" i="37" s="1"/>
  <c r="H127" i="37"/>
  <c r="H126" i="37" s="1"/>
  <c r="E127" i="37"/>
  <c r="E126" i="37" s="1"/>
  <c r="G125" i="37"/>
  <c r="F125" i="37"/>
  <c r="Q123" i="37"/>
  <c r="Q122" i="37" s="1"/>
  <c r="P123" i="37"/>
  <c r="P122" i="37" s="1"/>
  <c r="O123" i="37"/>
  <c r="O122" i="37" s="1"/>
  <c r="N123" i="37"/>
  <c r="N122" i="37" s="1"/>
  <c r="L123" i="37"/>
  <c r="L122" i="37" s="1"/>
  <c r="L120" i="37" s="1"/>
  <c r="K123" i="37"/>
  <c r="K122" i="37" s="1"/>
  <c r="K120" i="37" s="1"/>
  <c r="J123" i="37"/>
  <c r="J122" i="37" s="1"/>
  <c r="J120" i="37" s="1"/>
  <c r="I123" i="37"/>
  <c r="I122" i="37" s="1"/>
  <c r="I120" i="37" s="1"/>
  <c r="H123" i="37"/>
  <c r="H122" i="37" s="1"/>
  <c r="E123" i="37"/>
  <c r="E122" i="37" s="1"/>
  <c r="E120" i="37" s="1"/>
  <c r="F121" i="37"/>
  <c r="P120" i="37"/>
  <c r="G119" i="37"/>
  <c r="F119" i="37"/>
  <c r="Q118" i="37"/>
  <c r="O118" i="37"/>
  <c r="N118" i="37"/>
  <c r="L118" i="37"/>
  <c r="J118" i="37"/>
  <c r="I118" i="37"/>
  <c r="F118" i="37"/>
  <c r="E118" i="37"/>
  <c r="G117" i="37"/>
  <c r="F117" i="37"/>
  <c r="Q116" i="37"/>
  <c r="O116" i="37"/>
  <c r="N116" i="37"/>
  <c r="L116" i="37"/>
  <c r="J116" i="37"/>
  <c r="I116" i="37"/>
  <c r="I115" i="37" s="1"/>
  <c r="F116" i="37"/>
  <c r="E116" i="37"/>
  <c r="F115" i="37"/>
  <c r="G114" i="37"/>
  <c r="F114" i="37"/>
  <c r="Q113" i="37"/>
  <c r="O113" i="37"/>
  <c r="N113" i="37"/>
  <c r="L113" i="37"/>
  <c r="J113" i="37"/>
  <c r="I113" i="37"/>
  <c r="F113" i="37"/>
  <c r="E113" i="37"/>
  <c r="G112" i="37"/>
  <c r="F112" i="37"/>
  <c r="G111" i="37"/>
  <c r="F111" i="37"/>
  <c r="Q110" i="37"/>
  <c r="P110" i="37"/>
  <c r="O110" i="37"/>
  <c r="N110" i="37"/>
  <c r="M110" i="37"/>
  <c r="L110" i="37"/>
  <c r="K110" i="37"/>
  <c r="J110" i="37"/>
  <c r="I110" i="37"/>
  <c r="H110" i="37"/>
  <c r="E110" i="37"/>
  <c r="G109" i="37"/>
  <c r="F109" i="37"/>
  <c r="G108" i="37"/>
  <c r="F108" i="37"/>
  <c r="G107" i="37"/>
  <c r="F107" i="37"/>
  <c r="G106" i="37"/>
  <c r="F106" i="37"/>
  <c r="G105" i="37"/>
  <c r="F105" i="37"/>
  <c r="G104" i="37"/>
  <c r="F104" i="37"/>
  <c r="F103" i="37"/>
  <c r="F102" i="37"/>
  <c r="F101" i="37"/>
  <c r="F100" i="37"/>
  <c r="Q99" i="37"/>
  <c r="O99" i="37"/>
  <c r="N99" i="37"/>
  <c r="L99" i="37"/>
  <c r="J99" i="37"/>
  <c r="I99" i="37"/>
  <c r="F99" i="37"/>
  <c r="E99" i="37"/>
  <c r="G98" i="37"/>
  <c r="F98" i="37"/>
  <c r="G97" i="37"/>
  <c r="F97" i="37"/>
  <c r="G96" i="37"/>
  <c r="F96" i="37"/>
  <c r="G95" i="37"/>
  <c r="F95" i="37"/>
  <c r="Q94" i="37"/>
  <c r="P94" i="37"/>
  <c r="O94" i="37"/>
  <c r="N94" i="37"/>
  <c r="M94" i="37"/>
  <c r="L94" i="37"/>
  <c r="K94" i="37"/>
  <c r="J94" i="37"/>
  <c r="I94" i="37"/>
  <c r="H94" i="37"/>
  <c r="E94" i="37"/>
  <c r="G93" i="37"/>
  <c r="F93" i="37"/>
  <c r="G92" i="37"/>
  <c r="F92" i="37"/>
  <c r="G91" i="37"/>
  <c r="F91" i="37"/>
  <c r="G90" i="37"/>
  <c r="G89" i="37"/>
  <c r="G88" i="37"/>
  <c r="Q87" i="37"/>
  <c r="P87" i="37"/>
  <c r="O87" i="37"/>
  <c r="N87" i="37"/>
  <c r="M87" i="37"/>
  <c r="M86" i="37" s="1"/>
  <c r="L87" i="37"/>
  <c r="K87" i="37"/>
  <c r="J87" i="37"/>
  <c r="I87" i="37"/>
  <c r="I86" i="37" s="1"/>
  <c r="H87" i="37"/>
  <c r="E87" i="37"/>
  <c r="G85" i="37"/>
  <c r="G84" i="37"/>
  <c r="Q83" i="37"/>
  <c r="O83" i="37"/>
  <c r="N83" i="37"/>
  <c r="L83" i="37"/>
  <c r="J83" i="37"/>
  <c r="I83" i="37"/>
  <c r="E83" i="37"/>
  <c r="G82" i="37"/>
  <c r="G81" i="37"/>
  <c r="G80" i="37"/>
  <c r="G79" i="37"/>
  <c r="Q78" i="37"/>
  <c r="O78" i="37"/>
  <c r="N78" i="37"/>
  <c r="L78" i="37"/>
  <c r="J78" i="37"/>
  <c r="I78" i="37"/>
  <c r="E78" i="37"/>
  <c r="G77" i="37"/>
  <c r="G76" i="37"/>
  <c r="Q75" i="37"/>
  <c r="O75" i="37"/>
  <c r="O74" i="37" s="1"/>
  <c r="N75" i="37"/>
  <c r="L75" i="37"/>
  <c r="J75" i="37"/>
  <c r="I75" i="37"/>
  <c r="E75" i="37"/>
  <c r="G69" i="37"/>
  <c r="G68" i="37"/>
  <c r="G67" i="37"/>
  <c r="Q66" i="37"/>
  <c r="O66" i="37"/>
  <c r="N66" i="37"/>
  <c r="L66" i="37"/>
  <c r="J66" i="37"/>
  <c r="I66" i="37"/>
  <c r="E66" i="37"/>
  <c r="G65" i="37"/>
  <c r="G64" i="37"/>
  <c r="G63" i="37"/>
  <c r="G62" i="37"/>
  <c r="Q61" i="37"/>
  <c r="O61" i="37"/>
  <c r="O60" i="37" s="1"/>
  <c r="N61" i="37"/>
  <c r="L61" i="37"/>
  <c r="J61" i="37"/>
  <c r="I61" i="37"/>
  <c r="I60" i="37" s="1"/>
  <c r="E61" i="37"/>
  <c r="G59" i="37"/>
  <c r="G58" i="37"/>
  <c r="G57" i="37"/>
  <c r="G56" i="37"/>
  <c r="G55" i="37"/>
  <c r="G54" i="37"/>
  <c r="Q53" i="37"/>
  <c r="O53" i="37"/>
  <c r="N53" i="37"/>
  <c r="L53" i="37"/>
  <c r="J53" i="37"/>
  <c r="I53" i="37"/>
  <c r="E53" i="37"/>
  <c r="G52" i="37"/>
  <c r="G51" i="37"/>
  <c r="G50" i="37"/>
  <c r="G49" i="37"/>
  <c r="G48" i="37"/>
  <c r="G47" i="37"/>
  <c r="Q42" i="37"/>
  <c r="O42" i="37"/>
  <c r="N42" i="37"/>
  <c r="L42" i="37"/>
  <c r="J42" i="37"/>
  <c r="I42" i="37"/>
  <c r="E42" i="37"/>
  <c r="G41" i="37"/>
  <c r="G40" i="37"/>
  <c r="Q39" i="37"/>
  <c r="O39" i="37"/>
  <c r="N39" i="37"/>
  <c r="L39" i="37"/>
  <c r="J39" i="37"/>
  <c r="I39" i="37"/>
  <c r="E39" i="37"/>
  <c r="G38" i="37"/>
  <c r="G37" i="37"/>
  <c r="G36" i="37"/>
  <c r="G35" i="37"/>
  <c r="G34" i="37"/>
  <c r="G33" i="37"/>
  <c r="Q32" i="37"/>
  <c r="O32" i="37"/>
  <c r="N32" i="37"/>
  <c r="L32" i="37"/>
  <c r="J32" i="37"/>
  <c r="I32" i="37"/>
  <c r="E32" i="37"/>
  <c r="G31" i="37"/>
  <c r="G30" i="37"/>
  <c r="G29" i="37"/>
  <c r="G28" i="37"/>
  <c r="G27" i="37"/>
  <c r="Q26" i="37"/>
  <c r="O26" i="37"/>
  <c r="N26" i="37"/>
  <c r="L26" i="37"/>
  <c r="J26" i="37"/>
  <c r="I26" i="37"/>
  <c r="E26" i="37"/>
  <c r="G25" i="37"/>
  <c r="G24" i="37"/>
  <c r="G23" i="37"/>
  <c r="G22" i="37"/>
  <c r="G21" i="37"/>
  <c r="G20" i="37"/>
  <c r="Q19" i="37"/>
  <c r="O19" i="37"/>
  <c r="N19" i="37"/>
  <c r="L19" i="37"/>
  <c r="J19" i="37"/>
  <c r="I19" i="37"/>
  <c r="E19" i="37"/>
  <c r="G18" i="37"/>
  <c r="Q17" i="37"/>
  <c r="O17" i="37"/>
  <c r="N17" i="37"/>
  <c r="L17" i="37"/>
  <c r="J17" i="37"/>
  <c r="I17" i="37"/>
  <c r="E17" i="37"/>
  <c r="G16" i="37"/>
  <c r="G15" i="37"/>
  <c r="G10" i="37"/>
  <c r="Q9" i="37"/>
  <c r="O9" i="37"/>
  <c r="N9" i="37"/>
  <c r="L9" i="37"/>
  <c r="J9" i="37"/>
  <c r="I9" i="37"/>
  <c r="E9" i="37"/>
  <c r="I63" i="38" l="1"/>
  <c r="G102" i="38"/>
  <c r="N102" i="38" s="1"/>
  <c r="L118" i="38"/>
  <c r="K152" i="38"/>
  <c r="G223" i="38"/>
  <c r="I248" i="38"/>
  <c r="N281" i="38"/>
  <c r="G371" i="38"/>
  <c r="N371" i="38" s="1"/>
  <c r="G248" i="39"/>
  <c r="M418" i="38"/>
  <c r="E77" i="38"/>
  <c r="F77" i="38"/>
  <c r="D89" i="38"/>
  <c r="N108" i="38"/>
  <c r="I344" i="38"/>
  <c r="F357" i="38"/>
  <c r="N496" i="38"/>
  <c r="H498" i="38"/>
  <c r="G74" i="39"/>
  <c r="L63" i="38"/>
  <c r="G198" i="38"/>
  <c r="N198" i="38" s="1"/>
  <c r="N255" i="38"/>
  <c r="N258" i="38"/>
  <c r="N289" i="38"/>
  <c r="I357" i="38"/>
  <c r="J357" i="38"/>
  <c r="G382" i="38"/>
  <c r="N382" i="38" s="1"/>
  <c r="L74" i="37"/>
  <c r="N109" i="38"/>
  <c r="G348" i="38"/>
  <c r="N348" i="38" s="1"/>
  <c r="G362" i="38"/>
  <c r="N362" i="38" s="1"/>
  <c r="M469" i="38"/>
  <c r="O86" i="37"/>
  <c r="G45" i="38"/>
  <c r="N45" i="38" s="1"/>
  <c r="D63" i="38"/>
  <c r="N133" i="38"/>
  <c r="G140" i="38"/>
  <c r="N140" i="38" s="1"/>
  <c r="E164" i="38"/>
  <c r="I187" i="38"/>
  <c r="N256" i="38"/>
  <c r="D287" i="38"/>
  <c r="N290" i="38"/>
  <c r="G338" i="38"/>
  <c r="N338" i="38" s="1"/>
  <c r="N426" i="38"/>
  <c r="E220" i="39"/>
  <c r="E219" i="39" s="1"/>
  <c r="E541" i="39" s="1"/>
  <c r="K142" i="38"/>
  <c r="N250" i="38"/>
  <c r="H297" i="38"/>
  <c r="F441" i="38"/>
  <c r="L498" i="38"/>
  <c r="O220" i="39"/>
  <c r="N486" i="37"/>
  <c r="L11" i="38"/>
  <c r="G308" i="38"/>
  <c r="N308" i="38" s="1"/>
  <c r="L297" i="38"/>
  <c r="L344" i="38"/>
  <c r="M344" i="38"/>
  <c r="I441" i="38"/>
  <c r="K133" i="39"/>
  <c r="F133" i="39" s="1"/>
  <c r="Q220" i="39"/>
  <c r="I396" i="38"/>
  <c r="D469" i="38"/>
  <c r="D468" i="38" s="1"/>
  <c r="G492" i="38"/>
  <c r="N492" i="38" s="1"/>
  <c r="N279" i="38"/>
  <c r="J220" i="39"/>
  <c r="E515" i="37"/>
  <c r="E11" i="38"/>
  <c r="I11" i="38"/>
  <c r="M77" i="38"/>
  <c r="L135" i="38"/>
  <c r="K396" i="38"/>
  <c r="F457" i="38"/>
  <c r="E469" i="38"/>
  <c r="E468" i="38" s="1"/>
  <c r="E537" i="38" s="1"/>
  <c r="N296" i="38"/>
  <c r="G275" i="39"/>
  <c r="L162" i="39"/>
  <c r="L210" i="39" s="1"/>
  <c r="O162" i="39"/>
  <c r="F224" i="37"/>
  <c r="M11" i="38"/>
  <c r="J63" i="38"/>
  <c r="I135" i="38"/>
  <c r="K135" i="38"/>
  <c r="K164" i="38"/>
  <c r="N275" i="38"/>
  <c r="D316" i="38"/>
  <c r="D377" i="38"/>
  <c r="G419" i="38"/>
  <c r="N419" i="38" s="1"/>
  <c r="G439" i="38"/>
  <c r="N439" i="38" s="1"/>
  <c r="F469" i="38"/>
  <c r="F468" i="38" s="1"/>
  <c r="M316" i="38"/>
  <c r="G150" i="38"/>
  <c r="N150" i="38" s="1"/>
  <c r="L316" i="38"/>
  <c r="G409" i="38"/>
  <c r="N409" i="38" s="1"/>
  <c r="M441" i="38"/>
  <c r="K498" i="38"/>
  <c r="G498" i="38" s="1"/>
  <c r="N498" i="38" s="1"/>
  <c r="Q133" i="39"/>
  <c r="N7" i="39"/>
  <c r="Q6" i="39"/>
  <c r="Q210" i="39" s="1"/>
  <c r="G115" i="39"/>
  <c r="G221" i="39"/>
  <c r="E210" i="39"/>
  <c r="O133" i="39"/>
  <c r="O6" i="39" s="1"/>
  <c r="O210" i="39" s="1"/>
  <c r="G394" i="39"/>
  <c r="P247" i="39"/>
  <c r="P220" i="39" s="1"/>
  <c r="P219" i="39" s="1"/>
  <c r="P541" i="39" s="1"/>
  <c r="G374" i="39"/>
  <c r="L220" i="39"/>
  <c r="L219" i="39" s="1"/>
  <c r="L541" i="39" s="1"/>
  <c r="I434" i="39"/>
  <c r="N434" i="39"/>
  <c r="J133" i="39"/>
  <c r="Q219" i="39"/>
  <c r="Q541" i="39" s="1"/>
  <c r="F275" i="39"/>
  <c r="G151" i="39"/>
  <c r="N219" i="39"/>
  <c r="N541" i="39" s="1"/>
  <c r="G8" i="39"/>
  <c r="G7" i="39" s="1"/>
  <c r="G458" i="39"/>
  <c r="F11" i="38"/>
  <c r="G340" i="38"/>
  <c r="N340" i="38" s="1"/>
  <c r="G345" i="38"/>
  <c r="N345" i="38" s="1"/>
  <c r="D357" i="38"/>
  <c r="G365" i="38"/>
  <c r="N365" i="38" s="1"/>
  <c r="D396" i="38"/>
  <c r="G406" i="38"/>
  <c r="N406" i="38" s="1"/>
  <c r="G460" i="38"/>
  <c r="N460" i="38" s="1"/>
  <c r="G513" i="38"/>
  <c r="N513" i="38" s="1"/>
  <c r="G81" i="38"/>
  <c r="N81" i="38" s="1"/>
  <c r="D248" i="38"/>
  <c r="G29" i="38"/>
  <c r="N29" i="38" s="1"/>
  <c r="G64" i="38"/>
  <c r="N64" i="38" s="1"/>
  <c r="G138" i="38"/>
  <c r="E152" i="38"/>
  <c r="I164" i="38"/>
  <c r="I163" i="38" s="1"/>
  <c r="I536" i="38" s="1"/>
  <c r="F187" i="38"/>
  <c r="F284" i="38"/>
  <c r="F297" i="38"/>
  <c r="G327" i="38"/>
  <c r="N327" i="38" s="1"/>
  <c r="G351" i="38"/>
  <c r="N351" i="38" s="1"/>
  <c r="K377" i="38"/>
  <c r="G455" i="38"/>
  <c r="N455" i="38" s="1"/>
  <c r="F163" i="38"/>
  <c r="K118" i="38"/>
  <c r="E63" i="38"/>
  <c r="H77" i="38"/>
  <c r="N94" i="38"/>
  <c r="N99" i="38"/>
  <c r="G121" i="38"/>
  <c r="N121" i="38" s="1"/>
  <c r="E135" i="38"/>
  <c r="M142" i="38"/>
  <c r="H149" i="38"/>
  <c r="M152" i="38"/>
  <c r="N269" i="38"/>
  <c r="K276" i="38"/>
  <c r="J248" i="38"/>
  <c r="G314" i="38"/>
  <c r="N314" i="38" s="1"/>
  <c r="K316" i="38"/>
  <c r="H344" i="38"/>
  <c r="E357" i="38"/>
  <c r="I377" i="38"/>
  <c r="I457" i="38"/>
  <c r="I417" i="38" s="1"/>
  <c r="G484" i="38"/>
  <c r="N484" i="38" s="1"/>
  <c r="K469" i="38"/>
  <c r="M498" i="38"/>
  <c r="G522" i="38"/>
  <c r="N522" i="38" s="1"/>
  <c r="N115" i="38"/>
  <c r="G404" i="38"/>
  <c r="G242" i="38"/>
  <c r="N242" i="38" s="1"/>
  <c r="G378" i="38"/>
  <c r="N378" i="38" s="1"/>
  <c r="I468" i="38"/>
  <c r="I537" i="38" s="1"/>
  <c r="K11" i="38"/>
  <c r="G42" i="38"/>
  <c r="N42" i="38" s="1"/>
  <c r="G78" i="38"/>
  <c r="N78" i="38" s="1"/>
  <c r="L89" i="38"/>
  <c r="E163" i="38"/>
  <c r="E536" i="38" s="1"/>
  <c r="E539" i="38" s="1"/>
  <c r="G175" i="38"/>
  <c r="N175" i="38" s="1"/>
  <c r="N243" i="38"/>
  <c r="N282" i="38"/>
  <c r="F400" i="38"/>
  <c r="N422" i="38"/>
  <c r="L418" i="38"/>
  <c r="L417" i="38" s="1"/>
  <c r="D441" i="38"/>
  <c r="D417" i="38" s="1"/>
  <c r="J457" i="38"/>
  <c r="J469" i="38"/>
  <c r="J468" i="38" s="1"/>
  <c r="J537" i="38" s="1"/>
  <c r="L142" i="38"/>
  <c r="F344" i="38"/>
  <c r="E344" i="38"/>
  <c r="G458" i="38"/>
  <c r="N458" i="38" s="1"/>
  <c r="G12" i="38"/>
  <c r="N12" i="38" s="1"/>
  <c r="E118" i="38"/>
  <c r="G155" i="38"/>
  <c r="N155" i="38" s="1"/>
  <c r="M164" i="38"/>
  <c r="M163" i="38" s="1"/>
  <c r="M536" i="38" s="1"/>
  <c r="N252" i="38"/>
  <c r="N288" i="38"/>
  <c r="D344" i="38"/>
  <c r="E377" i="38"/>
  <c r="N399" i="38"/>
  <c r="J418" i="38"/>
  <c r="J417" i="38" s="1"/>
  <c r="E418" i="38"/>
  <c r="E417" i="38" s="1"/>
  <c r="L441" i="38"/>
  <c r="E457" i="38"/>
  <c r="G466" i="38"/>
  <c r="N466" i="38" s="1"/>
  <c r="G63" i="38"/>
  <c r="N63" i="38" s="1"/>
  <c r="G22" i="38"/>
  <c r="N22" i="38" s="1"/>
  <c r="G56" i="38"/>
  <c r="N56" i="38" s="1"/>
  <c r="G147" i="38"/>
  <c r="N147" i="38" s="1"/>
  <c r="M357" i="38"/>
  <c r="G20" i="38"/>
  <c r="N20" i="38" s="1"/>
  <c r="D11" i="38"/>
  <c r="D77" i="38"/>
  <c r="N101" i="38"/>
  <c r="J135" i="38"/>
  <c r="J134" i="38" s="1"/>
  <c r="I142" i="38"/>
  <c r="I152" i="38"/>
  <c r="J187" i="38"/>
  <c r="J163" i="38" s="1"/>
  <c r="J536" i="38" s="1"/>
  <c r="N241" i="38"/>
  <c r="G246" i="38"/>
  <c r="N246" i="38" s="1"/>
  <c r="N286" i="38"/>
  <c r="M377" i="38"/>
  <c r="J396" i="38"/>
  <c r="F430" i="38"/>
  <c r="N430" i="38" s="1"/>
  <c r="N440" i="38"/>
  <c r="E441" i="38"/>
  <c r="M457" i="38"/>
  <c r="L469" i="38"/>
  <c r="L468" i="38" s="1"/>
  <c r="L537" i="38" s="1"/>
  <c r="K86" i="37"/>
  <c r="H247" i="37"/>
  <c r="F417" i="37"/>
  <c r="J134" i="37"/>
  <c r="E86" i="37"/>
  <c r="L247" i="37"/>
  <c r="G539" i="37"/>
  <c r="E162" i="37"/>
  <c r="N394" i="37"/>
  <c r="G444" i="37"/>
  <c r="G441" i="37" s="1"/>
  <c r="Q314" i="37"/>
  <c r="E435" i="37"/>
  <c r="G452" i="37"/>
  <c r="M275" i="37"/>
  <c r="G278" i="37"/>
  <c r="G251" i="37"/>
  <c r="G414" i="37"/>
  <c r="O115" i="37"/>
  <c r="F281" i="37"/>
  <c r="I548" i="41"/>
  <c r="F294" i="41"/>
  <c r="F287" i="41" s="1"/>
  <c r="F248" i="41" s="1"/>
  <c r="F221" i="41" s="1"/>
  <c r="Z221" i="41" s="1"/>
  <c r="G294" i="41"/>
  <c r="G287" i="41" s="1"/>
  <c r="G248" i="41" s="1"/>
  <c r="G221" i="41" s="1"/>
  <c r="G220" i="41" s="1"/>
  <c r="G542" i="41" s="1"/>
  <c r="M287" i="41"/>
  <c r="L548" i="41"/>
  <c r="H548" i="41"/>
  <c r="H544" i="41"/>
  <c r="N548" i="41"/>
  <c r="J548" i="41"/>
  <c r="M7" i="41"/>
  <c r="T8" i="41"/>
  <c r="F8" i="41"/>
  <c r="F7" i="41" s="1"/>
  <c r="F211" i="41" s="1"/>
  <c r="T87" i="41"/>
  <c r="J544" i="41"/>
  <c r="O548" i="41"/>
  <c r="O544" i="41"/>
  <c r="G211" i="41"/>
  <c r="N6" i="39"/>
  <c r="N210" i="39" s="1"/>
  <c r="Z287" i="41"/>
  <c r="M248" i="41"/>
  <c r="H541" i="39"/>
  <c r="G163" i="39"/>
  <c r="I162" i="39"/>
  <c r="G162" i="39" s="1"/>
  <c r="J434" i="39"/>
  <c r="J219" i="39" s="1"/>
  <c r="J541" i="39" s="1"/>
  <c r="J6" i="39"/>
  <c r="J210" i="39" s="1"/>
  <c r="G486" i="39"/>
  <c r="I485" i="39"/>
  <c r="G485" i="39" s="1"/>
  <c r="F122" i="39"/>
  <c r="K120" i="39"/>
  <c r="F120" i="39" s="1"/>
  <c r="F86" i="39" s="1"/>
  <c r="G515" i="39"/>
  <c r="O219" i="39"/>
  <c r="O541" i="39" s="1"/>
  <c r="G141" i="39"/>
  <c r="G133" i="39" s="1"/>
  <c r="I7" i="39"/>
  <c r="I6" i="39" s="1"/>
  <c r="I210" i="39" s="1"/>
  <c r="I220" i="39"/>
  <c r="H7" i="39"/>
  <c r="H6" i="39" s="1"/>
  <c r="H210" i="39" s="1"/>
  <c r="F126" i="39"/>
  <c r="K7" i="39"/>
  <c r="G434" i="39"/>
  <c r="F286" i="39"/>
  <c r="M286" i="39"/>
  <c r="G293" i="39"/>
  <c r="G286" i="39" s="1"/>
  <c r="G247" i="39" s="1"/>
  <c r="E222" i="38"/>
  <c r="G400" i="38"/>
  <c r="G317" i="38"/>
  <c r="N317" i="38" s="1"/>
  <c r="L248" i="38"/>
  <c r="G249" i="38"/>
  <c r="G231" i="38"/>
  <c r="G225" i="38"/>
  <c r="F118" i="38"/>
  <c r="F116" i="38" s="1"/>
  <c r="J118" i="38"/>
  <c r="E89" i="38"/>
  <c r="J89" i="38"/>
  <c r="L10" i="38"/>
  <c r="M135" i="38"/>
  <c r="M134" i="38" s="1"/>
  <c r="G124" i="38"/>
  <c r="G90" i="38"/>
  <c r="N90" i="38" s="1"/>
  <c r="G113" i="38"/>
  <c r="N113" i="38" s="1"/>
  <c r="N100" i="38"/>
  <c r="G97" i="38"/>
  <c r="M89" i="38"/>
  <c r="M10" i="38" s="1"/>
  <c r="N98" i="38"/>
  <c r="G127" i="38"/>
  <c r="N127" i="38" s="1"/>
  <c r="H89" i="38"/>
  <c r="G424" i="38"/>
  <c r="M417" i="38"/>
  <c r="M396" i="38"/>
  <c r="G397" i="38"/>
  <c r="N397" i="38" s="1"/>
  <c r="K357" i="38"/>
  <c r="G374" i="38"/>
  <c r="N374" i="38" s="1"/>
  <c r="H248" i="38"/>
  <c r="N294" i="38"/>
  <c r="G287" i="38"/>
  <c r="G284" i="38"/>
  <c r="N284" i="38" s="1"/>
  <c r="G276" i="38"/>
  <c r="N268" i="38"/>
  <c r="N267" i="38"/>
  <c r="K248" i="38"/>
  <c r="G263" i="38"/>
  <c r="M248" i="38"/>
  <c r="K222" i="38"/>
  <c r="G240" i="38"/>
  <c r="N240" i="38" s="1"/>
  <c r="F396" i="38"/>
  <c r="E396" i="38"/>
  <c r="N404" i="38"/>
  <c r="N405" i="38"/>
  <c r="F295" i="38"/>
  <c r="F287" i="38" s="1"/>
  <c r="N285" i="38"/>
  <c r="F276" i="38"/>
  <c r="E249" i="38"/>
  <c r="E248" i="38" s="1"/>
  <c r="F249" i="38"/>
  <c r="G118" i="38"/>
  <c r="K134" i="38"/>
  <c r="E538" i="38"/>
  <c r="N257" i="38"/>
  <c r="F125" i="38"/>
  <c r="F124" i="38" s="1"/>
  <c r="F123" i="38" s="1"/>
  <c r="D124" i="38"/>
  <c r="D123" i="38" s="1"/>
  <c r="H142" i="38"/>
  <c r="G143" i="38"/>
  <c r="N143" i="38" s="1"/>
  <c r="D227" i="38"/>
  <c r="F227" i="38" s="1"/>
  <c r="N227" i="38" s="1"/>
  <c r="D226" i="38"/>
  <c r="F224" i="38"/>
  <c r="G123" i="38"/>
  <c r="H357" i="38"/>
  <c r="L357" i="38"/>
  <c r="N375" i="38"/>
  <c r="N429" i="38"/>
  <c r="H454" i="38"/>
  <c r="G454" i="38" s="1"/>
  <c r="N454" i="38" s="1"/>
  <c r="H465" i="38"/>
  <c r="G465" i="38" s="1"/>
  <c r="N465" i="38" s="1"/>
  <c r="G499" i="38"/>
  <c r="N499" i="38" s="1"/>
  <c r="H152" i="38"/>
  <c r="G153" i="38"/>
  <c r="N153" i="38" s="1"/>
  <c r="H164" i="38"/>
  <c r="G165" i="38"/>
  <c r="N165" i="38" s="1"/>
  <c r="H11" i="38"/>
  <c r="G69" i="38"/>
  <c r="N69" i="38" s="1"/>
  <c r="I77" i="38"/>
  <c r="K77" i="38"/>
  <c r="F97" i="38"/>
  <c r="G116" i="38"/>
  <c r="G136" i="38"/>
  <c r="N136" i="38" s="1"/>
  <c r="L152" i="38"/>
  <c r="L134" i="38" s="1"/>
  <c r="G161" i="38"/>
  <c r="N161" i="38" s="1"/>
  <c r="L164" i="38"/>
  <c r="L163" i="38" s="1"/>
  <c r="L536" i="38" s="1"/>
  <c r="L538" i="38" s="1"/>
  <c r="J222" i="38"/>
  <c r="G229" i="38"/>
  <c r="N229" i="38" s="1"/>
  <c r="E297" i="38"/>
  <c r="J297" i="38"/>
  <c r="G306" i="38"/>
  <c r="N306" i="38" s="1"/>
  <c r="G310" i="38"/>
  <c r="N310" i="38" s="1"/>
  <c r="F316" i="38"/>
  <c r="I539" i="38"/>
  <c r="G298" i="38"/>
  <c r="N298" i="38" s="1"/>
  <c r="I297" i="38"/>
  <c r="I89" i="38"/>
  <c r="K89" i="38"/>
  <c r="N114" i="38"/>
  <c r="F135" i="38"/>
  <c r="F134" i="38" s="1"/>
  <c r="E142" i="38"/>
  <c r="G145" i="38"/>
  <c r="N145" i="38" s="1"/>
  <c r="D223" i="38"/>
  <c r="I222" i="38"/>
  <c r="M222" i="38"/>
  <c r="F231" i="38"/>
  <c r="N251" i="38"/>
  <c r="N254" i="38"/>
  <c r="N265" i="38"/>
  <c r="N270" i="38"/>
  <c r="M297" i="38"/>
  <c r="I316" i="38"/>
  <c r="J316" i="38"/>
  <c r="K344" i="38"/>
  <c r="G354" i="38"/>
  <c r="N354" i="38" s="1"/>
  <c r="H377" i="38"/>
  <c r="G377" i="38" s="1"/>
  <c r="N377" i="38" s="1"/>
  <c r="N401" i="38"/>
  <c r="G462" i="38"/>
  <c r="N462" i="38" s="1"/>
  <c r="H469" i="38"/>
  <c r="G437" i="38"/>
  <c r="N437" i="38" s="1"/>
  <c r="H418" i="38"/>
  <c r="G452" i="38"/>
  <c r="N452" i="38" s="1"/>
  <c r="H441" i="38"/>
  <c r="G441" i="38" s="1"/>
  <c r="N441" i="38" s="1"/>
  <c r="J11" i="38"/>
  <c r="J10" i="38" s="1"/>
  <c r="J9" i="38" s="1"/>
  <c r="G119" i="38"/>
  <c r="N119" i="38" s="1"/>
  <c r="G128" i="38"/>
  <c r="N128" i="38" s="1"/>
  <c r="N138" i="38"/>
  <c r="N139" i="38"/>
  <c r="G149" i="38"/>
  <c r="N149" i="38" s="1"/>
  <c r="G188" i="38"/>
  <c r="N188" i="38" s="1"/>
  <c r="K187" i="38"/>
  <c r="H222" i="38"/>
  <c r="L222" i="38"/>
  <c r="F263" i="38"/>
  <c r="N280" i="38"/>
  <c r="N283" i="38"/>
  <c r="N292" i="38"/>
  <c r="G368" i="38"/>
  <c r="N368" i="38" s="1"/>
  <c r="H396" i="38"/>
  <c r="L396" i="38"/>
  <c r="G415" i="38"/>
  <c r="N415" i="38" s="1"/>
  <c r="K418" i="38"/>
  <c r="K417" i="38" s="1"/>
  <c r="G435" i="38"/>
  <c r="N435" i="38" s="1"/>
  <c r="G444" i="38"/>
  <c r="N444" i="38" s="1"/>
  <c r="H457" i="38"/>
  <c r="G457" i="38" s="1"/>
  <c r="N457" i="38" s="1"/>
  <c r="M468" i="38"/>
  <c r="M537" i="38" s="1"/>
  <c r="M539" i="38" s="1"/>
  <c r="G470" i="38"/>
  <c r="N470" i="38" s="1"/>
  <c r="F94" i="37"/>
  <c r="E60" i="37"/>
  <c r="J361" i="37"/>
  <c r="Q361" i="37"/>
  <c r="G365" i="37"/>
  <c r="O361" i="37"/>
  <c r="I374" i="37"/>
  <c r="G139" i="37"/>
  <c r="G146" i="37"/>
  <c r="O221" i="37"/>
  <c r="E333" i="37"/>
  <c r="O333" i="37"/>
  <c r="N141" i="37"/>
  <c r="N133" i="37" s="1"/>
  <c r="I162" i="37"/>
  <c r="O162" i="37"/>
  <c r="I221" i="37"/>
  <c r="M221" i="37"/>
  <c r="L8" i="37"/>
  <c r="G94" i="37"/>
  <c r="F230" i="37"/>
  <c r="G432" i="37"/>
  <c r="G461" i="37"/>
  <c r="G331" i="37"/>
  <c r="E413" i="37"/>
  <c r="J435" i="37"/>
  <c r="I8" i="37"/>
  <c r="O8" i="37"/>
  <c r="N60" i="37"/>
  <c r="J74" i="37"/>
  <c r="Q74" i="37"/>
  <c r="G78" i="37"/>
  <c r="H86" i="37"/>
  <c r="H7" i="37" s="1"/>
  <c r="L86" i="37"/>
  <c r="P86" i="37"/>
  <c r="P7" i="37" s="1"/>
  <c r="P6" i="37" s="1"/>
  <c r="P210" i="37" s="1"/>
  <c r="E115" i="37"/>
  <c r="L115" i="37"/>
  <c r="Q221" i="37"/>
  <c r="J247" i="37"/>
  <c r="G160" i="37"/>
  <c r="G61" i="37"/>
  <c r="Q60" i="37"/>
  <c r="L60" i="37"/>
  <c r="E74" i="37"/>
  <c r="N74" i="37"/>
  <c r="L134" i="37"/>
  <c r="G477" i="37"/>
  <c r="G501" i="37"/>
  <c r="Q86" i="37"/>
  <c r="G110" i="37"/>
  <c r="E224" i="37"/>
  <c r="E221" i="37" s="1"/>
  <c r="F289" i="37"/>
  <c r="M303" i="37"/>
  <c r="G475" i="37"/>
  <c r="O474" i="37"/>
  <c r="N474" i="37"/>
  <c r="E474" i="37"/>
  <c r="G516" i="37"/>
  <c r="F87" i="37"/>
  <c r="I361" i="37"/>
  <c r="J413" i="37"/>
  <c r="N515" i="37"/>
  <c r="N485" i="37" s="1"/>
  <c r="G224" i="37"/>
  <c r="G230" i="37"/>
  <c r="F252" i="37"/>
  <c r="F265" i="37"/>
  <c r="F262" i="37" s="1"/>
  <c r="G282" i="37"/>
  <c r="P286" i="37"/>
  <c r="L361" i="37"/>
  <c r="G388" i="37"/>
  <c r="Q374" i="37"/>
  <c r="G399" i="37"/>
  <c r="O394" i="37"/>
  <c r="L474" i="37"/>
  <c r="J474" i="37"/>
  <c r="Q474" i="37"/>
  <c r="G287" i="37"/>
  <c r="J515" i="37"/>
  <c r="J485" i="37" s="1"/>
  <c r="Q515" i="37"/>
  <c r="J60" i="37"/>
  <c r="E8" i="37"/>
  <c r="J141" i="37"/>
  <c r="Q141" i="37"/>
  <c r="G152" i="37"/>
  <c r="G154" i="37"/>
  <c r="N222" i="37"/>
  <c r="N224" i="37"/>
  <c r="M262" i="37"/>
  <c r="N286" i="37"/>
  <c r="N247" i="37" s="1"/>
  <c r="N314" i="37"/>
  <c r="J333" i="37"/>
  <c r="Q333" i="37"/>
  <c r="I333" i="37"/>
  <c r="E374" i="37"/>
  <c r="N413" i="37"/>
  <c r="K435" i="37"/>
  <c r="K434" i="37" s="1"/>
  <c r="O435" i="37"/>
  <c r="L458" i="37"/>
  <c r="E458" i="37"/>
  <c r="G472" i="37"/>
  <c r="G313" i="37"/>
  <c r="F137" i="37"/>
  <c r="G149" i="37"/>
  <c r="L162" i="37"/>
  <c r="G197" i="37"/>
  <c r="G253" i="37"/>
  <c r="G248" i="37" s="1"/>
  <c r="G325" i="37"/>
  <c r="E361" i="37"/>
  <c r="N361" i="37"/>
  <c r="G385" i="37"/>
  <c r="I474" i="37"/>
  <c r="G530" i="37"/>
  <c r="G116" i="37"/>
  <c r="Q115" i="37"/>
  <c r="N8" i="37"/>
  <c r="G39" i="37"/>
  <c r="I74" i="37"/>
  <c r="G142" i="37"/>
  <c r="G144" i="37"/>
  <c r="J151" i="37"/>
  <c r="Q151" i="37"/>
  <c r="G228" i="37"/>
  <c r="F287" i="37"/>
  <c r="M294" i="37"/>
  <c r="G315" i="37"/>
  <c r="E314" i="37"/>
  <c r="L333" i="37"/>
  <c r="G382" i="37"/>
  <c r="O374" i="37"/>
  <c r="H413" i="37"/>
  <c r="L413" i="37"/>
  <c r="P413" i="37"/>
  <c r="I435" i="37"/>
  <c r="M435" i="37"/>
  <c r="M434" i="37" s="1"/>
  <c r="Q435" i="37"/>
  <c r="G436" i="37"/>
  <c r="G459" i="37"/>
  <c r="O458" i="37"/>
  <c r="N458" i="37"/>
  <c r="G509" i="37"/>
  <c r="Q486" i="37"/>
  <c r="F282" i="37"/>
  <c r="F275" i="37" s="1"/>
  <c r="K221" i="37"/>
  <c r="H435" i="37"/>
  <c r="H434" i="37" s="1"/>
  <c r="L435" i="37"/>
  <c r="P435" i="37"/>
  <c r="P434" i="37" s="1"/>
  <c r="N435" i="37"/>
  <c r="G471" i="37"/>
  <c r="G513" i="37"/>
  <c r="I515" i="37"/>
  <c r="M248" i="37"/>
  <c r="K7" i="37"/>
  <c r="J8" i="37"/>
  <c r="G26" i="37"/>
  <c r="G19" i="37"/>
  <c r="G42" i="37"/>
  <c r="J86" i="37"/>
  <c r="N86" i="37"/>
  <c r="G87" i="37"/>
  <c r="F110" i="37"/>
  <c r="G118" i="37"/>
  <c r="F127" i="37"/>
  <c r="K134" i="37"/>
  <c r="K133" i="37" s="1"/>
  <c r="G135" i="37"/>
  <c r="G134" i="37" s="1"/>
  <c r="Q134" i="37"/>
  <c r="I148" i="37"/>
  <c r="G148" i="37" s="1"/>
  <c r="G164" i="37"/>
  <c r="J221" i="37"/>
  <c r="G245" i="37"/>
  <c r="I247" i="37"/>
  <c r="G323" i="37"/>
  <c r="O314" i="37"/>
  <c r="G344" i="37"/>
  <c r="G368" i="37"/>
  <c r="G379" i="37"/>
  <c r="N374" i="37"/>
  <c r="L374" i="37"/>
  <c r="G391" i="37"/>
  <c r="K413" i="37"/>
  <c r="O413" i="37"/>
  <c r="F413" i="37"/>
  <c r="G454" i="37"/>
  <c r="G479" i="37"/>
  <c r="G483" i="37"/>
  <c r="G487" i="37"/>
  <c r="O134" i="37"/>
  <c r="O141" i="37"/>
  <c r="O151" i="37"/>
  <c r="N163" i="37"/>
  <c r="Q186" i="37"/>
  <c r="O486" i="37"/>
  <c r="O485" i="37" s="1"/>
  <c r="G9" i="37"/>
  <c r="G32" i="37"/>
  <c r="G66" i="37"/>
  <c r="G75" i="37"/>
  <c r="G83" i="37"/>
  <c r="E141" i="37"/>
  <c r="E151" i="37"/>
  <c r="G187" i="37"/>
  <c r="H221" i="37"/>
  <c r="L221" i="37"/>
  <c r="P221" i="37"/>
  <c r="E247" i="37"/>
  <c r="K247" i="37"/>
  <c r="Q247" i="37"/>
  <c r="G256" i="37"/>
  <c r="L314" i="37"/>
  <c r="G357" i="37"/>
  <c r="G362" i="37"/>
  <c r="J374" i="37"/>
  <c r="G395" i="37"/>
  <c r="E394" i="37"/>
  <c r="I413" i="37"/>
  <c r="M413" i="37"/>
  <c r="Q413" i="37"/>
  <c r="G426" i="37"/>
  <c r="G469" i="37"/>
  <c r="E486" i="37"/>
  <c r="E485" i="37" s="1"/>
  <c r="G511" i="37"/>
  <c r="Q8" i="37"/>
  <c r="G53" i="37"/>
  <c r="G99" i="37"/>
  <c r="G113" i="37"/>
  <c r="N115" i="37"/>
  <c r="F126" i="37"/>
  <c r="E134" i="37"/>
  <c r="L141" i="37"/>
  <c r="L151" i="37"/>
  <c r="G174" i="37"/>
  <c r="Q163" i="37"/>
  <c r="N186" i="37"/>
  <c r="F221" i="37"/>
  <c r="G243" i="37"/>
  <c r="O247" i="37"/>
  <c r="J314" i="37"/>
  <c r="G327" i="37"/>
  <c r="N333" i="37"/>
  <c r="G334" i="37"/>
  <c r="G355" i="37"/>
  <c r="G371" i="37"/>
  <c r="L394" i="37"/>
  <c r="G423" i="37"/>
  <c r="J458" i="37"/>
  <c r="Q458" i="37"/>
  <c r="G482" i="37"/>
  <c r="L486" i="37"/>
  <c r="L485" i="37" s="1"/>
  <c r="G275" i="37"/>
  <c r="G283" i="37"/>
  <c r="F283" i="37"/>
  <c r="M123" i="37"/>
  <c r="F123" i="37" s="1"/>
  <c r="F441" i="37"/>
  <c r="F435" i="37" s="1"/>
  <c r="F434" i="37" s="1"/>
  <c r="H120" i="37"/>
  <c r="F120" i="37" s="1"/>
  <c r="G17" i="37"/>
  <c r="J115" i="37"/>
  <c r="G124" i="37"/>
  <c r="G123" i="37" s="1"/>
  <c r="G122" i="37" s="1"/>
  <c r="G120" i="37" s="1"/>
  <c r="H133" i="37"/>
  <c r="I141" i="37"/>
  <c r="I151" i="37"/>
  <c r="J163" i="37"/>
  <c r="J186" i="37"/>
  <c r="P248" i="37"/>
  <c r="G264" i="37"/>
  <c r="G262" i="37" s="1"/>
  <c r="M283" i="37"/>
  <c r="F298" i="37"/>
  <c r="F294" i="37" s="1"/>
  <c r="M300" i="37"/>
  <c r="F300" i="37" s="1"/>
  <c r="F305" i="37"/>
  <c r="F303" i="37" s="1"/>
  <c r="I314" i="37"/>
  <c r="I394" i="37"/>
  <c r="I134" i="37"/>
  <c r="F251" i="37"/>
  <c r="I486" i="37"/>
  <c r="M312" i="35"/>
  <c r="M278" i="35"/>
  <c r="F278" i="35" s="1"/>
  <c r="M298" i="35"/>
  <c r="F298" i="35" s="1"/>
  <c r="M123" i="35"/>
  <c r="M122" i="35" s="1"/>
  <c r="G540" i="35"/>
  <c r="Q539" i="35"/>
  <c r="O539" i="35"/>
  <c r="N539" i="35"/>
  <c r="L539" i="35"/>
  <c r="J539" i="35"/>
  <c r="I539" i="35"/>
  <c r="G539" i="35" s="1"/>
  <c r="E539" i="35"/>
  <c r="G538" i="35"/>
  <c r="G537" i="35"/>
  <c r="G536" i="35"/>
  <c r="G535" i="35"/>
  <c r="G534" i="35"/>
  <c r="G533" i="35"/>
  <c r="G532" i="35"/>
  <c r="G531" i="35"/>
  <c r="Q530" i="35"/>
  <c r="O530" i="35"/>
  <c r="N530" i="35"/>
  <c r="L530" i="35"/>
  <c r="J530" i="35"/>
  <c r="I530" i="35"/>
  <c r="I515" i="35" s="1"/>
  <c r="E530" i="35"/>
  <c r="E515" i="35" s="1"/>
  <c r="G529" i="35"/>
  <c r="G528" i="35"/>
  <c r="G527" i="35"/>
  <c r="G526" i="35"/>
  <c r="G525" i="35"/>
  <c r="G524" i="35"/>
  <c r="G523" i="35"/>
  <c r="G522" i="35"/>
  <c r="G517" i="35"/>
  <c r="Q516" i="35"/>
  <c r="O516" i="35"/>
  <c r="N516" i="35"/>
  <c r="L516" i="35"/>
  <c r="L515" i="35" s="1"/>
  <c r="J516" i="35"/>
  <c r="I516" i="35"/>
  <c r="E516" i="35"/>
  <c r="O515" i="35"/>
  <c r="G514" i="35"/>
  <c r="Q513" i="35"/>
  <c r="O513" i="35"/>
  <c r="N513" i="35"/>
  <c r="G513" i="35" s="1"/>
  <c r="L513" i="35"/>
  <c r="J513" i="35"/>
  <c r="I513" i="35"/>
  <c r="E513" i="35"/>
  <c r="G512" i="35"/>
  <c r="Q511" i="35"/>
  <c r="O511" i="35"/>
  <c r="N511" i="35"/>
  <c r="L511" i="35"/>
  <c r="J511" i="35"/>
  <c r="I511" i="35"/>
  <c r="G511" i="35" s="1"/>
  <c r="E511" i="35"/>
  <c r="G510" i="35"/>
  <c r="Q509" i="35"/>
  <c r="O509" i="35"/>
  <c r="N509" i="35"/>
  <c r="L509" i="35"/>
  <c r="J509" i="35"/>
  <c r="I509" i="35"/>
  <c r="G509" i="35" s="1"/>
  <c r="E509" i="35"/>
  <c r="G508" i="35"/>
  <c r="G507" i="35"/>
  <c r="G506" i="35"/>
  <c r="G505" i="35"/>
  <c r="G504" i="35"/>
  <c r="G503" i="35"/>
  <c r="G502" i="35"/>
  <c r="Q501" i="35"/>
  <c r="O501" i="35"/>
  <c r="N501" i="35"/>
  <c r="L501" i="35"/>
  <c r="J501" i="35"/>
  <c r="I501" i="35"/>
  <c r="E501" i="35"/>
  <c r="E486" i="35" s="1"/>
  <c r="G500" i="35"/>
  <c r="G499" i="35"/>
  <c r="G498" i="35"/>
  <c r="G497" i="35"/>
  <c r="G496" i="35"/>
  <c r="G495" i="35"/>
  <c r="G490" i="35"/>
  <c r="G489" i="35"/>
  <c r="G488" i="35"/>
  <c r="Q487" i="35"/>
  <c r="Q486" i="35" s="1"/>
  <c r="O487" i="35"/>
  <c r="N487" i="35"/>
  <c r="N486" i="35" s="1"/>
  <c r="L487" i="35"/>
  <c r="J487" i="35"/>
  <c r="I487" i="35"/>
  <c r="E487" i="35"/>
  <c r="G484" i="35"/>
  <c r="Q483" i="35"/>
  <c r="O483" i="35"/>
  <c r="O482" i="35" s="1"/>
  <c r="N483" i="35"/>
  <c r="L483" i="35"/>
  <c r="L482" i="35" s="1"/>
  <c r="J483" i="35"/>
  <c r="I483" i="35"/>
  <c r="E483" i="35"/>
  <c r="Q482" i="35"/>
  <c r="N482" i="35"/>
  <c r="J482" i="35"/>
  <c r="I482" i="35"/>
  <c r="E482" i="35"/>
  <c r="G481" i="35"/>
  <c r="G480" i="35"/>
  <c r="Q479" i="35"/>
  <c r="O479" i="35"/>
  <c r="N479" i="35"/>
  <c r="L479" i="35"/>
  <c r="J479" i="35"/>
  <c r="I479" i="35"/>
  <c r="E479" i="35"/>
  <c r="G478" i="35"/>
  <c r="Q477" i="35"/>
  <c r="Q474" i="35" s="1"/>
  <c r="O477" i="35"/>
  <c r="O474" i="35" s="1"/>
  <c r="N477" i="35"/>
  <c r="L477" i="35"/>
  <c r="G477" i="35" s="1"/>
  <c r="J477" i="35"/>
  <c r="I477" i="35"/>
  <c r="E477" i="35"/>
  <c r="G476" i="35"/>
  <c r="Q475" i="35"/>
  <c r="O475" i="35"/>
  <c r="N475" i="35"/>
  <c r="L475" i="35"/>
  <c r="L474" i="35" s="1"/>
  <c r="J475" i="35"/>
  <c r="I475" i="35"/>
  <c r="I474" i="35" s="1"/>
  <c r="E475" i="35"/>
  <c r="E474" i="35" s="1"/>
  <c r="G473" i="35"/>
  <c r="Q472" i="35"/>
  <c r="O472" i="35"/>
  <c r="N472" i="35"/>
  <c r="N471" i="35" s="1"/>
  <c r="L472" i="35"/>
  <c r="J472" i="35"/>
  <c r="J471" i="35" s="1"/>
  <c r="I472" i="35"/>
  <c r="I471" i="35" s="1"/>
  <c r="G471" i="35" s="1"/>
  <c r="G472" i="35"/>
  <c r="E472" i="35"/>
  <c r="Q471" i="35"/>
  <c r="O471" i="35"/>
  <c r="L471" i="35"/>
  <c r="E471" i="35"/>
  <c r="G470" i="35"/>
  <c r="Q469" i="35"/>
  <c r="O469" i="35"/>
  <c r="N469" i="35"/>
  <c r="L469" i="35"/>
  <c r="J469" i="35"/>
  <c r="I469" i="35"/>
  <c r="E469" i="35"/>
  <c r="G468" i="35"/>
  <c r="G467" i="35"/>
  <c r="G462" i="35"/>
  <c r="Q461" i="35"/>
  <c r="O461" i="35"/>
  <c r="N461" i="35"/>
  <c r="N458" i="35" s="1"/>
  <c r="L461" i="35"/>
  <c r="J461" i="35"/>
  <c r="I461" i="35"/>
  <c r="E461" i="35"/>
  <c r="G460" i="35"/>
  <c r="Q459" i="35"/>
  <c r="O459" i="35"/>
  <c r="N459" i="35"/>
  <c r="L459" i="35"/>
  <c r="L458" i="35" s="1"/>
  <c r="J459" i="35"/>
  <c r="I459" i="35"/>
  <c r="G459" i="35" s="1"/>
  <c r="E459" i="35"/>
  <c r="E458" i="35" s="1"/>
  <c r="O458" i="35"/>
  <c r="G457" i="35"/>
  <c r="F457" i="35"/>
  <c r="F456" i="35" s="1"/>
  <c r="Q456" i="35"/>
  <c r="P456" i="35"/>
  <c r="O456" i="35"/>
  <c r="N456" i="35"/>
  <c r="M456" i="35"/>
  <c r="L456" i="35"/>
  <c r="K456" i="35"/>
  <c r="J456" i="35"/>
  <c r="I456" i="35"/>
  <c r="H456" i="35"/>
  <c r="G456" i="35"/>
  <c r="E456" i="35"/>
  <c r="G455" i="35"/>
  <c r="Q454" i="35"/>
  <c r="O454" i="35"/>
  <c r="N454" i="35"/>
  <c r="L454" i="35"/>
  <c r="J454" i="35"/>
  <c r="I454" i="35"/>
  <c r="E454" i="35"/>
  <c r="G453" i="35"/>
  <c r="Q452" i="35"/>
  <c r="O452" i="35"/>
  <c r="N452" i="35"/>
  <c r="L452" i="35"/>
  <c r="J452" i="35"/>
  <c r="I452" i="35"/>
  <c r="E452" i="35"/>
  <c r="G451" i="35"/>
  <c r="G450" i="35"/>
  <c r="G449" i="35"/>
  <c r="G448" i="35"/>
  <c r="G447" i="35"/>
  <c r="F447" i="35"/>
  <c r="G446" i="35"/>
  <c r="G445" i="35"/>
  <c r="T444" i="35"/>
  <c r="P444" i="35"/>
  <c r="F444" i="35" s="1"/>
  <c r="F443" i="35"/>
  <c r="G442" i="35"/>
  <c r="Q441" i="35"/>
  <c r="O441" i="35"/>
  <c r="N441" i="35"/>
  <c r="M441" i="35"/>
  <c r="L441" i="35"/>
  <c r="K441" i="35"/>
  <c r="J441" i="35"/>
  <c r="I441" i="35"/>
  <c r="H441" i="35"/>
  <c r="E441" i="35"/>
  <c r="G440" i="35"/>
  <c r="G439" i="35"/>
  <c r="F439" i="35"/>
  <c r="G438" i="35"/>
  <c r="G437" i="35"/>
  <c r="Q436" i="35"/>
  <c r="P436" i="35"/>
  <c r="O436" i="35"/>
  <c r="N436" i="35"/>
  <c r="N435" i="35" s="1"/>
  <c r="M436" i="35"/>
  <c r="L436" i="35"/>
  <c r="L435" i="35" s="1"/>
  <c r="L434" i="35" s="1"/>
  <c r="K436" i="35"/>
  <c r="J436" i="35"/>
  <c r="J435" i="35" s="1"/>
  <c r="I436" i="35"/>
  <c r="H436" i="35"/>
  <c r="F436" i="35"/>
  <c r="E436" i="35"/>
  <c r="H435" i="35"/>
  <c r="H434" i="35" s="1"/>
  <c r="G433" i="35"/>
  <c r="Q432" i="35"/>
  <c r="O432" i="35"/>
  <c r="G432" i="35" s="1"/>
  <c r="N432" i="35"/>
  <c r="L432" i="35"/>
  <c r="J432" i="35"/>
  <c r="I432" i="35"/>
  <c r="E432" i="35"/>
  <c r="G427" i="35"/>
  <c r="Q426" i="35"/>
  <c r="O426" i="35"/>
  <c r="N426" i="35"/>
  <c r="L426" i="35"/>
  <c r="J426" i="35"/>
  <c r="I426" i="35"/>
  <c r="E426" i="35"/>
  <c r="G425" i="35"/>
  <c r="G424" i="35"/>
  <c r="Q423" i="35"/>
  <c r="O423" i="35"/>
  <c r="N423" i="35"/>
  <c r="L423" i="35"/>
  <c r="L413" i="35" s="1"/>
  <c r="J423" i="35"/>
  <c r="I423" i="35"/>
  <c r="G423" i="35" s="1"/>
  <c r="E423" i="35"/>
  <c r="G422" i="35"/>
  <c r="F422" i="35"/>
  <c r="Q421" i="35"/>
  <c r="P421" i="35"/>
  <c r="O421" i="35"/>
  <c r="N421" i="35"/>
  <c r="M421" i="35"/>
  <c r="L421" i="35"/>
  <c r="K421" i="35"/>
  <c r="J421" i="35"/>
  <c r="I421" i="35"/>
  <c r="H421" i="35"/>
  <c r="G421" i="35"/>
  <c r="F421" i="35"/>
  <c r="E421" i="35"/>
  <c r="G420" i="35"/>
  <c r="F420" i="35"/>
  <c r="G419" i="35"/>
  <c r="G417" i="35" s="1"/>
  <c r="F419" i="35"/>
  <c r="G418" i="35"/>
  <c r="F418" i="35"/>
  <c r="Q417" i="35"/>
  <c r="P417" i="35"/>
  <c r="P413" i="35" s="1"/>
  <c r="O417" i="35"/>
  <c r="N417" i="35"/>
  <c r="N413" i="35" s="1"/>
  <c r="M417" i="35"/>
  <c r="L417" i="35"/>
  <c r="K417" i="35"/>
  <c r="J417" i="35"/>
  <c r="I417" i="35"/>
  <c r="H417" i="35"/>
  <c r="F417" i="35"/>
  <c r="E417" i="35"/>
  <c r="G416" i="35"/>
  <c r="F416" i="35"/>
  <c r="F414" i="35" s="1"/>
  <c r="G415" i="35"/>
  <c r="G414" i="35" s="1"/>
  <c r="Q414" i="35"/>
  <c r="P414" i="35"/>
  <c r="O414" i="35"/>
  <c r="N414" i="35"/>
  <c r="M414" i="35"/>
  <c r="M413" i="35" s="1"/>
  <c r="L414" i="35"/>
  <c r="K414" i="35"/>
  <c r="J414" i="35"/>
  <c r="J413" i="35" s="1"/>
  <c r="I414" i="35"/>
  <c r="H414" i="35"/>
  <c r="H413" i="35" s="1"/>
  <c r="E414" i="35"/>
  <c r="E413" i="35" s="1"/>
  <c r="G412" i="35"/>
  <c r="G411" i="35"/>
  <c r="G410" i="35"/>
  <c r="G409" i="35"/>
  <c r="G408" i="35"/>
  <c r="G407" i="35"/>
  <c r="G406" i="35"/>
  <c r="G405" i="35"/>
  <c r="G404" i="35"/>
  <c r="Q399" i="35"/>
  <c r="O399" i="35"/>
  <c r="O394" i="35" s="1"/>
  <c r="N399" i="35"/>
  <c r="N394" i="35" s="1"/>
  <c r="L399" i="35"/>
  <c r="J399" i="35"/>
  <c r="I399" i="35"/>
  <c r="E399" i="35"/>
  <c r="E394" i="35" s="1"/>
  <c r="G398" i="35"/>
  <c r="G397" i="35"/>
  <c r="G396" i="35"/>
  <c r="Q395" i="35"/>
  <c r="O395" i="35"/>
  <c r="N395" i="35"/>
  <c r="L395" i="35"/>
  <c r="J395" i="35"/>
  <c r="G395" i="35" s="1"/>
  <c r="I395" i="35"/>
  <c r="E395" i="35"/>
  <c r="Q394" i="35"/>
  <c r="J394" i="35"/>
  <c r="G393" i="35"/>
  <c r="G392" i="35"/>
  <c r="F392" i="35"/>
  <c r="Q391" i="35"/>
  <c r="P391" i="35"/>
  <c r="P374" i="35" s="1"/>
  <c r="O391" i="35"/>
  <c r="N391" i="35"/>
  <c r="M391" i="35"/>
  <c r="L391" i="35"/>
  <c r="K391" i="35"/>
  <c r="J391" i="35"/>
  <c r="I391" i="35"/>
  <c r="I374" i="35" s="1"/>
  <c r="H391" i="35"/>
  <c r="H374" i="35" s="1"/>
  <c r="F391" i="35"/>
  <c r="F374" i="35" s="1"/>
  <c r="E391" i="35"/>
  <c r="G390" i="35"/>
  <c r="G389" i="35"/>
  <c r="Q388" i="35"/>
  <c r="O388" i="35"/>
  <c r="N388" i="35"/>
  <c r="L388" i="35"/>
  <c r="J388" i="35"/>
  <c r="I388" i="35"/>
  <c r="E388" i="35"/>
  <c r="G387" i="35"/>
  <c r="G386" i="35"/>
  <c r="Q385" i="35"/>
  <c r="O385" i="35"/>
  <c r="N385" i="35"/>
  <c r="L385" i="35"/>
  <c r="J385" i="35"/>
  <c r="I385" i="35"/>
  <c r="G385" i="35" s="1"/>
  <c r="E385" i="35"/>
  <c r="G384" i="35"/>
  <c r="G383" i="35"/>
  <c r="Q382" i="35"/>
  <c r="O382" i="35"/>
  <c r="G382" i="35" s="1"/>
  <c r="N382" i="35"/>
  <c r="L382" i="35"/>
  <c r="J382" i="35"/>
  <c r="I382" i="35"/>
  <c r="E382" i="35"/>
  <c r="G381" i="35"/>
  <c r="G380" i="35"/>
  <c r="Q379" i="35"/>
  <c r="O379" i="35"/>
  <c r="O374" i="35" s="1"/>
  <c r="N379" i="35"/>
  <c r="L379" i="35"/>
  <c r="G379" i="35" s="1"/>
  <c r="J379" i="35"/>
  <c r="I379" i="35"/>
  <c r="E379" i="35"/>
  <c r="Q374" i="35"/>
  <c r="M374" i="35"/>
  <c r="K374" i="35"/>
  <c r="E374" i="35"/>
  <c r="G373" i="35"/>
  <c r="G372" i="35"/>
  <c r="Q371" i="35"/>
  <c r="O371" i="35"/>
  <c r="N371" i="35"/>
  <c r="L371" i="35"/>
  <c r="J371" i="35"/>
  <c r="I371" i="35"/>
  <c r="E371" i="35"/>
  <c r="G370" i="35"/>
  <c r="G369" i="35"/>
  <c r="Q368" i="35"/>
  <c r="Q361" i="35" s="1"/>
  <c r="O368" i="35"/>
  <c r="N368" i="35"/>
  <c r="N361" i="35" s="1"/>
  <c r="L368" i="35"/>
  <c r="J368" i="35"/>
  <c r="I368" i="35"/>
  <c r="E368" i="35"/>
  <c r="G367" i="35"/>
  <c r="G366" i="35"/>
  <c r="Q365" i="35"/>
  <c r="O365" i="35"/>
  <c r="N365" i="35"/>
  <c r="L365" i="35"/>
  <c r="L361" i="35" s="1"/>
  <c r="J365" i="35"/>
  <c r="I365" i="35"/>
  <c r="G365" i="35" s="1"/>
  <c r="E365" i="35"/>
  <c r="G364" i="35"/>
  <c r="G363" i="35"/>
  <c r="Q362" i="35"/>
  <c r="O362" i="35"/>
  <c r="N362" i="35"/>
  <c r="L362" i="35"/>
  <c r="J362" i="35"/>
  <c r="J361" i="35" s="1"/>
  <c r="I362" i="35"/>
  <c r="E362" i="35"/>
  <c r="E361" i="35" s="1"/>
  <c r="O361" i="35"/>
  <c r="G360" i="35"/>
  <c r="G359" i="35"/>
  <c r="G358" i="35"/>
  <c r="Q357" i="35"/>
  <c r="O357" i="35"/>
  <c r="N357" i="35"/>
  <c r="L357" i="35"/>
  <c r="J357" i="35"/>
  <c r="I357" i="35"/>
  <c r="E357" i="35"/>
  <c r="G356" i="35"/>
  <c r="Q355" i="35"/>
  <c r="Q333" i="35" s="1"/>
  <c r="O355" i="35"/>
  <c r="N355" i="35"/>
  <c r="L355" i="35"/>
  <c r="J355" i="35"/>
  <c r="I355" i="35"/>
  <c r="G355" i="35" s="1"/>
  <c r="E355" i="35"/>
  <c r="G354" i="35"/>
  <c r="G353" i="35"/>
  <c r="G348" i="35"/>
  <c r="G347" i="35"/>
  <c r="G346" i="35"/>
  <c r="G345" i="35"/>
  <c r="Q344" i="35"/>
  <c r="O344" i="35"/>
  <c r="N344" i="35"/>
  <c r="L344" i="35"/>
  <c r="J344" i="35"/>
  <c r="I344" i="35"/>
  <c r="E344" i="35"/>
  <c r="G343" i="35"/>
  <c r="G342" i="35"/>
  <c r="G341" i="35"/>
  <c r="G340" i="35"/>
  <c r="G339" i="35"/>
  <c r="F339" i="35"/>
  <c r="G338" i="35"/>
  <c r="G337" i="35"/>
  <c r="G336" i="35"/>
  <c r="G335" i="35"/>
  <c r="G334" i="35" s="1"/>
  <c r="Q334" i="35"/>
  <c r="P334" i="35"/>
  <c r="P333" i="35" s="1"/>
  <c r="O334" i="35"/>
  <c r="N334" i="35"/>
  <c r="M334" i="35"/>
  <c r="L334" i="35"/>
  <c r="K334" i="35"/>
  <c r="K333" i="35" s="1"/>
  <c r="J334" i="35"/>
  <c r="I334" i="35"/>
  <c r="H334" i="35"/>
  <c r="H333" i="35" s="1"/>
  <c r="F334" i="35"/>
  <c r="F333" i="35" s="1"/>
  <c r="E334" i="35"/>
  <c r="E333" i="35" s="1"/>
  <c r="O333" i="35"/>
  <c r="M333" i="35"/>
  <c r="G332" i="35"/>
  <c r="Q331" i="35"/>
  <c r="O331" i="35"/>
  <c r="N331" i="35"/>
  <c r="L331" i="35"/>
  <c r="J331" i="35"/>
  <c r="I331" i="35"/>
  <c r="G331" i="35"/>
  <c r="E331" i="35"/>
  <c r="G330" i="35"/>
  <c r="G329" i="35"/>
  <c r="G328" i="35"/>
  <c r="Q327" i="35"/>
  <c r="O327" i="35"/>
  <c r="N327" i="35"/>
  <c r="L327" i="35"/>
  <c r="J327" i="35"/>
  <c r="I327" i="35"/>
  <c r="G327" i="35" s="1"/>
  <c r="E327" i="35"/>
  <c r="G326" i="35"/>
  <c r="Q325" i="35"/>
  <c r="O325" i="35"/>
  <c r="N325" i="35"/>
  <c r="L325" i="35"/>
  <c r="J325" i="35"/>
  <c r="I325" i="35"/>
  <c r="G325" i="35" s="1"/>
  <c r="E325" i="35"/>
  <c r="G324" i="35"/>
  <c r="Q323" i="35"/>
  <c r="O323" i="35"/>
  <c r="O314" i="35" s="1"/>
  <c r="N323" i="35"/>
  <c r="L323" i="35"/>
  <c r="J323" i="35"/>
  <c r="I323" i="35"/>
  <c r="E323" i="35"/>
  <c r="G318" i="35"/>
  <c r="G317" i="35"/>
  <c r="G316" i="35"/>
  <c r="Q315" i="35"/>
  <c r="Q314" i="35" s="1"/>
  <c r="O315" i="35"/>
  <c r="N315" i="35"/>
  <c r="N314" i="35" s="1"/>
  <c r="L315" i="35"/>
  <c r="J315" i="35"/>
  <c r="J314" i="35" s="1"/>
  <c r="I315" i="35"/>
  <c r="G315" i="35" s="1"/>
  <c r="E315" i="35"/>
  <c r="P313" i="35"/>
  <c r="M313" i="35"/>
  <c r="F313" i="35" s="1"/>
  <c r="N312" i="35"/>
  <c r="G311" i="35"/>
  <c r="F311" i="35"/>
  <c r="F310" i="35"/>
  <c r="F309" i="35"/>
  <c r="F308" i="35"/>
  <c r="F307" i="35"/>
  <c r="M306" i="35"/>
  <c r="F306" i="35" s="1"/>
  <c r="F304" i="35"/>
  <c r="P302" i="35"/>
  <c r="F302" i="35"/>
  <c r="M301" i="35"/>
  <c r="F301" i="35" s="1"/>
  <c r="P300" i="35"/>
  <c r="P293" i="35" s="1"/>
  <c r="O300" i="35"/>
  <c r="O293" i="35" s="1"/>
  <c r="O286" i="35" s="1"/>
  <c r="N300" i="35"/>
  <c r="N293" i="35" s="1"/>
  <c r="N286" i="35" s="1"/>
  <c r="N247" i="35" s="1"/>
  <c r="F299" i="35"/>
  <c r="F297" i="35"/>
  <c r="M296" i="35"/>
  <c r="F296" i="35" s="1"/>
  <c r="M295" i="35"/>
  <c r="F295" i="35" s="1"/>
  <c r="G292" i="35"/>
  <c r="G291" i="35"/>
  <c r="G290" i="35"/>
  <c r="F290" i="35"/>
  <c r="P289" i="35"/>
  <c r="G289" i="35" s="1"/>
  <c r="G288" i="35"/>
  <c r="P287" i="35"/>
  <c r="F287" i="35" s="1"/>
  <c r="M287" i="35"/>
  <c r="G287" i="35"/>
  <c r="Q286" i="35"/>
  <c r="L286" i="35"/>
  <c r="K286" i="35"/>
  <c r="J286" i="35"/>
  <c r="J247" i="35" s="1"/>
  <c r="I286" i="35"/>
  <c r="H286" i="35"/>
  <c r="E286" i="35"/>
  <c r="M285" i="35"/>
  <c r="F285" i="35" s="1"/>
  <c r="M284" i="35"/>
  <c r="G284" i="35" s="1"/>
  <c r="Q283" i="35"/>
  <c r="P283" i="35"/>
  <c r="O283" i="35"/>
  <c r="N283" i="35"/>
  <c r="L283" i="35"/>
  <c r="K283" i="35"/>
  <c r="J283" i="35"/>
  <c r="I283" i="35"/>
  <c r="H283" i="35"/>
  <c r="E283" i="35"/>
  <c r="P282" i="35"/>
  <c r="M282" i="35"/>
  <c r="M281" i="35"/>
  <c r="G281" i="35" s="1"/>
  <c r="F281" i="35"/>
  <c r="G280" i="35"/>
  <c r="G279" i="35"/>
  <c r="G278" i="35"/>
  <c r="G277" i="35"/>
  <c r="G276" i="35"/>
  <c r="Q275" i="35"/>
  <c r="P275" i="35"/>
  <c r="O275" i="35"/>
  <c r="N275" i="35"/>
  <c r="M275" i="35"/>
  <c r="L275" i="35"/>
  <c r="K275" i="35"/>
  <c r="J275" i="35"/>
  <c r="I275" i="35"/>
  <c r="H275" i="35"/>
  <c r="E275" i="35"/>
  <c r="F274" i="35"/>
  <c r="F269" i="35"/>
  <c r="F267" i="35"/>
  <c r="F266" i="35"/>
  <c r="P265" i="35"/>
  <c r="M265" i="35"/>
  <c r="F265" i="35" s="1"/>
  <c r="M264" i="35"/>
  <c r="F264" i="35" s="1"/>
  <c r="G263" i="35"/>
  <c r="Q262" i="35"/>
  <c r="P262" i="35"/>
  <c r="O262" i="35"/>
  <c r="N262" i="35"/>
  <c r="L262" i="35"/>
  <c r="K262" i="35"/>
  <c r="J262" i="35"/>
  <c r="I262" i="35"/>
  <c r="H262" i="35"/>
  <c r="H247" i="35" s="1"/>
  <c r="E262" i="35"/>
  <c r="G261" i="35"/>
  <c r="G260" i="35"/>
  <c r="G259" i="35"/>
  <c r="G258" i="35"/>
  <c r="G257" i="35"/>
  <c r="F257" i="35"/>
  <c r="Q256" i="35"/>
  <c r="P256" i="35"/>
  <c r="O256" i="35"/>
  <c r="N256" i="35"/>
  <c r="M256" i="35"/>
  <c r="L256" i="35"/>
  <c r="K256" i="35"/>
  <c r="J256" i="35"/>
  <c r="I256" i="35"/>
  <c r="H256" i="35"/>
  <c r="F256" i="35"/>
  <c r="E256" i="35"/>
  <c r="G255" i="35"/>
  <c r="G254" i="35"/>
  <c r="P253" i="35"/>
  <c r="F253" i="35" s="1"/>
  <c r="M253" i="35"/>
  <c r="G253" i="35"/>
  <c r="M252" i="35"/>
  <c r="G252" i="35" s="1"/>
  <c r="F252" i="35"/>
  <c r="M251" i="35"/>
  <c r="G251" i="35"/>
  <c r="G250" i="35"/>
  <c r="F250" i="35"/>
  <c r="G249" i="35"/>
  <c r="F249" i="35"/>
  <c r="Q248" i="35"/>
  <c r="Q247" i="35" s="1"/>
  <c r="O248" i="35"/>
  <c r="N248" i="35"/>
  <c r="M248" i="35"/>
  <c r="L248" i="35"/>
  <c r="L247" i="35" s="1"/>
  <c r="K248" i="35"/>
  <c r="K247" i="35" s="1"/>
  <c r="J248" i="35"/>
  <c r="I248" i="35"/>
  <c r="I247" i="35" s="1"/>
  <c r="H248" i="35"/>
  <c r="E248" i="35"/>
  <c r="G246" i="35"/>
  <c r="Q245" i="35"/>
  <c r="O245" i="35"/>
  <c r="N245" i="35"/>
  <c r="L245" i="35"/>
  <c r="J245" i="35"/>
  <c r="I245" i="35"/>
  <c r="E245" i="35"/>
  <c r="G244" i="35"/>
  <c r="Q243" i="35"/>
  <c r="O243" i="35"/>
  <c r="O221" i="35" s="1"/>
  <c r="N243" i="35"/>
  <c r="L243" i="35"/>
  <c r="J243" i="35"/>
  <c r="G243" i="35" s="1"/>
  <c r="I243" i="35"/>
  <c r="E243" i="35"/>
  <c r="G242" i="35"/>
  <c r="F242" i="35"/>
  <c r="Q241" i="35"/>
  <c r="P241" i="35"/>
  <c r="O241" i="35"/>
  <c r="N241" i="35"/>
  <c r="M241" i="35"/>
  <c r="L241" i="35"/>
  <c r="K241" i="35"/>
  <c r="J241" i="35"/>
  <c r="I241" i="35"/>
  <c r="H241" i="35"/>
  <c r="G241" i="35"/>
  <c r="F241" i="35"/>
  <c r="E241" i="35"/>
  <c r="G240" i="35"/>
  <c r="F240" i="35"/>
  <c r="Q239" i="35"/>
  <c r="P239" i="35"/>
  <c r="O239" i="35"/>
  <c r="N239" i="35"/>
  <c r="M239" i="35"/>
  <c r="L239" i="35"/>
  <c r="K239" i="35"/>
  <c r="J239" i="35"/>
  <c r="I239" i="35"/>
  <c r="H239" i="35"/>
  <c r="G239" i="35"/>
  <c r="F239" i="35"/>
  <c r="E239" i="35"/>
  <c r="G238" i="35"/>
  <c r="F238" i="35"/>
  <c r="G233" i="35"/>
  <c r="F233" i="35"/>
  <c r="F230" i="35" s="1"/>
  <c r="G232" i="35"/>
  <c r="G231" i="35"/>
  <c r="Q230" i="35"/>
  <c r="P230" i="35"/>
  <c r="O230" i="35"/>
  <c r="N230" i="35"/>
  <c r="M230" i="35"/>
  <c r="L230" i="35"/>
  <c r="K230" i="35"/>
  <c r="J230" i="35"/>
  <c r="I230" i="35"/>
  <c r="H230" i="35"/>
  <c r="E230" i="35"/>
  <c r="G229" i="35"/>
  <c r="Q228" i="35"/>
  <c r="Q221" i="35" s="1"/>
  <c r="O228" i="35"/>
  <c r="N228" i="35"/>
  <c r="L228" i="35"/>
  <c r="J228" i="35"/>
  <c r="I228" i="35"/>
  <c r="G228" i="35" s="1"/>
  <c r="E228" i="35"/>
  <c r="G227" i="35"/>
  <c r="N226" i="35"/>
  <c r="G226" i="35"/>
  <c r="F226" i="35"/>
  <c r="E226" i="35"/>
  <c r="N225" i="35"/>
  <c r="G225" i="35"/>
  <c r="F225" i="35"/>
  <c r="E225" i="35"/>
  <c r="Q224" i="35"/>
  <c r="P224" i="35"/>
  <c r="O224" i="35"/>
  <c r="N224" i="35"/>
  <c r="M224" i="35"/>
  <c r="L224" i="35"/>
  <c r="K224" i="35"/>
  <c r="J224" i="35"/>
  <c r="I224" i="35"/>
  <c r="H224" i="35"/>
  <c r="F224" i="35"/>
  <c r="R223" i="35"/>
  <c r="N223" i="35"/>
  <c r="G223" i="35" s="1"/>
  <c r="G222" i="35" s="1"/>
  <c r="F223" i="35"/>
  <c r="E223" i="35"/>
  <c r="E222" i="35" s="1"/>
  <c r="Q222" i="35"/>
  <c r="P222" i="35"/>
  <c r="O222" i="35"/>
  <c r="N222" i="35"/>
  <c r="N221" i="35" s="1"/>
  <c r="M222" i="35"/>
  <c r="L222" i="35"/>
  <c r="K222" i="35"/>
  <c r="K221" i="35" s="1"/>
  <c r="J222" i="35"/>
  <c r="I222" i="35"/>
  <c r="H222" i="35"/>
  <c r="F222" i="35"/>
  <c r="M221" i="35"/>
  <c r="I221" i="35"/>
  <c r="G209" i="35"/>
  <c r="G208" i="35"/>
  <c r="G207" i="35"/>
  <c r="G202" i="35"/>
  <c r="G201" i="35"/>
  <c r="G200" i="35"/>
  <c r="G199" i="35"/>
  <c r="G198" i="35"/>
  <c r="Q197" i="35"/>
  <c r="O197" i="35"/>
  <c r="O186" i="35" s="1"/>
  <c r="N197" i="35"/>
  <c r="L197" i="35"/>
  <c r="L186" i="35" s="1"/>
  <c r="J197" i="35"/>
  <c r="I197" i="35"/>
  <c r="E197" i="35"/>
  <c r="G196" i="35"/>
  <c r="G195" i="35"/>
  <c r="G194" i="35"/>
  <c r="G193" i="35"/>
  <c r="G192" i="35"/>
  <c r="G191" i="35"/>
  <c r="G190" i="35"/>
  <c r="G189" i="35"/>
  <c r="G188" i="35"/>
  <c r="Q187" i="35"/>
  <c r="O187" i="35"/>
  <c r="N187" i="35"/>
  <c r="L187" i="35"/>
  <c r="J187" i="35"/>
  <c r="I187" i="35"/>
  <c r="E187" i="35"/>
  <c r="I186" i="35"/>
  <c r="E186" i="35"/>
  <c r="G185" i="35"/>
  <c r="G180" i="35"/>
  <c r="G179" i="35"/>
  <c r="G178" i="35"/>
  <c r="G177" i="35"/>
  <c r="G176" i="35"/>
  <c r="G175" i="35"/>
  <c r="Q174" i="35"/>
  <c r="O174" i="35"/>
  <c r="N174" i="35"/>
  <c r="L174" i="35"/>
  <c r="J174" i="35"/>
  <c r="I174" i="35"/>
  <c r="I163" i="35" s="1"/>
  <c r="I162" i="35" s="1"/>
  <c r="E174" i="35"/>
  <c r="G173" i="35"/>
  <c r="G172" i="35"/>
  <c r="G171" i="35"/>
  <c r="G170" i="35"/>
  <c r="G169" i="35"/>
  <c r="G168" i="35"/>
  <c r="G167" i="35"/>
  <c r="G166" i="35"/>
  <c r="G165" i="35"/>
  <c r="Q164" i="35"/>
  <c r="O164" i="35"/>
  <c r="O163" i="35" s="1"/>
  <c r="O162" i="35" s="1"/>
  <c r="N164" i="35"/>
  <c r="L164" i="35"/>
  <c r="L163" i="35" s="1"/>
  <c r="L162" i="35" s="1"/>
  <c r="J164" i="35"/>
  <c r="I164" i="35"/>
  <c r="E164" i="35"/>
  <c r="E163" i="35" s="1"/>
  <c r="E162" i="35" s="1"/>
  <c r="G161" i="35"/>
  <c r="Q160" i="35"/>
  <c r="O160" i="35"/>
  <c r="N160" i="35"/>
  <c r="L160" i="35"/>
  <c r="J160" i="35"/>
  <c r="I160" i="35"/>
  <c r="G160" i="35" s="1"/>
  <c r="E160" i="35"/>
  <c r="G159" i="35"/>
  <c r="Q154" i="35"/>
  <c r="O154" i="35"/>
  <c r="N154" i="35"/>
  <c r="L154" i="35"/>
  <c r="J154" i="35"/>
  <c r="I154" i="35"/>
  <c r="E154" i="35"/>
  <c r="G153" i="35"/>
  <c r="Q152" i="35"/>
  <c r="Q151" i="35" s="1"/>
  <c r="O152" i="35"/>
  <c r="N152" i="35"/>
  <c r="N151" i="35" s="1"/>
  <c r="L152" i="35"/>
  <c r="J152" i="35"/>
  <c r="G152" i="35" s="1"/>
  <c r="I152" i="35"/>
  <c r="E152" i="35"/>
  <c r="G150" i="35"/>
  <c r="Q149" i="35"/>
  <c r="O149" i="35"/>
  <c r="O148" i="35" s="1"/>
  <c r="N149" i="35"/>
  <c r="N148" i="35" s="1"/>
  <c r="L149" i="35"/>
  <c r="L148" i="35" s="1"/>
  <c r="J149" i="35"/>
  <c r="J148" i="35" s="1"/>
  <c r="I149" i="35"/>
  <c r="G149" i="35" s="1"/>
  <c r="E149" i="35"/>
  <c r="Q148" i="35"/>
  <c r="E148" i="35"/>
  <c r="G147" i="35"/>
  <c r="Q146" i="35"/>
  <c r="Q141" i="35" s="1"/>
  <c r="O146" i="35"/>
  <c r="N146" i="35"/>
  <c r="N141" i="35" s="1"/>
  <c r="L146" i="35"/>
  <c r="J146" i="35"/>
  <c r="I146" i="35"/>
  <c r="G146" i="35" s="1"/>
  <c r="E146" i="35"/>
  <c r="G145" i="35"/>
  <c r="Q144" i="35"/>
  <c r="O144" i="35"/>
  <c r="O141" i="35" s="1"/>
  <c r="N144" i="35"/>
  <c r="L144" i="35"/>
  <c r="L141" i="35" s="1"/>
  <c r="J144" i="35"/>
  <c r="I144" i="35"/>
  <c r="G144" i="35" s="1"/>
  <c r="E144" i="35"/>
  <c r="G143" i="35"/>
  <c r="Q142" i="35"/>
  <c r="O142" i="35"/>
  <c r="N142" i="35"/>
  <c r="L142" i="35"/>
  <c r="J142" i="35"/>
  <c r="I142" i="35"/>
  <c r="G142" i="35" s="1"/>
  <c r="E142" i="35"/>
  <c r="J141" i="35"/>
  <c r="G140" i="35"/>
  <c r="Q139" i="35"/>
  <c r="O139" i="35"/>
  <c r="N139" i="35"/>
  <c r="L139" i="35"/>
  <c r="J139" i="35"/>
  <c r="I139" i="35"/>
  <c r="G139" i="35" s="1"/>
  <c r="E139" i="35"/>
  <c r="G138" i="35"/>
  <c r="G137" i="35" s="1"/>
  <c r="F138" i="35"/>
  <c r="Q137" i="35"/>
  <c r="P137" i="35"/>
  <c r="O137" i="35"/>
  <c r="N137" i="35"/>
  <c r="M137" i="35"/>
  <c r="L137" i="35"/>
  <c r="L134" i="35" s="1"/>
  <c r="K137" i="35"/>
  <c r="J137" i="35"/>
  <c r="I137" i="35"/>
  <c r="H137" i="35"/>
  <c r="F137" i="35"/>
  <c r="E137" i="35"/>
  <c r="G136" i="35"/>
  <c r="F136" i="35"/>
  <c r="Q135" i="35"/>
  <c r="O135" i="35"/>
  <c r="N135" i="35"/>
  <c r="L135" i="35"/>
  <c r="J135" i="35"/>
  <c r="I135" i="35"/>
  <c r="F135" i="35"/>
  <c r="E135" i="35"/>
  <c r="P134" i="35"/>
  <c r="P133" i="35" s="1"/>
  <c r="N134" i="35"/>
  <c r="M134" i="35"/>
  <c r="M133" i="35" s="1"/>
  <c r="K134" i="35"/>
  <c r="K133" i="35" s="1"/>
  <c r="J134" i="35"/>
  <c r="H134" i="35"/>
  <c r="F134" i="35" s="1"/>
  <c r="H132" i="35"/>
  <c r="F132" i="35" s="1"/>
  <c r="G132" i="35"/>
  <c r="F131" i="35"/>
  <c r="F130" i="35"/>
  <c r="F129" i="35"/>
  <c r="F128" i="35"/>
  <c r="Q127" i="35"/>
  <c r="Q126" i="35" s="1"/>
  <c r="P127" i="35"/>
  <c r="O127" i="35"/>
  <c r="O126" i="35" s="1"/>
  <c r="N127" i="35"/>
  <c r="N126" i="35" s="1"/>
  <c r="M127" i="35"/>
  <c r="M126" i="35" s="1"/>
  <c r="L127" i="35"/>
  <c r="K127" i="35"/>
  <c r="K126" i="35" s="1"/>
  <c r="J127" i="35"/>
  <c r="I127" i="35"/>
  <c r="I126" i="35" s="1"/>
  <c r="G127" i="35"/>
  <c r="G126" i="35" s="1"/>
  <c r="E127" i="35"/>
  <c r="E126" i="35" s="1"/>
  <c r="P126" i="35"/>
  <c r="L126" i="35"/>
  <c r="J126" i="35"/>
  <c r="G125" i="35"/>
  <c r="F125" i="35"/>
  <c r="Q123" i="35"/>
  <c r="Q122" i="35" s="1"/>
  <c r="P123" i="35"/>
  <c r="P122" i="35" s="1"/>
  <c r="O123" i="35"/>
  <c r="O122" i="35" s="1"/>
  <c r="N123" i="35"/>
  <c r="N122" i="35" s="1"/>
  <c r="L123" i="35"/>
  <c r="K123" i="35"/>
  <c r="J123" i="35"/>
  <c r="I123" i="35"/>
  <c r="I122" i="35" s="1"/>
  <c r="I120" i="35" s="1"/>
  <c r="H123" i="35"/>
  <c r="H122" i="35" s="1"/>
  <c r="H120" i="35" s="1"/>
  <c r="E123" i="35"/>
  <c r="E122" i="35" s="1"/>
  <c r="E120" i="35" s="1"/>
  <c r="L122" i="35"/>
  <c r="L120" i="35" s="1"/>
  <c r="J122" i="35"/>
  <c r="J120" i="35" s="1"/>
  <c r="F121" i="35"/>
  <c r="P120" i="35"/>
  <c r="G119" i="35"/>
  <c r="F119" i="35"/>
  <c r="Q118" i="35"/>
  <c r="O118" i="35"/>
  <c r="N118" i="35"/>
  <c r="L118" i="35"/>
  <c r="J118" i="35"/>
  <c r="I118" i="35"/>
  <c r="G118" i="35" s="1"/>
  <c r="F118" i="35"/>
  <c r="E118" i="35"/>
  <c r="G117" i="35"/>
  <c r="F117" i="35"/>
  <c r="Q116" i="35"/>
  <c r="O116" i="35"/>
  <c r="N116" i="35"/>
  <c r="N115" i="35" s="1"/>
  <c r="L116" i="35"/>
  <c r="J116" i="35"/>
  <c r="J115" i="35" s="1"/>
  <c r="I116" i="35"/>
  <c r="F116" i="35"/>
  <c r="E116" i="35"/>
  <c r="E115" i="35" s="1"/>
  <c r="Q115" i="35"/>
  <c r="F115" i="35"/>
  <c r="G114" i="35"/>
  <c r="F114" i="35"/>
  <c r="Q113" i="35"/>
  <c r="O113" i="35"/>
  <c r="N113" i="35"/>
  <c r="L113" i="35"/>
  <c r="J113" i="35"/>
  <c r="I113" i="35"/>
  <c r="F113" i="35"/>
  <c r="E113" i="35"/>
  <c r="G112" i="35"/>
  <c r="G110" i="35" s="1"/>
  <c r="F112" i="35"/>
  <c r="G111" i="35"/>
  <c r="F111" i="35"/>
  <c r="Q110" i="35"/>
  <c r="P110" i="35"/>
  <c r="P86" i="35" s="1"/>
  <c r="P7" i="35" s="1"/>
  <c r="P6" i="35" s="1"/>
  <c r="P210" i="35" s="1"/>
  <c r="O110" i="35"/>
  <c r="N110" i="35"/>
  <c r="M110" i="35"/>
  <c r="L110" i="35"/>
  <c r="K110" i="35"/>
  <c r="J110" i="35"/>
  <c r="I110" i="35"/>
  <c r="H110" i="35"/>
  <c r="E110" i="35"/>
  <c r="G109" i="35"/>
  <c r="F109" i="35"/>
  <c r="G108" i="35"/>
  <c r="F108" i="35"/>
  <c r="G107" i="35"/>
  <c r="F107" i="35"/>
  <c r="G106" i="35"/>
  <c r="F106" i="35"/>
  <c r="G105" i="35"/>
  <c r="F105" i="35"/>
  <c r="G104" i="35"/>
  <c r="F104" i="35"/>
  <c r="F103" i="35"/>
  <c r="F102" i="35"/>
  <c r="F101" i="35"/>
  <c r="F100" i="35"/>
  <c r="Q99" i="35"/>
  <c r="O99" i="35"/>
  <c r="N99" i="35"/>
  <c r="L99" i="35"/>
  <c r="J99" i="35"/>
  <c r="I99" i="35"/>
  <c r="F99" i="35"/>
  <c r="E99" i="35"/>
  <c r="G98" i="35"/>
  <c r="F98" i="35"/>
  <c r="G97" i="35"/>
  <c r="F97" i="35"/>
  <c r="F94" i="35" s="1"/>
  <c r="G96" i="35"/>
  <c r="F96" i="35"/>
  <c r="G95" i="35"/>
  <c r="F95" i="35"/>
  <c r="Q94" i="35"/>
  <c r="P94" i="35"/>
  <c r="O94" i="35"/>
  <c r="N94" i="35"/>
  <c r="N86" i="35" s="1"/>
  <c r="M94" i="35"/>
  <c r="L94" i="35"/>
  <c r="K94" i="35"/>
  <c r="J94" i="35"/>
  <c r="I94" i="35"/>
  <c r="H94" i="35"/>
  <c r="G94" i="35"/>
  <c r="E94" i="35"/>
  <c r="G93" i="35"/>
  <c r="F93" i="35"/>
  <c r="G92" i="35"/>
  <c r="F92" i="35"/>
  <c r="G91" i="35"/>
  <c r="F91" i="35"/>
  <c r="F87" i="35" s="1"/>
  <c r="G90" i="35"/>
  <c r="G87" i="35" s="1"/>
  <c r="G89" i="35"/>
  <c r="G88" i="35"/>
  <c r="Q87" i="35"/>
  <c r="P87" i="35"/>
  <c r="O87" i="35"/>
  <c r="N87" i="35"/>
  <c r="M87" i="35"/>
  <c r="M86" i="35" s="1"/>
  <c r="L87" i="35"/>
  <c r="L86" i="35" s="1"/>
  <c r="K87" i="35"/>
  <c r="K86" i="35" s="1"/>
  <c r="J87" i="35"/>
  <c r="J86" i="35" s="1"/>
  <c r="I87" i="35"/>
  <c r="H87" i="35"/>
  <c r="H86" i="35" s="1"/>
  <c r="E87" i="35"/>
  <c r="G85" i="35"/>
  <c r="G84" i="35"/>
  <c r="Q83" i="35"/>
  <c r="O83" i="35"/>
  <c r="N83" i="35"/>
  <c r="L83" i="35"/>
  <c r="J83" i="35"/>
  <c r="I83" i="35"/>
  <c r="E83" i="35"/>
  <c r="G82" i="35"/>
  <c r="G81" i="35"/>
  <c r="G80" i="35"/>
  <c r="G79" i="35"/>
  <c r="Q78" i="35"/>
  <c r="O78" i="35"/>
  <c r="N78" i="35"/>
  <c r="L78" i="35"/>
  <c r="J78" i="35"/>
  <c r="I78" i="35"/>
  <c r="G78" i="35" s="1"/>
  <c r="E78" i="35"/>
  <c r="G77" i="35"/>
  <c r="G76" i="35"/>
  <c r="Q75" i="35"/>
  <c r="O75" i="35"/>
  <c r="O74" i="35" s="1"/>
  <c r="N75" i="35"/>
  <c r="N74" i="35" s="1"/>
  <c r="L75" i="35"/>
  <c r="L74" i="35" s="1"/>
  <c r="J75" i="35"/>
  <c r="I75" i="35"/>
  <c r="I74" i="35" s="1"/>
  <c r="E75" i="35"/>
  <c r="J74" i="35"/>
  <c r="E74" i="35"/>
  <c r="G69" i="35"/>
  <c r="G68" i="35"/>
  <c r="G67" i="35"/>
  <c r="Q66" i="35"/>
  <c r="O66" i="35"/>
  <c r="N66" i="35"/>
  <c r="L66" i="35"/>
  <c r="J66" i="35"/>
  <c r="I66" i="35"/>
  <c r="E66" i="35"/>
  <c r="E60" i="35" s="1"/>
  <c r="G65" i="35"/>
  <c r="G64" i="35"/>
  <c r="G63" i="35"/>
  <c r="G62" i="35"/>
  <c r="Q61" i="35"/>
  <c r="Q60" i="35" s="1"/>
  <c r="O61" i="35"/>
  <c r="O60" i="35" s="1"/>
  <c r="N61" i="35"/>
  <c r="N60" i="35" s="1"/>
  <c r="L61" i="35"/>
  <c r="J61" i="35"/>
  <c r="I61" i="35"/>
  <c r="E61" i="35"/>
  <c r="L60" i="35"/>
  <c r="J60" i="35"/>
  <c r="I60" i="35"/>
  <c r="G59" i="35"/>
  <c r="G58" i="35"/>
  <c r="G57" i="35"/>
  <c r="G56" i="35"/>
  <c r="G55" i="35"/>
  <c r="G54" i="35"/>
  <c r="Q53" i="35"/>
  <c r="O53" i="35"/>
  <c r="N53" i="35"/>
  <c r="L53" i="35"/>
  <c r="J53" i="35"/>
  <c r="I53" i="35"/>
  <c r="E53" i="35"/>
  <c r="G52" i="35"/>
  <c r="G51" i="35"/>
  <c r="G50" i="35"/>
  <c r="G49" i="35"/>
  <c r="G48" i="35"/>
  <c r="G47" i="35"/>
  <c r="Q42" i="35"/>
  <c r="O42" i="35"/>
  <c r="N42" i="35"/>
  <c r="L42" i="35"/>
  <c r="J42" i="35"/>
  <c r="I42" i="35"/>
  <c r="G42" i="35" s="1"/>
  <c r="E42" i="35"/>
  <c r="G41" i="35"/>
  <c r="G40" i="35"/>
  <c r="Q39" i="35"/>
  <c r="O39" i="35"/>
  <c r="N39" i="35"/>
  <c r="L39" i="35"/>
  <c r="J39" i="35"/>
  <c r="I39" i="35"/>
  <c r="E39" i="35"/>
  <c r="G38" i="35"/>
  <c r="G37" i="35"/>
  <c r="G36" i="35"/>
  <c r="G35" i="35"/>
  <c r="G34" i="35"/>
  <c r="G33" i="35"/>
  <c r="Q32" i="35"/>
  <c r="O32" i="35"/>
  <c r="N32" i="35"/>
  <c r="L32" i="35"/>
  <c r="J32" i="35"/>
  <c r="I32" i="35"/>
  <c r="G32" i="35" s="1"/>
  <c r="E32" i="35"/>
  <c r="G31" i="35"/>
  <c r="G30" i="35"/>
  <c r="G29" i="35"/>
  <c r="G28" i="35"/>
  <c r="G27" i="35"/>
  <c r="Q26" i="35"/>
  <c r="O26" i="35"/>
  <c r="N26" i="35"/>
  <c r="L26" i="35"/>
  <c r="J26" i="35"/>
  <c r="I26" i="35"/>
  <c r="G26" i="35" s="1"/>
  <c r="E26" i="35"/>
  <c r="G25" i="35"/>
  <c r="G24" i="35"/>
  <c r="G23" i="35"/>
  <c r="G22" i="35"/>
  <c r="G21" i="35"/>
  <c r="G20" i="35"/>
  <c r="Q19" i="35"/>
  <c r="O19" i="35"/>
  <c r="N19" i="35"/>
  <c r="L19" i="35"/>
  <c r="J19" i="35"/>
  <c r="I19" i="35"/>
  <c r="G19" i="35" s="1"/>
  <c r="E19" i="35"/>
  <c r="G18" i="35"/>
  <c r="Q17" i="35"/>
  <c r="O17" i="35"/>
  <c r="N17" i="35"/>
  <c r="L17" i="35"/>
  <c r="J17" i="35"/>
  <c r="J8" i="35" s="1"/>
  <c r="J7" i="35" s="1"/>
  <c r="I17" i="35"/>
  <c r="E17" i="35"/>
  <c r="G16" i="35"/>
  <c r="G15" i="35"/>
  <c r="G10" i="35"/>
  <c r="Q9" i="35"/>
  <c r="Q8" i="35" s="1"/>
  <c r="O9" i="35"/>
  <c r="N9" i="35"/>
  <c r="L9" i="35"/>
  <c r="J9" i="35"/>
  <c r="I9" i="35"/>
  <c r="E9" i="35"/>
  <c r="N8" i="35"/>
  <c r="M322" i="34"/>
  <c r="M317" i="34" s="1"/>
  <c r="M276" i="34"/>
  <c r="E295" i="34"/>
  <c r="E287" i="34" s="1"/>
  <c r="G523" i="34"/>
  <c r="N523" i="34" s="1"/>
  <c r="M522" i="34"/>
  <c r="L522" i="34"/>
  <c r="K522" i="34"/>
  <c r="J522" i="34"/>
  <c r="I522" i="34"/>
  <c r="H522" i="34"/>
  <c r="F522" i="34"/>
  <c r="E522" i="34"/>
  <c r="D522" i="34"/>
  <c r="G521" i="34"/>
  <c r="N521" i="34" s="1"/>
  <c r="G520" i="34"/>
  <c r="N520" i="34" s="1"/>
  <c r="G519" i="34"/>
  <c r="N519" i="34" s="1"/>
  <c r="G518" i="34"/>
  <c r="N518" i="34" s="1"/>
  <c r="G517" i="34"/>
  <c r="N517" i="34" s="1"/>
  <c r="G516" i="34"/>
  <c r="N516" i="34" s="1"/>
  <c r="G515" i="34"/>
  <c r="N515" i="34" s="1"/>
  <c r="G514" i="34"/>
  <c r="N514" i="34" s="1"/>
  <c r="M513" i="34"/>
  <c r="M498" i="34" s="1"/>
  <c r="L513" i="34"/>
  <c r="K513" i="34"/>
  <c r="J513" i="34"/>
  <c r="I513" i="34"/>
  <c r="H513" i="34"/>
  <c r="F513" i="34"/>
  <c r="E513" i="34"/>
  <c r="E498" i="34" s="1"/>
  <c r="D513" i="34"/>
  <c r="G512" i="34"/>
  <c r="N512" i="34" s="1"/>
  <c r="G511" i="34"/>
  <c r="N511" i="34" s="1"/>
  <c r="N510" i="34"/>
  <c r="G510" i="34"/>
  <c r="G509" i="34"/>
  <c r="N509" i="34" s="1"/>
  <c r="G508" i="34"/>
  <c r="N508" i="34" s="1"/>
  <c r="G507" i="34"/>
  <c r="N507" i="34" s="1"/>
  <c r="G506" i="34"/>
  <c r="N506" i="34" s="1"/>
  <c r="G505" i="34"/>
  <c r="N505" i="34" s="1"/>
  <c r="N504" i="34"/>
  <c r="N503" i="34"/>
  <c r="N502" i="34"/>
  <c r="N501" i="34"/>
  <c r="N500" i="34"/>
  <c r="G500" i="34"/>
  <c r="M499" i="34"/>
  <c r="L499" i="34"/>
  <c r="K499" i="34"/>
  <c r="J499" i="34"/>
  <c r="I499" i="34"/>
  <c r="H499" i="34"/>
  <c r="F499" i="34"/>
  <c r="F498" i="34" s="1"/>
  <c r="E499" i="34"/>
  <c r="D499" i="34"/>
  <c r="D498" i="34" s="1"/>
  <c r="L498" i="34"/>
  <c r="I498" i="34"/>
  <c r="G497" i="34"/>
  <c r="N497" i="34" s="1"/>
  <c r="M496" i="34"/>
  <c r="L496" i="34"/>
  <c r="K496" i="34"/>
  <c r="J496" i="34"/>
  <c r="I496" i="34"/>
  <c r="H496" i="34"/>
  <c r="F496" i="34"/>
  <c r="E496" i="34"/>
  <c r="D496" i="34"/>
  <c r="G495" i="34"/>
  <c r="N495" i="34" s="1"/>
  <c r="M494" i="34"/>
  <c r="L494" i="34"/>
  <c r="K494" i="34"/>
  <c r="J494" i="34"/>
  <c r="I494" i="34"/>
  <c r="H494" i="34"/>
  <c r="F494" i="34"/>
  <c r="E494" i="34"/>
  <c r="D494" i="34"/>
  <c r="G493" i="34"/>
  <c r="N493" i="34" s="1"/>
  <c r="M492" i="34"/>
  <c r="L492" i="34"/>
  <c r="K492" i="34"/>
  <c r="J492" i="34"/>
  <c r="I492" i="34"/>
  <c r="H492" i="34"/>
  <c r="F492" i="34"/>
  <c r="E492" i="34"/>
  <c r="D492" i="34"/>
  <c r="G491" i="34"/>
  <c r="N491" i="34" s="1"/>
  <c r="G490" i="34"/>
  <c r="N490" i="34" s="1"/>
  <c r="N489" i="34"/>
  <c r="G489" i="34"/>
  <c r="G488" i="34"/>
  <c r="N488" i="34" s="1"/>
  <c r="G487" i="34"/>
  <c r="N487" i="34" s="1"/>
  <c r="G486" i="34"/>
  <c r="N486" i="34" s="1"/>
  <c r="N485" i="34"/>
  <c r="G485" i="34"/>
  <c r="M484" i="34"/>
  <c r="L484" i="34"/>
  <c r="K484" i="34"/>
  <c r="J484" i="34"/>
  <c r="I484" i="34"/>
  <c r="H484" i="34"/>
  <c r="F484" i="34"/>
  <c r="E484" i="34"/>
  <c r="D484" i="34"/>
  <c r="G483" i="34"/>
  <c r="N483" i="34" s="1"/>
  <c r="G482" i="34"/>
  <c r="N482" i="34" s="1"/>
  <c r="G481" i="34"/>
  <c r="N481" i="34" s="1"/>
  <c r="G480" i="34"/>
  <c r="N480" i="34" s="1"/>
  <c r="G479" i="34"/>
  <c r="N479" i="34" s="1"/>
  <c r="G478" i="34"/>
  <c r="N478" i="34" s="1"/>
  <c r="N477" i="34"/>
  <c r="N476" i="34"/>
  <c r="N475" i="34"/>
  <c r="N474" i="34"/>
  <c r="G473" i="34"/>
  <c r="N473" i="34" s="1"/>
  <c r="G472" i="34"/>
  <c r="N472" i="34" s="1"/>
  <c r="G471" i="34"/>
  <c r="N471" i="34" s="1"/>
  <c r="M470" i="34"/>
  <c r="M469" i="34" s="1"/>
  <c r="M468" i="34" s="1"/>
  <c r="M537" i="34" s="1"/>
  <c r="L470" i="34"/>
  <c r="K470" i="34"/>
  <c r="J470" i="34"/>
  <c r="I470" i="34"/>
  <c r="H470" i="34"/>
  <c r="F470" i="34"/>
  <c r="E470" i="34"/>
  <c r="E469" i="34" s="1"/>
  <c r="D470" i="34"/>
  <c r="G467" i="34"/>
  <c r="N467" i="34" s="1"/>
  <c r="M466" i="34"/>
  <c r="M465" i="34" s="1"/>
  <c r="L466" i="34"/>
  <c r="L465" i="34" s="1"/>
  <c r="K466" i="34"/>
  <c r="J466" i="34"/>
  <c r="I466" i="34"/>
  <c r="I465" i="34" s="1"/>
  <c r="H466" i="34"/>
  <c r="H465" i="34" s="1"/>
  <c r="F466" i="34"/>
  <c r="F465" i="34" s="1"/>
  <c r="E466" i="34"/>
  <c r="E465" i="34" s="1"/>
  <c r="D466" i="34"/>
  <c r="D465" i="34" s="1"/>
  <c r="K465" i="34"/>
  <c r="J465" i="34"/>
  <c r="G464" i="34"/>
  <c r="N464" i="34" s="1"/>
  <c r="G463" i="34"/>
  <c r="N463" i="34" s="1"/>
  <c r="M462" i="34"/>
  <c r="L462" i="34"/>
  <c r="L457" i="34" s="1"/>
  <c r="K462" i="34"/>
  <c r="J462" i="34"/>
  <c r="I462" i="34"/>
  <c r="H462" i="34"/>
  <c r="F462" i="34"/>
  <c r="E462" i="34"/>
  <c r="D462" i="34"/>
  <c r="G461" i="34"/>
  <c r="N461" i="34" s="1"/>
  <c r="M460" i="34"/>
  <c r="L460" i="34"/>
  <c r="K460" i="34"/>
  <c r="J460" i="34"/>
  <c r="I460" i="34"/>
  <c r="H460" i="34"/>
  <c r="G460" i="34" s="1"/>
  <c r="N460" i="34" s="1"/>
  <c r="F460" i="34"/>
  <c r="E460" i="34"/>
  <c r="D460" i="34"/>
  <c r="G459" i="34"/>
  <c r="N459" i="34" s="1"/>
  <c r="M458" i="34"/>
  <c r="L458" i="34"/>
  <c r="K458" i="34"/>
  <c r="J458" i="34"/>
  <c r="I458" i="34"/>
  <c r="H458" i="34"/>
  <c r="F458" i="34"/>
  <c r="E458" i="34"/>
  <c r="D458" i="34"/>
  <c r="J457" i="34"/>
  <c r="F457" i="34"/>
  <c r="G456" i="34"/>
  <c r="N456" i="34" s="1"/>
  <c r="M455" i="34"/>
  <c r="M454" i="34" s="1"/>
  <c r="L455" i="34"/>
  <c r="K455" i="34"/>
  <c r="K454" i="34" s="1"/>
  <c r="J455" i="34"/>
  <c r="I455" i="34"/>
  <c r="I454" i="34" s="1"/>
  <c r="H455" i="34"/>
  <c r="H454" i="34" s="1"/>
  <c r="F455" i="34"/>
  <c r="E455" i="34"/>
  <c r="E454" i="34" s="1"/>
  <c r="D455" i="34"/>
  <c r="D454" i="34" s="1"/>
  <c r="L454" i="34"/>
  <c r="J454" i="34"/>
  <c r="F454" i="34"/>
  <c r="G453" i="34"/>
  <c r="N453" i="34" s="1"/>
  <c r="M452" i="34"/>
  <c r="L452" i="34"/>
  <c r="K452" i="34"/>
  <c r="J452" i="34"/>
  <c r="J441" i="34" s="1"/>
  <c r="I452" i="34"/>
  <c r="H452" i="34"/>
  <c r="F452" i="34"/>
  <c r="E452" i="34"/>
  <c r="D452" i="34"/>
  <c r="G451" i="34"/>
  <c r="N451" i="34" s="1"/>
  <c r="N450" i="34"/>
  <c r="G450" i="34"/>
  <c r="N449" i="34"/>
  <c r="N448" i="34"/>
  <c r="N447" i="34"/>
  <c r="N446" i="34"/>
  <c r="G445" i="34"/>
  <c r="N445" i="34" s="1"/>
  <c r="M444" i="34"/>
  <c r="L444" i="34"/>
  <c r="K444" i="34"/>
  <c r="J444" i="34"/>
  <c r="I444" i="34"/>
  <c r="H444" i="34"/>
  <c r="F444" i="34"/>
  <c r="E444" i="34"/>
  <c r="D444" i="34"/>
  <c r="G443" i="34"/>
  <c r="N443" i="34" s="1"/>
  <c r="M442" i="34"/>
  <c r="L442" i="34"/>
  <c r="K442" i="34"/>
  <c r="J442" i="34"/>
  <c r="I442" i="34"/>
  <c r="H442" i="34"/>
  <c r="H441" i="34" s="1"/>
  <c r="F442" i="34"/>
  <c r="E442" i="34"/>
  <c r="D442" i="34"/>
  <c r="F441" i="34"/>
  <c r="D441" i="34"/>
  <c r="G440" i="34"/>
  <c r="F440" i="34"/>
  <c r="F439" i="34" s="1"/>
  <c r="M439" i="34"/>
  <c r="L439" i="34"/>
  <c r="K439" i="34"/>
  <c r="J439" i="34"/>
  <c r="I439" i="34"/>
  <c r="H439" i="34"/>
  <c r="E439" i="34"/>
  <c r="D439" i="34"/>
  <c r="G438" i="34"/>
  <c r="N438" i="34" s="1"/>
  <c r="M437" i="34"/>
  <c r="L437" i="34"/>
  <c r="K437" i="34"/>
  <c r="J437" i="34"/>
  <c r="I437" i="34"/>
  <c r="H437" i="34"/>
  <c r="F437" i="34"/>
  <c r="E437" i="34"/>
  <c r="D437" i="34"/>
  <c r="N436" i="34"/>
  <c r="G436" i="34"/>
  <c r="M435" i="34"/>
  <c r="L435" i="34"/>
  <c r="K435" i="34"/>
  <c r="J435" i="34"/>
  <c r="I435" i="34"/>
  <c r="H435" i="34"/>
  <c r="F435" i="34"/>
  <c r="E435" i="34"/>
  <c r="D435" i="34"/>
  <c r="G434" i="34"/>
  <c r="N434" i="34" s="1"/>
  <c r="G433" i="34"/>
  <c r="N433" i="34" s="1"/>
  <c r="G432" i="34"/>
  <c r="N432" i="34" s="1"/>
  <c r="G431" i="34"/>
  <c r="N431" i="34" s="1"/>
  <c r="G430" i="34"/>
  <c r="D430" i="34"/>
  <c r="D424" i="34" s="1"/>
  <c r="G429" i="34"/>
  <c r="F429" i="34"/>
  <c r="G428" i="34"/>
  <c r="F428" i="34"/>
  <c r="G427" i="34"/>
  <c r="F427" i="34"/>
  <c r="G426" i="34"/>
  <c r="F426" i="34"/>
  <c r="G425" i="34"/>
  <c r="N425" i="34" s="1"/>
  <c r="M424" i="34"/>
  <c r="L424" i="34"/>
  <c r="K424" i="34"/>
  <c r="J424" i="34"/>
  <c r="I424" i="34"/>
  <c r="H424" i="34"/>
  <c r="E424" i="34"/>
  <c r="N423" i="34"/>
  <c r="G423" i="34"/>
  <c r="G422" i="34"/>
  <c r="F422" i="34"/>
  <c r="G421" i="34"/>
  <c r="N421" i="34" s="1"/>
  <c r="G420" i="34"/>
  <c r="N420" i="34" s="1"/>
  <c r="M419" i="34"/>
  <c r="L419" i="34"/>
  <c r="K419" i="34"/>
  <c r="K418" i="34" s="1"/>
  <c r="J419" i="34"/>
  <c r="I419" i="34"/>
  <c r="G419" i="34" s="1"/>
  <c r="H419" i="34"/>
  <c r="E419" i="34"/>
  <c r="D419" i="34"/>
  <c r="G416" i="34"/>
  <c r="N416" i="34" s="1"/>
  <c r="M415" i="34"/>
  <c r="L415" i="34"/>
  <c r="K415" i="34"/>
  <c r="J415" i="34"/>
  <c r="I415" i="34"/>
  <c r="H415" i="34"/>
  <c r="G415" i="34" s="1"/>
  <c r="N415" i="34" s="1"/>
  <c r="F415" i="34"/>
  <c r="E415" i="34"/>
  <c r="D415" i="34"/>
  <c r="N414" i="34"/>
  <c r="N413" i="34"/>
  <c r="N412" i="34"/>
  <c r="N411" i="34"/>
  <c r="G410" i="34"/>
  <c r="N410" i="34" s="1"/>
  <c r="M409" i="34"/>
  <c r="L409" i="34"/>
  <c r="K409" i="34"/>
  <c r="J409" i="34"/>
  <c r="I409" i="34"/>
  <c r="H409" i="34"/>
  <c r="G409" i="34" s="1"/>
  <c r="N409" i="34" s="1"/>
  <c r="F409" i="34"/>
  <c r="E409" i="34"/>
  <c r="D409" i="34"/>
  <c r="G408" i="34"/>
  <c r="N408" i="34" s="1"/>
  <c r="G407" i="34"/>
  <c r="N407" i="34" s="1"/>
  <c r="M406" i="34"/>
  <c r="L406" i="34"/>
  <c r="K406" i="34"/>
  <c r="J406" i="34"/>
  <c r="I406" i="34"/>
  <c r="H406" i="34"/>
  <c r="F406" i="34"/>
  <c r="E406" i="34"/>
  <c r="D406" i="34"/>
  <c r="G405" i="34"/>
  <c r="F405" i="34"/>
  <c r="F404" i="34" s="1"/>
  <c r="M404" i="34"/>
  <c r="L404" i="34"/>
  <c r="K404" i="34"/>
  <c r="J404" i="34"/>
  <c r="I404" i="34"/>
  <c r="H404" i="34"/>
  <c r="E404" i="34"/>
  <c r="D404" i="34"/>
  <c r="G403" i="34"/>
  <c r="N403" i="34" s="1"/>
  <c r="F403" i="34"/>
  <c r="G402" i="34"/>
  <c r="F402" i="34"/>
  <c r="G401" i="34"/>
  <c r="F401" i="34"/>
  <c r="M400" i="34"/>
  <c r="L400" i="34"/>
  <c r="K400" i="34"/>
  <c r="J400" i="34"/>
  <c r="I400" i="34"/>
  <c r="H400" i="34"/>
  <c r="E400" i="34"/>
  <c r="D400" i="34"/>
  <c r="G399" i="34"/>
  <c r="F399" i="34"/>
  <c r="F397" i="34" s="1"/>
  <c r="G398" i="34"/>
  <c r="N398" i="34" s="1"/>
  <c r="M397" i="34"/>
  <c r="L397" i="34"/>
  <c r="K397" i="34"/>
  <c r="K396" i="34" s="1"/>
  <c r="J397" i="34"/>
  <c r="I397" i="34"/>
  <c r="I396" i="34" s="1"/>
  <c r="H397" i="34"/>
  <c r="E397" i="34"/>
  <c r="D397" i="34"/>
  <c r="N395" i="34"/>
  <c r="G395" i="34"/>
  <c r="G394" i="34"/>
  <c r="N394" i="34" s="1"/>
  <c r="G393" i="34"/>
  <c r="N393" i="34" s="1"/>
  <c r="G392" i="34"/>
  <c r="N392" i="34" s="1"/>
  <c r="G391" i="34"/>
  <c r="N391" i="34" s="1"/>
  <c r="G390" i="34"/>
  <c r="N390" i="34" s="1"/>
  <c r="N389" i="34"/>
  <c r="G389" i="34"/>
  <c r="G388" i="34"/>
  <c r="N388" i="34" s="1"/>
  <c r="G387" i="34"/>
  <c r="N387" i="34" s="1"/>
  <c r="N386" i="34"/>
  <c r="N385" i="34"/>
  <c r="N384" i="34"/>
  <c r="N383" i="34"/>
  <c r="M382" i="34"/>
  <c r="L382" i="34"/>
  <c r="K382" i="34"/>
  <c r="J382" i="34"/>
  <c r="I382" i="34"/>
  <c r="H382" i="34"/>
  <c r="F382" i="34"/>
  <c r="E382" i="34"/>
  <c r="D382" i="34"/>
  <c r="G381" i="34"/>
  <c r="N381" i="34" s="1"/>
  <c r="G380" i="34"/>
  <c r="N380" i="34" s="1"/>
  <c r="G379" i="34"/>
  <c r="N379" i="34" s="1"/>
  <c r="M378" i="34"/>
  <c r="M377" i="34" s="1"/>
  <c r="L378" i="34"/>
  <c r="K378" i="34"/>
  <c r="J378" i="34"/>
  <c r="I378" i="34"/>
  <c r="I377" i="34" s="1"/>
  <c r="H378" i="34"/>
  <c r="H377" i="34" s="1"/>
  <c r="F378" i="34"/>
  <c r="F377" i="34" s="1"/>
  <c r="E378" i="34"/>
  <c r="D378" i="34"/>
  <c r="D377" i="34" s="1"/>
  <c r="K377" i="34"/>
  <c r="J377" i="34"/>
  <c r="G376" i="34"/>
  <c r="N376" i="34" s="1"/>
  <c r="G375" i="34"/>
  <c r="N375" i="34" s="1"/>
  <c r="F375" i="34"/>
  <c r="M374" i="34"/>
  <c r="L374" i="34"/>
  <c r="K374" i="34"/>
  <c r="J374" i="34"/>
  <c r="I374" i="34"/>
  <c r="H374" i="34"/>
  <c r="F374" i="34"/>
  <c r="E374" i="34"/>
  <c r="D374" i="34"/>
  <c r="G373" i="34"/>
  <c r="N373" i="34" s="1"/>
  <c r="G372" i="34"/>
  <c r="N372" i="34" s="1"/>
  <c r="M371" i="34"/>
  <c r="L371" i="34"/>
  <c r="K371" i="34"/>
  <c r="J371" i="34"/>
  <c r="I371" i="34"/>
  <c r="H371" i="34"/>
  <c r="F371" i="34"/>
  <c r="E371" i="34"/>
  <c r="D371" i="34"/>
  <c r="G370" i="34"/>
  <c r="N370" i="34" s="1"/>
  <c r="G369" i="34"/>
  <c r="N369" i="34" s="1"/>
  <c r="M368" i="34"/>
  <c r="L368" i="34"/>
  <c r="K368" i="34"/>
  <c r="J368" i="34"/>
  <c r="I368" i="34"/>
  <c r="H368" i="34"/>
  <c r="F368" i="34"/>
  <c r="E368" i="34"/>
  <c r="D368" i="34"/>
  <c r="G367" i="34"/>
  <c r="N367" i="34" s="1"/>
  <c r="G366" i="34"/>
  <c r="N366" i="34" s="1"/>
  <c r="M365" i="34"/>
  <c r="L365" i="34"/>
  <c r="K365" i="34"/>
  <c r="J365" i="34"/>
  <c r="I365" i="34"/>
  <c r="G365" i="34" s="1"/>
  <c r="H365" i="34"/>
  <c r="F365" i="34"/>
  <c r="E365" i="34"/>
  <c r="D365" i="34"/>
  <c r="G364" i="34"/>
  <c r="N364" i="34" s="1"/>
  <c r="G363" i="34"/>
  <c r="N363" i="34" s="1"/>
  <c r="M362" i="34"/>
  <c r="L362" i="34"/>
  <c r="K362" i="34"/>
  <c r="K357" i="34" s="1"/>
  <c r="J362" i="34"/>
  <c r="I362" i="34"/>
  <c r="H362" i="34"/>
  <c r="F362" i="34"/>
  <c r="E362" i="34"/>
  <c r="D362" i="34"/>
  <c r="N361" i="34"/>
  <c r="N360" i="34"/>
  <c r="N359" i="34"/>
  <c r="N358" i="34"/>
  <c r="G356" i="34"/>
  <c r="N356" i="34" s="1"/>
  <c r="G355" i="34"/>
  <c r="N355" i="34" s="1"/>
  <c r="M354" i="34"/>
  <c r="L354" i="34"/>
  <c r="K354" i="34"/>
  <c r="J354" i="34"/>
  <c r="I354" i="34"/>
  <c r="H354" i="34"/>
  <c r="F354" i="34"/>
  <c r="E354" i="34"/>
  <c r="D354" i="34"/>
  <c r="G353" i="34"/>
  <c r="N353" i="34" s="1"/>
  <c r="G352" i="34"/>
  <c r="N352" i="34" s="1"/>
  <c r="M351" i="34"/>
  <c r="L351" i="34"/>
  <c r="K351" i="34"/>
  <c r="J351" i="34"/>
  <c r="I351" i="34"/>
  <c r="H351" i="34"/>
  <c r="F351" i="34"/>
  <c r="E351" i="34"/>
  <c r="D351" i="34"/>
  <c r="G350" i="34"/>
  <c r="N350" i="34" s="1"/>
  <c r="N349" i="34"/>
  <c r="G349" i="34"/>
  <c r="M348" i="34"/>
  <c r="L348" i="34"/>
  <c r="K348" i="34"/>
  <c r="J348" i="34"/>
  <c r="I348" i="34"/>
  <c r="H348" i="34"/>
  <c r="F348" i="34"/>
  <c r="E348" i="34"/>
  <c r="D348" i="34"/>
  <c r="G347" i="34"/>
  <c r="N347" i="34" s="1"/>
  <c r="G346" i="34"/>
  <c r="N346" i="34" s="1"/>
  <c r="M345" i="34"/>
  <c r="L345" i="34"/>
  <c r="K345" i="34"/>
  <c r="J345" i="34"/>
  <c r="I345" i="34"/>
  <c r="H345" i="34"/>
  <c r="F345" i="34"/>
  <c r="E345" i="34"/>
  <c r="D345" i="34"/>
  <c r="G343" i="34"/>
  <c r="N343" i="34" s="1"/>
  <c r="G342" i="34"/>
  <c r="N342" i="34" s="1"/>
  <c r="G341" i="34"/>
  <c r="N341" i="34" s="1"/>
  <c r="M340" i="34"/>
  <c r="L340" i="34"/>
  <c r="K340" i="34"/>
  <c r="J340" i="34"/>
  <c r="I340" i="34"/>
  <c r="H340" i="34"/>
  <c r="G340" i="34"/>
  <c r="N340" i="34" s="1"/>
  <c r="F340" i="34"/>
  <c r="E340" i="34"/>
  <c r="D340" i="34"/>
  <c r="G339" i="34"/>
  <c r="N339" i="34" s="1"/>
  <c r="M338" i="34"/>
  <c r="L338" i="34"/>
  <c r="K338" i="34"/>
  <c r="J338" i="34"/>
  <c r="I338" i="34"/>
  <c r="H338" i="34"/>
  <c r="F338" i="34"/>
  <c r="E338" i="34"/>
  <c r="D338" i="34"/>
  <c r="G337" i="34"/>
  <c r="N337" i="34" s="1"/>
  <c r="G336" i="34"/>
  <c r="N336" i="34" s="1"/>
  <c r="N335" i="34"/>
  <c r="N334" i="34"/>
  <c r="N333" i="34"/>
  <c r="N332" i="34"/>
  <c r="G331" i="34"/>
  <c r="N331" i="34" s="1"/>
  <c r="G330" i="34"/>
  <c r="N330" i="34" s="1"/>
  <c r="G329" i="34"/>
  <c r="N329" i="34" s="1"/>
  <c r="G328" i="34"/>
  <c r="N328" i="34" s="1"/>
  <c r="M327" i="34"/>
  <c r="L327" i="34"/>
  <c r="K327" i="34"/>
  <c r="J327" i="34"/>
  <c r="J316" i="34" s="1"/>
  <c r="I327" i="34"/>
  <c r="H327" i="34"/>
  <c r="F327" i="34"/>
  <c r="E327" i="34"/>
  <c r="D327" i="34"/>
  <c r="G326" i="34"/>
  <c r="N326" i="34" s="1"/>
  <c r="G325" i="34"/>
  <c r="N325" i="34" s="1"/>
  <c r="G324" i="34"/>
  <c r="N324" i="34" s="1"/>
  <c r="G323" i="34"/>
  <c r="N323" i="34" s="1"/>
  <c r="F322" i="34"/>
  <c r="F317" i="34" s="1"/>
  <c r="G321" i="34"/>
  <c r="N321" i="34" s="1"/>
  <c r="G320" i="34"/>
  <c r="N320" i="34" s="1"/>
  <c r="G319" i="34"/>
  <c r="N319" i="34" s="1"/>
  <c r="G318" i="34"/>
  <c r="N318" i="34" s="1"/>
  <c r="L317" i="34"/>
  <c r="K317" i="34"/>
  <c r="J317" i="34"/>
  <c r="I317" i="34"/>
  <c r="I316" i="34" s="1"/>
  <c r="H317" i="34"/>
  <c r="E317" i="34"/>
  <c r="D317" i="34"/>
  <c r="G315" i="34"/>
  <c r="N315" i="34" s="1"/>
  <c r="M314" i="34"/>
  <c r="L314" i="34"/>
  <c r="K314" i="34"/>
  <c r="J314" i="34"/>
  <c r="I314" i="34"/>
  <c r="H314" i="34"/>
  <c r="F314" i="34"/>
  <c r="E314" i="34"/>
  <c r="G313" i="34"/>
  <c r="N313" i="34" s="1"/>
  <c r="G312" i="34"/>
  <c r="N312" i="34" s="1"/>
  <c r="G311" i="34"/>
  <c r="N311" i="34" s="1"/>
  <c r="M310" i="34"/>
  <c r="L310" i="34"/>
  <c r="K310" i="34"/>
  <c r="J310" i="34"/>
  <c r="I310" i="34"/>
  <c r="H310" i="34"/>
  <c r="F310" i="34"/>
  <c r="E310" i="34"/>
  <c r="N309" i="34"/>
  <c r="G309" i="34"/>
  <c r="M308" i="34"/>
  <c r="L308" i="34"/>
  <c r="K308" i="34"/>
  <c r="J308" i="34"/>
  <c r="I308" i="34"/>
  <c r="H308" i="34"/>
  <c r="F308" i="34"/>
  <c r="E308" i="34"/>
  <c r="N307" i="34"/>
  <c r="G307" i="34"/>
  <c r="M306" i="34"/>
  <c r="L306" i="34"/>
  <c r="K306" i="34"/>
  <c r="J306" i="34"/>
  <c r="J297" i="34" s="1"/>
  <c r="I306" i="34"/>
  <c r="H306" i="34"/>
  <c r="F306" i="34"/>
  <c r="E306" i="34"/>
  <c r="N305" i="34"/>
  <c r="N304" i="34"/>
  <c r="N303" i="34"/>
  <c r="N302" i="34"/>
  <c r="N301" i="34"/>
  <c r="G301" i="34"/>
  <c r="G300" i="34"/>
  <c r="N300" i="34" s="1"/>
  <c r="G299" i="34"/>
  <c r="N299" i="34" s="1"/>
  <c r="M298" i="34"/>
  <c r="L298" i="34"/>
  <c r="K298" i="34"/>
  <c r="J298" i="34"/>
  <c r="I298" i="34"/>
  <c r="H298" i="34"/>
  <c r="F298" i="34"/>
  <c r="E298" i="34"/>
  <c r="G296" i="34"/>
  <c r="F296" i="34"/>
  <c r="G295" i="34"/>
  <c r="G294" i="34"/>
  <c r="D294" i="34"/>
  <c r="F294" i="34" s="1"/>
  <c r="G293" i="34"/>
  <c r="F293" i="34"/>
  <c r="G292" i="34"/>
  <c r="N292" i="34" s="1"/>
  <c r="F292" i="34"/>
  <c r="G291" i="34"/>
  <c r="F291" i="34"/>
  <c r="G290" i="34"/>
  <c r="F290" i="34"/>
  <c r="G289" i="34"/>
  <c r="F289" i="34"/>
  <c r="N289" i="34" s="1"/>
  <c r="G288" i="34"/>
  <c r="F288" i="34"/>
  <c r="M287" i="34"/>
  <c r="L287" i="34"/>
  <c r="K287" i="34"/>
  <c r="J287" i="34"/>
  <c r="I287" i="34"/>
  <c r="H287" i="34"/>
  <c r="G286" i="34"/>
  <c r="F286" i="34"/>
  <c r="G285" i="34"/>
  <c r="F285" i="34"/>
  <c r="M284" i="34"/>
  <c r="L284" i="34"/>
  <c r="K284" i="34"/>
  <c r="J284" i="34"/>
  <c r="I284" i="34"/>
  <c r="H284" i="34"/>
  <c r="E284" i="34"/>
  <c r="D284" i="34"/>
  <c r="G283" i="34"/>
  <c r="F283" i="34"/>
  <c r="G282" i="34"/>
  <c r="F282" i="34"/>
  <c r="G281" i="34"/>
  <c r="F281" i="34"/>
  <c r="G280" i="34"/>
  <c r="F280" i="34"/>
  <c r="G279" i="34"/>
  <c r="F279" i="34"/>
  <c r="G278" i="34"/>
  <c r="N278" i="34" s="1"/>
  <c r="N277" i="34"/>
  <c r="G277" i="34"/>
  <c r="L276" i="34"/>
  <c r="K276" i="34"/>
  <c r="J276" i="34"/>
  <c r="I276" i="34"/>
  <c r="H276" i="34"/>
  <c r="E276" i="34"/>
  <c r="D276" i="34"/>
  <c r="G275" i="34"/>
  <c r="F275" i="34"/>
  <c r="F274" i="34"/>
  <c r="N274" i="34" s="1"/>
  <c r="F273" i="34"/>
  <c r="N273" i="34" s="1"/>
  <c r="F272" i="34"/>
  <c r="N272" i="34" s="1"/>
  <c r="F271" i="34"/>
  <c r="N271" i="34" s="1"/>
  <c r="G270" i="34"/>
  <c r="N270" i="34" s="1"/>
  <c r="F270" i="34"/>
  <c r="G269" i="34"/>
  <c r="F269" i="34"/>
  <c r="G268" i="34"/>
  <c r="F268" i="34"/>
  <c r="G267" i="34"/>
  <c r="F267" i="34"/>
  <c r="G266" i="34"/>
  <c r="F266" i="34"/>
  <c r="G265" i="34"/>
  <c r="N265" i="34" s="1"/>
  <c r="F265" i="34"/>
  <c r="G264" i="34"/>
  <c r="N264" i="34" s="1"/>
  <c r="M263" i="34"/>
  <c r="L263" i="34"/>
  <c r="K263" i="34"/>
  <c r="J263" i="34"/>
  <c r="I263" i="34"/>
  <c r="H263" i="34"/>
  <c r="E263" i="34"/>
  <c r="D263" i="34"/>
  <c r="G262" i="34"/>
  <c r="N262" i="34" s="1"/>
  <c r="G261" i="34"/>
  <c r="N261" i="34" s="1"/>
  <c r="G260" i="34"/>
  <c r="N260" i="34" s="1"/>
  <c r="G259" i="34"/>
  <c r="N259" i="34" s="1"/>
  <c r="G258" i="34"/>
  <c r="F258" i="34"/>
  <c r="F257" i="34" s="1"/>
  <c r="M257" i="34"/>
  <c r="L257" i="34"/>
  <c r="K257" i="34"/>
  <c r="J257" i="34"/>
  <c r="I257" i="34"/>
  <c r="H257" i="34"/>
  <c r="E257" i="34"/>
  <c r="D257" i="34"/>
  <c r="G256" i="34"/>
  <c r="F256" i="34"/>
  <c r="N256" i="34" s="1"/>
  <c r="G255" i="34"/>
  <c r="F255" i="34"/>
  <c r="G254" i="34"/>
  <c r="F254" i="34"/>
  <c r="G253" i="34"/>
  <c r="F253" i="34"/>
  <c r="G252" i="34"/>
  <c r="F252" i="34"/>
  <c r="G251" i="34"/>
  <c r="F251" i="34"/>
  <c r="G250" i="34"/>
  <c r="F250" i="34"/>
  <c r="M249" i="34"/>
  <c r="L249" i="34"/>
  <c r="K249" i="34"/>
  <c r="J249" i="34"/>
  <c r="I249" i="34"/>
  <c r="H249" i="34"/>
  <c r="E249" i="34"/>
  <c r="D249" i="34"/>
  <c r="G247" i="34"/>
  <c r="N247" i="34" s="1"/>
  <c r="M246" i="34"/>
  <c r="L246" i="34"/>
  <c r="K246" i="34"/>
  <c r="J246" i="34"/>
  <c r="I246" i="34"/>
  <c r="H246" i="34"/>
  <c r="F246" i="34"/>
  <c r="E246" i="34"/>
  <c r="G245" i="34"/>
  <c r="N245" i="34" s="1"/>
  <c r="M244" i="34"/>
  <c r="L244" i="34"/>
  <c r="K244" i="34"/>
  <c r="J244" i="34"/>
  <c r="I244" i="34"/>
  <c r="H244" i="34"/>
  <c r="F244" i="34"/>
  <c r="E244" i="34"/>
  <c r="G243" i="34"/>
  <c r="F243" i="34"/>
  <c r="F242" i="34" s="1"/>
  <c r="M242" i="34"/>
  <c r="L242" i="34"/>
  <c r="K242" i="34"/>
  <c r="J242" i="34"/>
  <c r="I242" i="34"/>
  <c r="H242" i="34"/>
  <c r="E242" i="34"/>
  <c r="D242" i="34"/>
  <c r="G241" i="34"/>
  <c r="F241" i="34"/>
  <c r="F240" i="34" s="1"/>
  <c r="M240" i="34"/>
  <c r="L240" i="34"/>
  <c r="K240" i="34"/>
  <c r="J240" i="34"/>
  <c r="I240" i="34"/>
  <c r="H240" i="34"/>
  <c r="E240" i="34"/>
  <c r="D240" i="34"/>
  <c r="G239" i="34"/>
  <c r="N239" i="34" s="1"/>
  <c r="F239" i="34"/>
  <c r="F238" i="34"/>
  <c r="N238" i="34" s="1"/>
  <c r="F237" i="34"/>
  <c r="N237" i="34" s="1"/>
  <c r="N236" i="34"/>
  <c r="F236" i="34"/>
  <c r="F235" i="34"/>
  <c r="N235" i="34" s="1"/>
  <c r="G234" i="34"/>
  <c r="N234" i="34" s="1"/>
  <c r="F234" i="34"/>
  <c r="G233" i="34"/>
  <c r="N233" i="34" s="1"/>
  <c r="G232" i="34"/>
  <c r="N232" i="34" s="1"/>
  <c r="M231" i="34"/>
  <c r="L231" i="34"/>
  <c r="K231" i="34"/>
  <c r="J231" i="34"/>
  <c r="I231" i="34"/>
  <c r="H231" i="34"/>
  <c r="E231" i="34"/>
  <c r="D231" i="34"/>
  <c r="G230" i="34"/>
  <c r="F230" i="34"/>
  <c r="M229" i="34"/>
  <c r="L229" i="34"/>
  <c r="K229" i="34"/>
  <c r="J229" i="34"/>
  <c r="I229" i="34"/>
  <c r="H229" i="34"/>
  <c r="G229" i="34" s="1"/>
  <c r="E229" i="34"/>
  <c r="F229" i="34" s="1"/>
  <c r="G228" i="34"/>
  <c r="F228" i="34"/>
  <c r="G227" i="34"/>
  <c r="G226" i="34"/>
  <c r="M225" i="34"/>
  <c r="L225" i="34"/>
  <c r="K225" i="34"/>
  <c r="J225" i="34"/>
  <c r="I225" i="34"/>
  <c r="H225" i="34"/>
  <c r="E225" i="34"/>
  <c r="G224" i="34"/>
  <c r="D224" i="34"/>
  <c r="F224" i="34" s="1"/>
  <c r="F223" i="34" s="1"/>
  <c r="M223" i="34"/>
  <c r="L223" i="34"/>
  <c r="K223" i="34"/>
  <c r="J223" i="34"/>
  <c r="I223" i="34"/>
  <c r="I222" i="34" s="1"/>
  <c r="H223" i="34"/>
  <c r="E223" i="34"/>
  <c r="G210" i="34"/>
  <c r="N210" i="34" s="1"/>
  <c r="G209" i="34"/>
  <c r="N209" i="34" s="1"/>
  <c r="G208" i="34"/>
  <c r="N208" i="34" s="1"/>
  <c r="N207" i="34"/>
  <c r="N206" i="34"/>
  <c r="N205" i="34"/>
  <c r="N204" i="34"/>
  <c r="N203" i="34"/>
  <c r="G203" i="34"/>
  <c r="G202" i="34"/>
  <c r="N202" i="34" s="1"/>
  <c r="G201" i="34"/>
  <c r="N201" i="34" s="1"/>
  <c r="G200" i="34"/>
  <c r="N200" i="34" s="1"/>
  <c r="N199" i="34"/>
  <c r="G199" i="34"/>
  <c r="M198" i="34"/>
  <c r="L198" i="34"/>
  <c r="K198" i="34"/>
  <c r="J198" i="34"/>
  <c r="I198" i="34"/>
  <c r="H198" i="34"/>
  <c r="F198" i="34"/>
  <c r="E198" i="34"/>
  <c r="N197" i="34"/>
  <c r="G197" i="34"/>
  <c r="G196" i="34"/>
  <c r="N196" i="34" s="1"/>
  <c r="G195" i="34"/>
  <c r="N195" i="34" s="1"/>
  <c r="G194" i="34"/>
  <c r="N194" i="34" s="1"/>
  <c r="N193" i="34"/>
  <c r="G193" i="34"/>
  <c r="G192" i="34"/>
  <c r="N192" i="34" s="1"/>
  <c r="G191" i="34"/>
  <c r="N191" i="34" s="1"/>
  <c r="G190" i="34"/>
  <c r="N190" i="34" s="1"/>
  <c r="G189" i="34"/>
  <c r="N189" i="34" s="1"/>
  <c r="M188" i="34"/>
  <c r="L188" i="34"/>
  <c r="K188" i="34"/>
  <c r="J188" i="34"/>
  <c r="J187" i="34" s="1"/>
  <c r="I188" i="34"/>
  <c r="H188" i="34"/>
  <c r="F188" i="34"/>
  <c r="E188" i="34"/>
  <c r="E187" i="34" s="1"/>
  <c r="K187" i="34"/>
  <c r="G186" i="34"/>
  <c r="N186" i="34" s="1"/>
  <c r="N185" i="34"/>
  <c r="N184" i="34"/>
  <c r="N183" i="34"/>
  <c r="N182" i="34"/>
  <c r="G181" i="34"/>
  <c r="N181" i="34" s="1"/>
  <c r="G180" i="34"/>
  <c r="N180" i="34" s="1"/>
  <c r="G179" i="34"/>
  <c r="N179" i="34" s="1"/>
  <c r="G178" i="34"/>
  <c r="N178" i="34" s="1"/>
  <c r="G177" i="34"/>
  <c r="N177" i="34" s="1"/>
  <c r="G176" i="34"/>
  <c r="N176" i="34" s="1"/>
  <c r="M175" i="34"/>
  <c r="L175" i="34"/>
  <c r="K175" i="34"/>
  <c r="J175" i="34"/>
  <c r="I175" i="34"/>
  <c r="H175" i="34"/>
  <c r="G175" i="34" s="1"/>
  <c r="N175" i="34" s="1"/>
  <c r="F175" i="34"/>
  <c r="E175" i="34"/>
  <c r="E164" i="34" s="1"/>
  <c r="E163" i="34" s="1"/>
  <c r="E536" i="34" s="1"/>
  <c r="G174" i="34"/>
  <c r="N174" i="34" s="1"/>
  <c r="G173" i="34"/>
  <c r="N173" i="34" s="1"/>
  <c r="G172" i="34"/>
  <c r="N172" i="34" s="1"/>
  <c r="G171" i="34"/>
  <c r="N171" i="34" s="1"/>
  <c r="G170" i="34"/>
  <c r="N170" i="34" s="1"/>
  <c r="G169" i="34"/>
  <c r="N169" i="34" s="1"/>
  <c r="G168" i="34"/>
  <c r="N168" i="34" s="1"/>
  <c r="G167" i="34"/>
  <c r="N167" i="34" s="1"/>
  <c r="G166" i="34"/>
  <c r="N166" i="34" s="1"/>
  <c r="M165" i="34"/>
  <c r="M164" i="34" s="1"/>
  <c r="L165" i="34"/>
  <c r="L164" i="34" s="1"/>
  <c r="K165" i="34"/>
  <c r="J165" i="34"/>
  <c r="I165" i="34"/>
  <c r="I164" i="34" s="1"/>
  <c r="H165" i="34"/>
  <c r="F165" i="34"/>
  <c r="E165" i="34"/>
  <c r="G162" i="34"/>
  <c r="N162" i="34" s="1"/>
  <c r="M161" i="34"/>
  <c r="L161" i="34"/>
  <c r="K161" i="34"/>
  <c r="J161" i="34"/>
  <c r="I161" i="34"/>
  <c r="H161" i="34"/>
  <c r="F161" i="34"/>
  <c r="E161" i="34"/>
  <c r="G160" i="34"/>
  <c r="N160" i="34" s="1"/>
  <c r="N159" i="34"/>
  <c r="N158" i="34"/>
  <c r="N157" i="34"/>
  <c r="N156" i="34"/>
  <c r="M155" i="34"/>
  <c r="L155" i="34"/>
  <c r="K155" i="34"/>
  <c r="J155" i="34"/>
  <c r="I155" i="34"/>
  <c r="G155" i="34" s="1"/>
  <c r="N155" i="34" s="1"/>
  <c r="H155" i="34"/>
  <c r="F155" i="34"/>
  <c r="E155" i="34"/>
  <c r="G154" i="34"/>
  <c r="N154" i="34" s="1"/>
  <c r="M153" i="34"/>
  <c r="L153" i="34"/>
  <c r="L152" i="34" s="1"/>
  <c r="K153" i="34"/>
  <c r="K152" i="34" s="1"/>
  <c r="J153" i="34"/>
  <c r="J152" i="34" s="1"/>
  <c r="I153" i="34"/>
  <c r="H153" i="34"/>
  <c r="F153" i="34"/>
  <c r="E153" i="34"/>
  <c r="F152" i="34"/>
  <c r="N151" i="34"/>
  <c r="G151" i="34"/>
  <c r="M150" i="34"/>
  <c r="M149" i="34" s="1"/>
  <c r="L150" i="34"/>
  <c r="L149" i="34" s="1"/>
  <c r="K150" i="34"/>
  <c r="K149" i="34" s="1"/>
  <c r="J150" i="34"/>
  <c r="J149" i="34" s="1"/>
  <c r="I150" i="34"/>
  <c r="I149" i="34" s="1"/>
  <c r="H150" i="34"/>
  <c r="H149" i="34" s="1"/>
  <c r="F150" i="34"/>
  <c r="F149" i="34" s="1"/>
  <c r="E150" i="34"/>
  <c r="E149" i="34" s="1"/>
  <c r="G148" i="34"/>
  <c r="N148" i="34" s="1"/>
  <c r="M147" i="34"/>
  <c r="L147" i="34"/>
  <c r="K147" i="34"/>
  <c r="J147" i="34"/>
  <c r="G147" i="34" s="1"/>
  <c r="N147" i="34" s="1"/>
  <c r="I147" i="34"/>
  <c r="H147" i="34"/>
  <c r="F147" i="34"/>
  <c r="E147" i="34"/>
  <c r="G146" i="34"/>
  <c r="N146" i="34" s="1"/>
  <c r="M145" i="34"/>
  <c r="L145" i="34"/>
  <c r="K145" i="34"/>
  <c r="J145" i="34"/>
  <c r="I145" i="34"/>
  <c r="H145" i="34"/>
  <c r="F145" i="34"/>
  <c r="E145" i="34"/>
  <c r="G144" i="34"/>
  <c r="N144" i="34" s="1"/>
  <c r="M143" i="34"/>
  <c r="L143" i="34"/>
  <c r="K143" i="34"/>
  <c r="J143" i="34"/>
  <c r="I143" i="34"/>
  <c r="G143" i="34" s="1"/>
  <c r="H143" i="34"/>
  <c r="F143" i="34"/>
  <c r="F142" i="34" s="1"/>
  <c r="E143" i="34"/>
  <c r="J142" i="34"/>
  <c r="G141" i="34"/>
  <c r="N141" i="34" s="1"/>
  <c r="M140" i="34"/>
  <c r="L140" i="34"/>
  <c r="K140" i="34"/>
  <c r="J140" i="34"/>
  <c r="I140" i="34"/>
  <c r="H140" i="34"/>
  <c r="F140" i="34"/>
  <c r="E140" i="34"/>
  <c r="G139" i="34"/>
  <c r="F139" i="34"/>
  <c r="M138" i="34"/>
  <c r="L138" i="34"/>
  <c r="K138" i="34"/>
  <c r="J138" i="34"/>
  <c r="I138" i="34"/>
  <c r="H138" i="34"/>
  <c r="F138" i="34"/>
  <c r="E138" i="34"/>
  <c r="D138" i="34"/>
  <c r="G137" i="34"/>
  <c r="N137" i="34" s="1"/>
  <c r="M136" i="34"/>
  <c r="L136" i="34"/>
  <c r="K136" i="34"/>
  <c r="J136" i="34"/>
  <c r="I136" i="34"/>
  <c r="H136" i="34"/>
  <c r="H135" i="34" s="1"/>
  <c r="F136" i="34"/>
  <c r="E136" i="34"/>
  <c r="D136" i="34"/>
  <c r="G133" i="34"/>
  <c r="F133" i="34"/>
  <c r="F128" i="34" s="1"/>
  <c r="F127" i="34" s="1"/>
  <c r="N132" i="34"/>
  <c r="N131" i="34"/>
  <c r="N130" i="34"/>
  <c r="D130" i="34"/>
  <c r="D129" i="34" s="1"/>
  <c r="N129" i="34"/>
  <c r="M128" i="34"/>
  <c r="M127" i="34" s="1"/>
  <c r="L128" i="34"/>
  <c r="L127" i="34" s="1"/>
  <c r="K128" i="34"/>
  <c r="J128" i="34"/>
  <c r="J127" i="34" s="1"/>
  <c r="I128" i="34"/>
  <c r="I127" i="34" s="1"/>
  <c r="H128" i="34"/>
  <c r="H127" i="34" s="1"/>
  <c r="E128" i="34"/>
  <c r="E127" i="34" s="1"/>
  <c r="D128" i="34"/>
  <c r="D127" i="34" s="1"/>
  <c r="G126" i="34"/>
  <c r="N126" i="34" s="1"/>
  <c r="D126" i="34"/>
  <c r="G125" i="34"/>
  <c r="D125" i="34"/>
  <c r="F125" i="34" s="1"/>
  <c r="F124" i="34" s="1"/>
  <c r="F123" i="34" s="1"/>
  <c r="M124" i="34"/>
  <c r="L124" i="34"/>
  <c r="K124" i="34"/>
  <c r="K123" i="34" s="1"/>
  <c r="J124" i="34"/>
  <c r="I124" i="34"/>
  <c r="I123" i="34" s="1"/>
  <c r="H124" i="34"/>
  <c r="H123" i="34" s="1"/>
  <c r="E124" i="34"/>
  <c r="E123" i="34" s="1"/>
  <c r="M123" i="34"/>
  <c r="L123" i="34"/>
  <c r="G122" i="34"/>
  <c r="N122" i="34" s="1"/>
  <c r="M121" i="34"/>
  <c r="L121" i="34"/>
  <c r="L118" i="34" s="1"/>
  <c r="K121" i="34"/>
  <c r="J121" i="34"/>
  <c r="I121" i="34"/>
  <c r="H121" i="34"/>
  <c r="F121" i="34"/>
  <c r="E121" i="34"/>
  <c r="G120" i="34"/>
  <c r="N120" i="34" s="1"/>
  <c r="M119" i="34"/>
  <c r="M118" i="34" s="1"/>
  <c r="L119" i="34"/>
  <c r="K119" i="34"/>
  <c r="J119" i="34"/>
  <c r="I119" i="34"/>
  <c r="H119" i="34"/>
  <c r="F119" i="34"/>
  <c r="E119" i="34"/>
  <c r="E118" i="34"/>
  <c r="G117" i="34"/>
  <c r="N117" i="34" s="1"/>
  <c r="M116" i="34"/>
  <c r="L116" i="34"/>
  <c r="K116" i="34"/>
  <c r="J116" i="34"/>
  <c r="I116" i="34"/>
  <c r="H116" i="34"/>
  <c r="F116" i="34"/>
  <c r="E116" i="34"/>
  <c r="G115" i="34"/>
  <c r="N115" i="34" s="1"/>
  <c r="G114" i="34"/>
  <c r="F114" i="34"/>
  <c r="F113" i="34" s="1"/>
  <c r="M113" i="34"/>
  <c r="L113" i="34"/>
  <c r="K113" i="34"/>
  <c r="J113" i="34"/>
  <c r="I113" i="34"/>
  <c r="H113" i="34"/>
  <c r="E113" i="34"/>
  <c r="D113" i="34"/>
  <c r="G112" i="34"/>
  <c r="F112" i="34"/>
  <c r="G111" i="34"/>
  <c r="F111" i="34"/>
  <c r="G110" i="34"/>
  <c r="F110" i="34"/>
  <c r="G109" i="34"/>
  <c r="F109" i="34"/>
  <c r="N108" i="34"/>
  <c r="G108" i="34"/>
  <c r="F108" i="34"/>
  <c r="G107" i="34"/>
  <c r="F107" i="34"/>
  <c r="F106" i="34"/>
  <c r="N106" i="34" s="1"/>
  <c r="F105" i="34"/>
  <c r="N105" i="34" s="1"/>
  <c r="F104" i="34"/>
  <c r="N104" i="34" s="1"/>
  <c r="F103" i="34"/>
  <c r="N103" i="34" s="1"/>
  <c r="M102" i="34"/>
  <c r="L102" i="34"/>
  <c r="K102" i="34"/>
  <c r="J102" i="34"/>
  <c r="I102" i="34"/>
  <c r="H102" i="34"/>
  <c r="E102" i="34"/>
  <c r="F102" i="34" s="1"/>
  <c r="G101" i="34"/>
  <c r="F101" i="34"/>
  <c r="N101" i="34" s="1"/>
  <c r="G100" i="34"/>
  <c r="F100" i="34"/>
  <c r="G99" i="34"/>
  <c r="F99" i="34"/>
  <c r="G98" i="34"/>
  <c r="F98" i="34"/>
  <c r="M97" i="34"/>
  <c r="L97" i="34"/>
  <c r="K97" i="34"/>
  <c r="J97" i="34"/>
  <c r="I97" i="34"/>
  <c r="H97" i="34"/>
  <c r="E97" i="34"/>
  <c r="D97" i="34"/>
  <c r="G96" i="34"/>
  <c r="N96" i="34" s="1"/>
  <c r="G95" i="34"/>
  <c r="N95" i="34" s="1"/>
  <c r="G94" i="34"/>
  <c r="F94" i="34"/>
  <c r="F90" i="34" s="1"/>
  <c r="G93" i="34"/>
  <c r="N93" i="34" s="1"/>
  <c r="N92" i="34"/>
  <c r="G92" i="34"/>
  <c r="G91" i="34"/>
  <c r="N91" i="34" s="1"/>
  <c r="M90" i="34"/>
  <c r="L90" i="34"/>
  <c r="K90" i="34"/>
  <c r="J90" i="34"/>
  <c r="I90" i="34"/>
  <c r="I89" i="34" s="1"/>
  <c r="H90" i="34"/>
  <c r="E90" i="34"/>
  <c r="E89" i="34" s="1"/>
  <c r="D90" i="34"/>
  <c r="G88" i="34"/>
  <c r="N88" i="34" s="1"/>
  <c r="G87" i="34"/>
  <c r="N87" i="34" s="1"/>
  <c r="M86" i="34"/>
  <c r="L86" i="34"/>
  <c r="K86" i="34"/>
  <c r="J86" i="34"/>
  <c r="I86" i="34"/>
  <c r="H86" i="34"/>
  <c r="F86" i="34"/>
  <c r="E86" i="34"/>
  <c r="D86" i="34"/>
  <c r="G85" i="34"/>
  <c r="N85" i="34" s="1"/>
  <c r="G84" i="34"/>
  <c r="N84" i="34" s="1"/>
  <c r="G83" i="34"/>
  <c r="N83" i="34" s="1"/>
  <c r="G82" i="34"/>
  <c r="N82" i="34" s="1"/>
  <c r="M81" i="34"/>
  <c r="M77" i="34" s="1"/>
  <c r="L81" i="34"/>
  <c r="K81" i="34"/>
  <c r="J81" i="34"/>
  <c r="I81" i="34"/>
  <c r="H81" i="34"/>
  <c r="G81" i="34" s="1"/>
  <c r="N81" i="34" s="1"/>
  <c r="F81" i="34"/>
  <c r="E81" i="34"/>
  <c r="D81" i="34"/>
  <c r="N80" i="34"/>
  <c r="G80" i="34"/>
  <c r="G79" i="34"/>
  <c r="N79" i="34" s="1"/>
  <c r="M78" i="34"/>
  <c r="L78" i="34"/>
  <c r="K78" i="34"/>
  <c r="J78" i="34"/>
  <c r="I78" i="34"/>
  <c r="I77" i="34" s="1"/>
  <c r="H78" i="34"/>
  <c r="F78" i="34"/>
  <c r="F77" i="34" s="1"/>
  <c r="E78" i="34"/>
  <c r="E77" i="34" s="1"/>
  <c r="D78" i="34"/>
  <c r="N76" i="34"/>
  <c r="N75" i="34"/>
  <c r="N74" i="34"/>
  <c r="N73" i="34"/>
  <c r="G72" i="34"/>
  <c r="N72" i="34" s="1"/>
  <c r="N71" i="34"/>
  <c r="G71" i="34"/>
  <c r="G70" i="34"/>
  <c r="N70" i="34" s="1"/>
  <c r="M69" i="34"/>
  <c r="L69" i="34"/>
  <c r="K69" i="34"/>
  <c r="J69" i="34"/>
  <c r="I69" i="34"/>
  <c r="H69" i="34"/>
  <c r="H63" i="34" s="1"/>
  <c r="F69" i="34"/>
  <c r="E69" i="34"/>
  <c r="D69" i="34"/>
  <c r="G68" i="34"/>
  <c r="N68" i="34" s="1"/>
  <c r="G67" i="34"/>
  <c r="N67" i="34" s="1"/>
  <c r="G66" i="34"/>
  <c r="N66" i="34" s="1"/>
  <c r="N65" i="34"/>
  <c r="G65" i="34"/>
  <c r="M64" i="34"/>
  <c r="M63" i="34" s="1"/>
  <c r="L64" i="34"/>
  <c r="K64" i="34"/>
  <c r="J64" i="34"/>
  <c r="I64" i="34"/>
  <c r="H64" i="34"/>
  <c r="F64" i="34"/>
  <c r="E64" i="34"/>
  <c r="D64" i="34"/>
  <c r="L63" i="34"/>
  <c r="N62" i="34"/>
  <c r="G62" i="34"/>
  <c r="G61" i="34"/>
  <c r="N61" i="34" s="1"/>
  <c r="G60" i="34"/>
  <c r="N60" i="34" s="1"/>
  <c r="G59" i="34"/>
  <c r="N59" i="34" s="1"/>
  <c r="G58" i="34"/>
  <c r="N58" i="34" s="1"/>
  <c r="G57" i="34"/>
  <c r="N57" i="34" s="1"/>
  <c r="M56" i="34"/>
  <c r="L56" i="34"/>
  <c r="K56" i="34"/>
  <c r="J56" i="34"/>
  <c r="I56" i="34"/>
  <c r="H56" i="34"/>
  <c r="F56" i="34"/>
  <c r="E56" i="34"/>
  <c r="D56" i="34"/>
  <c r="G55" i="34"/>
  <c r="N55" i="34" s="1"/>
  <c r="G54" i="34"/>
  <c r="N54" i="34" s="1"/>
  <c r="N53" i="34"/>
  <c r="G53" i="34"/>
  <c r="G52" i="34"/>
  <c r="N52" i="34" s="1"/>
  <c r="G51" i="34"/>
  <c r="N51" i="34" s="1"/>
  <c r="G50" i="34"/>
  <c r="N50" i="34" s="1"/>
  <c r="N49" i="34"/>
  <c r="N48" i="34"/>
  <c r="N47" i="34"/>
  <c r="N46" i="34"/>
  <c r="M45" i="34"/>
  <c r="L45" i="34"/>
  <c r="K45" i="34"/>
  <c r="J45" i="34"/>
  <c r="I45" i="34"/>
  <c r="H45" i="34"/>
  <c r="F45" i="34"/>
  <c r="E45" i="34"/>
  <c r="D45" i="34"/>
  <c r="G44" i="34"/>
  <c r="N44" i="34" s="1"/>
  <c r="G43" i="34"/>
  <c r="N43" i="34" s="1"/>
  <c r="M42" i="34"/>
  <c r="L42" i="34"/>
  <c r="K42" i="34"/>
  <c r="J42" i="34"/>
  <c r="I42" i="34"/>
  <c r="H42" i="34"/>
  <c r="F42" i="34"/>
  <c r="E42" i="34"/>
  <c r="D42" i="34"/>
  <c r="G41" i="34"/>
  <c r="N41" i="34" s="1"/>
  <c r="G40" i="34"/>
  <c r="N40" i="34" s="1"/>
  <c r="G39" i="34"/>
  <c r="N39" i="34" s="1"/>
  <c r="G38" i="34"/>
  <c r="N38" i="34" s="1"/>
  <c r="G37" i="34"/>
  <c r="N37" i="34" s="1"/>
  <c r="G36" i="34"/>
  <c r="N36" i="34" s="1"/>
  <c r="M35" i="34"/>
  <c r="L35" i="34"/>
  <c r="K35" i="34"/>
  <c r="J35" i="34"/>
  <c r="I35" i="34"/>
  <c r="H35" i="34"/>
  <c r="F35" i="34"/>
  <c r="E35" i="34"/>
  <c r="D35" i="34"/>
  <c r="G34" i="34"/>
  <c r="N34" i="34" s="1"/>
  <c r="G33" i="34"/>
  <c r="N33" i="34" s="1"/>
  <c r="G32" i="34"/>
  <c r="N32" i="34" s="1"/>
  <c r="N31" i="34"/>
  <c r="G31" i="34"/>
  <c r="G30" i="34"/>
  <c r="N30" i="34" s="1"/>
  <c r="M29" i="34"/>
  <c r="L29" i="34"/>
  <c r="K29" i="34"/>
  <c r="J29" i="34"/>
  <c r="I29" i="34"/>
  <c r="H29" i="34"/>
  <c r="F29" i="34"/>
  <c r="E29" i="34"/>
  <c r="D29" i="34"/>
  <c r="G28" i="34"/>
  <c r="N28" i="34" s="1"/>
  <c r="G27" i="34"/>
  <c r="N27" i="34" s="1"/>
  <c r="G26" i="34"/>
  <c r="N26" i="34" s="1"/>
  <c r="G25" i="34"/>
  <c r="N25" i="34" s="1"/>
  <c r="G24" i="34"/>
  <c r="N24" i="34" s="1"/>
  <c r="G23" i="34"/>
  <c r="N23" i="34" s="1"/>
  <c r="M22" i="34"/>
  <c r="L22" i="34"/>
  <c r="K22" i="34"/>
  <c r="J22" i="34"/>
  <c r="I22" i="34"/>
  <c r="H22" i="34"/>
  <c r="F22" i="34"/>
  <c r="E22" i="34"/>
  <c r="D22" i="34"/>
  <c r="G21" i="34"/>
  <c r="N21" i="34" s="1"/>
  <c r="M20" i="34"/>
  <c r="L20" i="34"/>
  <c r="K20" i="34"/>
  <c r="J20" i="34"/>
  <c r="I20" i="34"/>
  <c r="H20" i="34"/>
  <c r="F20" i="34"/>
  <c r="E20" i="34"/>
  <c r="D20" i="34"/>
  <c r="G19" i="34"/>
  <c r="N19" i="34" s="1"/>
  <c r="G18" i="34"/>
  <c r="N18" i="34" s="1"/>
  <c r="N17" i="34"/>
  <c r="N16" i="34"/>
  <c r="N15" i="34"/>
  <c r="N14" i="34"/>
  <c r="G13" i="34"/>
  <c r="N13" i="34" s="1"/>
  <c r="M12" i="34"/>
  <c r="L12" i="34"/>
  <c r="K12" i="34"/>
  <c r="J12" i="34"/>
  <c r="I12" i="34"/>
  <c r="H12" i="34"/>
  <c r="F12" i="34"/>
  <c r="E12" i="34"/>
  <c r="D12" i="34"/>
  <c r="H132" i="33"/>
  <c r="M285" i="33"/>
  <c r="M252" i="33"/>
  <c r="M281" i="33"/>
  <c r="P253" i="33"/>
  <c r="M253" i="33"/>
  <c r="L142" i="34" l="1"/>
  <c r="E152" i="34"/>
  <c r="F249" i="34"/>
  <c r="J498" i="34"/>
  <c r="J151" i="35"/>
  <c r="Q435" i="35"/>
  <c r="F63" i="34"/>
  <c r="M142" i="34"/>
  <c r="N250" i="34"/>
  <c r="K297" i="34"/>
  <c r="M357" i="34"/>
  <c r="L377" i="34"/>
  <c r="N399" i="34"/>
  <c r="N402" i="34"/>
  <c r="N426" i="34"/>
  <c r="K498" i="34"/>
  <c r="G66" i="35"/>
  <c r="J133" i="35"/>
  <c r="O134" i="35"/>
  <c r="G164" i="35"/>
  <c r="J221" i="35"/>
  <c r="E224" i="35"/>
  <c r="E314" i="35"/>
  <c r="L333" i="35"/>
  <c r="I361" i="35"/>
  <c r="G361" i="35" s="1"/>
  <c r="E435" i="35"/>
  <c r="E434" i="35" s="1"/>
  <c r="G469" i="35"/>
  <c r="K118" i="34"/>
  <c r="G165" i="34"/>
  <c r="N165" i="34" s="1"/>
  <c r="I469" i="34"/>
  <c r="I468" i="34" s="1"/>
  <c r="I537" i="34" s="1"/>
  <c r="Q515" i="35"/>
  <c r="Q485" i="35" s="1"/>
  <c r="G86" i="34"/>
  <c r="N86" i="34" s="1"/>
  <c r="H152" i="34"/>
  <c r="N286" i="34"/>
  <c r="D316" i="34"/>
  <c r="D344" i="34"/>
  <c r="M457" i="34"/>
  <c r="H498" i="34"/>
  <c r="G498" i="34" s="1"/>
  <c r="N498" i="34" s="1"/>
  <c r="G61" i="35"/>
  <c r="Q86" i="35"/>
  <c r="F110" i="35"/>
  <c r="Q134" i="35"/>
  <c r="Q133" i="35" s="1"/>
  <c r="L151" i="35"/>
  <c r="L133" i="35" s="1"/>
  <c r="M262" i="35"/>
  <c r="G323" i="35"/>
  <c r="I333" i="35"/>
  <c r="G368" i="35"/>
  <c r="O413" i="35"/>
  <c r="G516" i="35"/>
  <c r="N434" i="37"/>
  <c r="E134" i="38"/>
  <c r="G462" i="34"/>
  <c r="N462" i="34" s="1"/>
  <c r="E8" i="35"/>
  <c r="N143" i="34"/>
  <c r="O8" i="35"/>
  <c r="G12" i="34"/>
  <c r="N12" i="34" s="1"/>
  <c r="I63" i="34"/>
  <c r="G153" i="34"/>
  <c r="N153" i="34" s="1"/>
  <c r="G161" i="34"/>
  <c r="N161" i="34" s="1"/>
  <c r="D227" i="34"/>
  <c r="F227" i="34" s="1"/>
  <c r="N230" i="34"/>
  <c r="N251" i="34"/>
  <c r="D287" i="34"/>
  <c r="D248" i="34" s="1"/>
  <c r="E396" i="34"/>
  <c r="G442" i="34"/>
  <c r="N442" i="34" s="1"/>
  <c r="G494" i="34"/>
  <c r="N494" i="34" s="1"/>
  <c r="E86" i="35"/>
  <c r="G113" i="35"/>
  <c r="L221" i="35"/>
  <c r="G224" i="35"/>
  <c r="G221" i="35" s="1"/>
  <c r="E247" i="35"/>
  <c r="N333" i="35"/>
  <c r="I458" i="35"/>
  <c r="G483" i="35"/>
  <c r="G487" i="35"/>
  <c r="G316" i="38"/>
  <c r="N316" i="38" s="1"/>
  <c r="I248" i="34"/>
  <c r="G60" i="35"/>
  <c r="O86" i="35"/>
  <c r="G154" i="35"/>
  <c r="J11" i="34"/>
  <c r="K89" i="34"/>
  <c r="L135" i="34"/>
  <c r="H316" i="34"/>
  <c r="E344" i="34"/>
  <c r="N428" i="34"/>
  <c r="E141" i="35"/>
  <c r="O151" i="35"/>
  <c r="G197" i="35"/>
  <c r="G245" i="35"/>
  <c r="G248" i="35"/>
  <c r="G256" i="35"/>
  <c r="F289" i="35"/>
  <c r="L314" i="35"/>
  <c r="G357" i="35"/>
  <c r="J374" i="35"/>
  <c r="Q413" i="35"/>
  <c r="G426" i="35"/>
  <c r="G413" i="35" s="1"/>
  <c r="I435" i="35"/>
  <c r="I434" i="35" s="1"/>
  <c r="G436" i="35"/>
  <c r="P441" i="35"/>
  <c r="P435" i="35" s="1"/>
  <c r="P434" i="35" s="1"/>
  <c r="G454" i="35"/>
  <c r="G461" i="35"/>
  <c r="J474" i="35"/>
  <c r="G474" i="35" s="1"/>
  <c r="I134" i="38"/>
  <c r="N111" i="34"/>
  <c r="H118" i="34"/>
  <c r="E142" i="34"/>
  <c r="G145" i="34"/>
  <c r="N145" i="34" s="1"/>
  <c r="I187" i="34"/>
  <c r="N228" i="34"/>
  <c r="H297" i="34"/>
  <c r="G345" i="34"/>
  <c r="N345" i="34" s="1"/>
  <c r="G351" i="34"/>
  <c r="N351" i="34" s="1"/>
  <c r="G371" i="34"/>
  <c r="N371" i="34" s="1"/>
  <c r="D457" i="34"/>
  <c r="G53" i="35"/>
  <c r="G75" i="35"/>
  <c r="I86" i="35"/>
  <c r="G116" i="35"/>
  <c r="H127" i="35"/>
  <c r="G174" i="35"/>
  <c r="N186" i="35"/>
  <c r="G344" i="35"/>
  <c r="N374" i="35"/>
  <c r="G391" i="35"/>
  <c r="F413" i="35"/>
  <c r="K435" i="35"/>
  <c r="K434" i="35" s="1"/>
  <c r="G475" i="35"/>
  <c r="N474" i="35"/>
  <c r="G501" i="35"/>
  <c r="G530" i="35"/>
  <c r="K468" i="38"/>
  <c r="K537" i="38" s="1"/>
  <c r="M152" i="34"/>
  <c r="G56" i="34"/>
  <c r="N56" i="34" s="1"/>
  <c r="D77" i="34"/>
  <c r="N112" i="34"/>
  <c r="F118" i="34"/>
  <c r="H142" i="34"/>
  <c r="G246" i="34"/>
  <c r="N246" i="34" s="1"/>
  <c r="N268" i="34"/>
  <c r="N280" i="34"/>
  <c r="L316" i="34"/>
  <c r="J344" i="34"/>
  <c r="J396" i="34"/>
  <c r="G465" i="34"/>
  <c r="N465" i="34" s="1"/>
  <c r="I8" i="35"/>
  <c r="G39" i="35"/>
  <c r="L115" i="35"/>
  <c r="N163" i="35"/>
  <c r="Q186" i="35"/>
  <c r="G313" i="35"/>
  <c r="G362" i="35"/>
  <c r="I413" i="35"/>
  <c r="M435" i="35"/>
  <c r="M434" i="35" s="1"/>
  <c r="G444" i="35"/>
  <c r="G441" i="35" s="1"/>
  <c r="Q458" i="35"/>
  <c r="G482" i="35"/>
  <c r="L486" i="35"/>
  <c r="L485" i="35" s="1"/>
  <c r="J515" i="35"/>
  <c r="G515" i="35" s="1"/>
  <c r="P247" i="37"/>
  <c r="K163" i="38"/>
  <c r="K536" i="38" s="1"/>
  <c r="D10" i="38"/>
  <c r="D9" i="38" s="1"/>
  <c r="K6" i="39"/>
  <c r="K210" i="39" s="1"/>
  <c r="F344" i="34"/>
  <c r="E468" i="34"/>
  <c r="E537" i="34" s="1"/>
  <c r="N220" i="35"/>
  <c r="N7" i="35"/>
  <c r="P221" i="35"/>
  <c r="F135" i="34"/>
  <c r="N229" i="34"/>
  <c r="N365" i="34"/>
  <c r="J469" i="34"/>
  <c r="G452" i="35"/>
  <c r="G312" i="35"/>
  <c r="G116" i="34"/>
  <c r="N116" i="34" s="1"/>
  <c r="I118" i="34"/>
  <c r="M187" i="34"/>
  <c r="M163" i="34" s="1"/>
  <c r="M536" i="34" s="1"/>
  <c r="E222" i="34"/>
  <c r="N241" i="34"/>
  <c r="N269" i="34"/>
  <c r="L297" i="34"/>
  <c r="G327" i="34"/>
  <c r="N327" i="34" s="1"/>
  <c r="I457" i="34"/>
  <c r="L8" i="35"/>
  <c r="O115" i="35"/>
  <c r="G135" i="35"/>
  <c r="I148" i="35"/>
  <c r="G148" i="35" s="1"/>
  <c r="Q163" i="35"/>
  <c r="F221" i="35"/>
  <c r="G230" i="35"/>
  <c r="F282" i="35"/>
  <c r="F284" i="35"/>
  <c r="F283" i="35" s="1"/>
  <c r="P286" i="35"/>
  <c r="L374" i="35"/>
  <c r="K413" i="35"/>
  <c r="O435" i="35"/>
  <c r="O434" i="35" s="1"/>
  <c r="J486" i="35"/>
  <c r="O486" i="35"/>
  <c r="O485" i="35" s="1"/>
  <c r="N515" i="35"/>
  <c r="N485" i="35" s="1"/>
  <c r="M9" i="38"/>
  <c r="M211" i="38" s="1"/>
  <c r="N133" i="35"/>
  <c r="E485" i="35"/>
  <c r="G83" i="35"/>
  <c r="E134" i="35"/>
  <c r="E133" i="35" s="1"/>
  <c r="D223" i="34"/>
  <c r="F297" i="34"/>
  <c r="G454" i="34"/>
  <c r="N454" i="34" s="1"/>
  <c r="E221" i="35"/>
  <c r="E220" i="35" s="1"/>
  <c r="E219" i="35" s="1"/>
  <c r="G388" i="35"/>
  <c r="G399" i="35"/>
  <c r="D63" i="34"/>
  <c r="F97" i="34"/>
  <c r="G136" i="34"/>
  <c r="N136" i="34" s="1"/>
  <c r="K142" i="34"/>
  <c r="F187" i="34"/>
  <c r="N255" i="34"/>
  <c r="L441" i="34"/>
  <c r="G9" i="35"/>
  <c r="G99" i="35"/>
  <c r="E151" i="35"/>
  <c r="G187" i="35"/>
  <c r="H221" i="35"/>
  <c r="H220" i="35" s="1"/>
  <c r="H219" i="35" s="1"/>
  <c r="O247" i="35"/>
  <c r="J333" i="35"/>
  <c r="G371" i="35"/>
  <c r="L394" i="35"/>
  <c r="G479" i="35"/>
  <c r="I219" i="39"/>
  <c r="G220" i="39"/>
  <c r="G219" i="39" s="1"/>
  <c r="G541" i="39" s="1"/>
  <c r="F247" i="39"/>
  <c r="F220" i="39" s="1"/>
  <c r="J538" i="38"/>
  <c r="J539" i="38"/>
  <c r="G77" i="38"/>
  <c r="N77" i="38" s="1"/>
  <c r="N424" i="38"/>
  <c r="G297" i="38"/>
  <c r="N297" i="38" s="1"/>
  <c r="F89" i="38"/>
  <c r="F10" i="38" s="1"/>
  <c r="F9" i="38" s="1"/>
  <c r="F211" i="38" s="1"/>
  <c r="F424" i="38"/>
  <c r="F418" i="38" s="1"/>
  <c r="F417" i="38" s="1"/>
  <c r="G142" i="38"/>
  <c r="N142" i="38" s="1"/>
  <c r="E10" i="38"/>
  <c r="N400" i="38"/>
  <c r="I538" i="38"/>
  <c r="I10" i="38"/>
  <c r="I9" i="38" s="1"/>
  <c r="I211" i="38" s="1"/>
  <c r="O7" i="37"/>
  <c r="H220" i="37"/>
  <c r="H219" i="37" s="1"/>
  <c r="H541" i="37" s="1"/>
  <c r="Q434" i="37"/>
  <c r="Q485" i="37"/>
  <c r="I434" i="37"/>
  <c r="F89" i="34"/>
  <c r="G127" i="34"/>
  <c r="N127" i="34" s="1"/>
  <c r="L163" i="34"/>
  <c r="L536" i="34" s="1"/>
  <c r="G45" i="34"/>
  <c r="N45" i="34" s="1"/>
  <c r="E63" i="34"/>
  <c r="K77" i="34"/>
  <c r="I142" i="34"/>
  <c r="I152" i="34"/>
  <c r="K164" i="34"/>
  <c r="K163" i="34" s="1"/>
  <c r="K536" i="34" s="1"/>
  <c r="L187" i="34"/>
  <c r="N291" i="34"/>
  <c r="E316" i="34"/>
  <c r="L344" i="34"/>
  <c r="E377" i="34"/>
  <c r="H396" i="34"/>
  <c r="G437" i="34"/>
  <c r="N437" i="34" s="1"/>
  <c r="N440" i="34"/>
  <c r="G452" i="34"/>
  <c r="N452" i="34" s="1"/>
  <c r="H457" i="34"/>
  <c r="K457" i="34"/>
  <c r="G492" i="34"/>
  <c r="N492" i="34" s="1"/>
  <c r="G499" i="34"/>
  <c r="N499" i="34" s="1"/>
  <c r="G513" i="34"/>
  <c r="N513" i="34" s="1"/>
  <c r="G522" i="34"/>
  <c r="N522" i="34" s="1"/>
  <c r="I135" i="34"/>
  <c r="I163" i="34"/>
  <c r="I536" i="34" s="1"/>
  <c r="I538" i="34" s="1"/>
  <c r="J164" i="34"/>
  <c r="J163" i="34" s="1"/>
  <c r="J536" i="34" s="1"/>
  <c r="J222" i="34"/>
  <c r="G244" i="34"/>
  <c r="N244" i="34" s="1"/>
  <c r="N266" i="34"/>
  <c r="E297" i="34"/>
  <c r="H357" i="34"/>
  <c r="G368" i="34"/>
  <c r="N368" i="34" s="1"/>
  <c r="G406" i="34"/>
  <c r="N406" i="34" s="1"/>
  <c r="G466" i="34"/>
  <c r="N466" i="34" s="1"/>
  <c r="K469" i="34"/>
  <c r="K468" i="34" s="1"/>
  <c r="K537" i="34" s="1"/>
  <c r="L77" i="34"/>
  <c r="N107" i="34"/>
  <c r="N125" i="34"/>
  <c r="D135" i="34"/>
  <c r="D134" i="34" s="1"/>
  <c r="L134" i="34"/>
  <c r="G150" i="34"/>
  <c r="N150" i="34" s="1"/>
  <c r="H164" i="34"/>
  <c r="D226" i="34"/>
  <c r="N290" i="34"/>
  <c r="M297" i="34"/>
  <c r="G310" i="34"/>
  <c r="N310" i="34" s="1"/>
  <c r="G338" i="34"/>
  <c r="N338" i="34" s="1"/>
  <c r="M344" i="34"/>
  <c r="F357" i="34"/>
  <c r="G382" i="34"/>
  <c r="N382" i="34" s="1"/>
  <c r="N422" i="34"/>
  <c r="G458" i="34"/>
  <c r="N458" i="34" s="1"/>
  <c r="G496" i="34"/>
  <c r="N496" i="34" s="1"/>
  <c r="K135" i="34"/>
  <c r="E538" i="34"/>
  <c r="N224" i="34"/>
  <c r="J248" i="34"/>
  <c r="G354" i="34"/>
  <c r="N354" i="34" s="1"/>
  <c r="D396" i="34"/>
  <c r="J418" i="34"/>
  <c r="J417" i="34" s="1"/>
  <c r="L418" i="34"/>
  <c r="L417" i="34" s="1"/>
  <c r="K441" i="34"/>
  <c r="E441" i="34"/>
  <c r="G470" i="34"/>
  <c r="N470" i="34" s="1"/>
  <c r="D469" i="34"/>
  <c r="D468" i="34" s="1"/>
  <c r="F11" i="34"/>
  <c r="J63" i="34"/>
  <c r="K63" i="34"/>
  <c r="N100" i="34"/>
  <c r="E135" i="34"/>
  <c r="E134" i="34" s="1"/>
  <c r="H187" i="34"/>
  <c r="G187" i="34" s="1"/>
  <c r="N187" i="34" s="1"/>
  <c r="F231" i="34"/>
  <c r="N243" i="34"/>
  <c r="N279" i="34"/>
  <c r="N293" i="34"/>
  <c r="G308" i="34"/>
  <c r="N308" i="34" s="1"/>
  <c r="F316" i="34"/>
  <c r="K316" i="34"/>
  <c r="K344" i="34"/>
  <c r="H344" i="34"/>
  <c r="D357" i="34"/>
  <c r="L396" i="34"/>
  <c r="G435" i="34"/>
  <c r="N435" i="34" s="1"/>
  <c r="G444" i="34"/>
  <c r="N444" i="34" s="1"/>
  <c r="M441" i="34"/>
  <c r="E457" i="34"/>
  <c r="F469" i="34"/>
  <c r="F468" i="34" s="1"/>
  <c r="G484" i="34"/>
  <c r="N484" i="34" s="1"/>
  <c r="L469" i="34"/>
  <c r="L468" i="34" s="1"/>
  <c r="L537" i="34" s="1"/>
  <c r="G69" i="34"/>
  <c r="N69" i="34" s="1"/>
  <c r="D89" i="34"/>
  <c r="G121" i="34"/>
  <c r="N121" i="34" s="1"/>
  <c r="F164" i="34"/>
  <c r="F163" i="34" s="1"/>
  <c r="N254" i="34"/>
  <c r="H248" i="34"/>
  <c r="F276" i="34"/>
  <c r="N282" i="34"/>
  <c r="G314" i="34"/>
  <c r="N314" i="34" s="1"/>
  <c r="L357" i="34"/>
  <c r="G377" i="34"/>
  <c r="N377" i="34" s="1"/>
  <c r="D418" i="34"/>
  <c r="D417" i="34" s="1"/>
  <c r="E11" i="34"/>
  <c r="L11" i="34"/>
  <c r="M11" i="34"/>
  <c r="I11" i="34"/>
  <c r="I10" i="34" s="1"/>
  <c r="H77" i="34"/>
  <c r="N94" i="34"/>
  <c r="N99" i="34"/>
  <c r="N109" i="34"/>
  <c r="G113" i="34"/>
  <c r="G198" i="34"/>
  <c r="N198" i="34" s="1"/>
  <c r="N258" i="34"/>
  <c r="N288" i="34"/>
  <c r="I297" i="34"/>
  <c r="G306" i="34"/>
  <c r="N306" i="34" s="1"/>
  <c r="I344" i="34"/>
  <c r="E357" i="34"/>
  <c r="F400" i="34"/>
  <c r="F396" i="34" s="1"/>
  <c r="N429" i="34"/>
  <c r="M316" i="34"/>
  <c r="G297" i="34"/>
  <c r="N297" i="34" s="1"/>
  <c r="J357" i="34"/>
  <c r="K417" i="34"/>
  <c r="G548" i="41"/>
  <c r="F220" i="41"/>
  <c r="F542" i="41" s="1"/>
  <c r="F548" i="41" s="1"/>
  <c r="M211" i="41"/>
  <c r="T7" i="41"/>
  <c r="M221" i="41"/>
  <c r="T221" i="41" s="1"/>
  <c r="F219" i="39"/>
  <c r="F541" i="39" s="1"/>
  <c r="M247" i="39"/>
  <c r="M220" i="39" s="1"/>
  <c r="M219" i="39" s="1"/>
  <c r="G6" i="39"/>
  <c r="G210" i="39" s="1"/>
  <c r="F7" i="39"/>
  <c r="F6" i="39" s="1"/>
  <c r="F210" i="39" s="1"/>
  <c r="I541" i="39"/>
  <c r="M303" i="35"/>
  <c r="N276" i="38"/>
  <c r="N263" i="38"/>
  <c r="E221" i="38"/>
  <c r="E220" i="38" s="1"/>
  <c r="E524" i="38" s="1"/>
  <c r="M221" i="38"/>
  <c r="M220" i="38" s="1"/>
  <c r="M533" i="38" s="1"/>
  <c r="N249" i="38"/>
  <c r="N231" i="38"/>
  <c r="N118" i="38"/>
  <c r="L9" i="38"/>
  <c r="L211" i="38" s="1"/>
  <c r="G135" i="38"/>
  <c r="N135" i="38" s="1"/>
  <c r="M532" i="38"/>
  <c r="G89" i="38"/>
  <c r="K221" i="38"/>
  <c r="K220" i="38" s="1"/>
  <c r="K524" i="38" s="1"/>
  <c r="N287" i="38"/>
  <c r="G248" i="38"/>
  <c r="N295" i="38"/>
  <c r="F248" i="38"/>
  <c r="K538" i="38"/>
  <c r="K539" i="38"/>
  <c r="I532" i="38"/>
  <c r="D532" i="38"/>
  <c r="D211" i="38"/>
  <c r="G418" i="38"/>
  <c r="N418" i="38" s="1"/>
  <c r="H417" i="38"/>
  <c r="G417" i="38" s="1"/>
  <c r="N417" i="38" s="1"/>
  <c r="G11" i="38"/>
  <c r="N11" i="38" s="1"/>
  <c r="H10" i="38"/>
  <c r="G187" i="38"/>
  <c r="N187" i="38" s="1"/>
  <c r="G152" i="38"/>
  <c r="N152" i="38" s="1"/>
  <c r="G357" i="38"/>
  <c r="N357" i="38" s="1"/>
  <c r="N123" i="38"/>
  <c r="N124" i="38"/>
  <c r="H221" i="38"/>
  <c r="G222" i="38"/>
  <c r="D222" i="38"/>
  <c r="D221" i="38" s="1"/>
  <c r="D220" i="38" s="1"/>
  <c r="G344" i="38"/>
  <c r="N344" i="38" s="1"/>
  <c r="J221" i="38"/>
  <c r="J220" i="38" s="1"/>
  <c r="E9" i="38"/>
  <c r="N125" i="38"/>
  <c r="K10" i="38"/>
  <c r="K9" i="38" s="1"/>
  <c r="G469" i="38"/>
  <c r="N469" i="38" s="1"/>
  <c r="H468" i="38"/>
  <c r="G164" i="38"/>
  <c r="N164" i="38" s="1"/>
  <c r="H163" i="38"/>
  <c r="D225" i="38"/>
  <c r="F226" i="38"/>
  <c r="G396" i="38"/>
  <c r="N396" i="38" s="1"/>
  <c r="L221" i="38"/>
  <c r="L220" i="38" s="1"/>
  <c r="H134" i="38"/>
  <c r="G134" i="38" s="1"/>
  <c r="N134" i="38" s="1"/>
  <c r="I221" i="38"/>
  <c r="I220" i="38" s="1"/>
  <c r="N97" i="38"/>
  <c r="L539" i="38"/>
  <c r="M538" i="38"/>
  <c r="J532" i="38"/>
  <c r="J211" i="38"/>
  <c r="F223" i="38"/>
  <c r="N224" i="38"/>
  <c r="N221" i="37"/>
  <c r="N220" i="37" s="1"/>
  <c r="N219" i="37" s="1"/>
  <c r="N541" i="37" s="1"/>
  <c r="F248" i="37"/>
  <c r="G74" i="37"/>
  <c r="I7" i="37"/>
  <c r="G361" i="37"/>
  <c r="E434" i="37"/>
  <c r="F133" i="37"/>
  <c r="L7" i="37"/>
  <c r="L434" i="37"/>
  <c r="G474" i="37"/>
  <c r="Q7" i="37"/>
  <c r="J133" i="37"/>
  <c r="L220" i="37"/>
  <c r="G115" i="37"/>
  <c r="F86" i="37"/>
  <c r="Q133" i="37"/>
  <c r="O434" i="37"/>
  <c r="G60" i="37"/>
  <c r="G314" i="37"/>
  <c r="F134" i="37"/>
  <c r="E7" i="37"/>
  <c r="G394" i="37"/>
  <c r="G186" i="37"/>
  <c r="G413" i="37"/>
  <c r="O220" i="37"/>
  <c r="Q162" i="37"/>
  <c r="E133" i="37"/>
  <c r="G515" i="37"/>
  <c r="G141" i="37"/>
  <c r="G458" i="37"/>
  <c r="G333" i="37"/>
  <c r="L133" i="37"/>
  <c r="L6" i="37" s="1"/>
  <c r="L210" i="37" s="1"/>
  <c r="G435" i="37"/>
  <c r="G221" i="37"/>
  <c r="N7" i="37"/>
  <c r="N6" i="37" s="1"/>
  <c r="N162" i="37"/>
  <c r="K220" i="37"/>
  <c r="K219" i="37" s="1"/>
  <c r="K541" i="37" s="1"/>
  <c r="G374" i="37"/>
  <c r="J7" i="37"/>
  <c r="J434" i="37"/>
  <c r="G151" i="37"/>
  <c r="O133" i="37"/>
  <c r="O6" i="37" s="1"/>
  <c r="O210" i="37" s="1"/>
  <c r="P220" i="37"/>
  <c r="P219" i="37" s="1"/>
  <c r="P541" i="37" s="1"/>
  <c r="G8" i="37"/>
  <c r="E220" i="37"/>
  <c r="G86" i="37"/>
  <c r="K6" i="37"/>
  <c r="K210" i="37" s="1"/>
  <c r="J162" i="37"/>
  <c r="Q220" i="37"/>
  <c r="J220" i="37"/>
  <c r="M122" i="37"/>
  <c r="G486" i="37"/>
  <c r="I485" i="37"/>
  <c r="G485" i="37" s="1"/>
  <c r="G163" i="37"/>
  <c r="I133" i="37"/>
  <c r="H6" i="37"/>
  <c r="H210" i="37" s="1"/>
  <c r="I220" i="37"/>
  <c r="I219" i="37" s="1"/>
  <c r="M293" i="37"/>
  <c r="F312" i="35"/>
  <c r="F275" i="35"/>
  <c r="M546" i="35"/>
  <c r="P546" i="35" s="1"/>
  <c r="M294" i="35"/>
  <c r="F294" i="35"/>
  <c r="F123" i="35"/>
  <c r="G124" i="35"/>
  <c r="G123" i="35" s="1"/>
  <c r="G122" i="35" s="1"/>
  <c r="G120" i="35" s="1"/>
  <c r="F124" i="35"/>
  <c r="G8" i="35"/>
  <c r="O7" i="35"/>
  <c r="G86" i="35"/>
  <c r="O220" i="35"/>
  <c r="O219" i="35" s="1"/>
  <c r="O541" i="35" s="1"/>
  <c r="Q220" i="35"/>
  <c r="F262" i="35"/>
  <c r="G374" i="35"/>
  <c r="H541" i="35"/>
  <c r="J6" i="35"/>
  <c r="M7" i="35"/>
  <c r="M6" i="35" s="1"/>
  <c r="M210" i="35" s="1"/>
  <c r="G134" i="35"/>
  <c r="Q162" i="35"/>
  <c r="K220" i="35"/>
  <c r="K219" i="35" s="1"/>
  <c r="K541" i="35" s="1"/>
  <c r="G333" i="35"/>
  <c r="N434" i="35"/>
  <c r="N219" i="35" s="1"/>
  <c r="N541" i="35" s="1"/>
  <c r="F441" i="35"/>
  <c r="F435" i="35" s="1"/>
  <c r="F434" i="35" s="1"/>
  <c r="G17" i="35"/>
  <c r="I134" i="35"/>
  <c r="F251" i="35"/>
  <c r="F248" i="35" s="1"/>
  <c r="M300" i="35"/>
  <c r="F300" i="35" s="1"/>
  <c r="F305" i="35"/>
  <c r="F303" i="35" s="1"/>
  <c r="I314" i="35"/>
  <c r="G314" i="35" s="1"/>
  <c r="I394" i="35"/>
  <c r="G394" i="35" s="1"/>
  <c r="J458" i="35"/>
  <c r="G458" i="35" s="1"/>
  <c r="M549" i="35"/>
  <c r="I115" i="35"/>
  <c r="G115" i="35" s="1"/>
  <c r="K122" i="35"/>
  <c r="K7" i="35" s="1"/>
  <c r="K6" i="35" s="1"/>
  <c r="K210" i="35" s="1"/>
  <c r="H133" i="35"/>
  <c r="F133" i="35" s="1"/>
  <c r="I141" i="35"/>
  <c r="G141" i="35" s="1"/>
  <c r="I151" i="35"/>
  <c r="G151" i="35" s="1"/>
  <c r="J163" i="35"/>
  <c r="J186" i="35"/>
  <c r="G186" i="35" s="1"/>
  <c r="P248" i="35"/>
  <c r="P247" i="35" s="1"/>
  <c r="P220" i="35" s="1"/>
  <c r="P219" i="35" s="1"/>
  <c r="P541" i="35" s="1"/>
  <c r="G264" i="35"/>
  <c r="G262" i="35" s="1"/>
  <c r="G282" i="35"/>
  <c r="G275" i="35" s="1"/>
  <c r="G285" i="35"/>
  <c r="G283" i="35" s="1"/>
  <c r="I486" i="35"/>
  <c r="Q74" i="35"/>
  <c r="M283" i="35"/>
  <c r="H418" i="34"/>
  <c r="H417" i="34" s="1"/>
  <c r="G424" i="34"/>
  <c r="N401" i="34"/>
  <c r="N405" i="34"/>
  <c r="G322" i="34"/>
  <c r="N322" i="34" s="1"/>
  <c r="G317" i="34"/>
  <c r="N317" i="34" s="1"/>
  <c r="N294" i="34"/>
  <c r="N285" i="34"/>
  <c r="G284" i="34"/>
  <c r="G276" i="34"/>
  <c r="N276" i="34" s="1"/>
  <c r="G263" i="34"/>
  <c r="G257" i="34"/>
  <c r="N257" i="34" s="1"/>
  <c r="G242" i="34"/>
  <c r="N242" i="34" s="1"/>
  <c r="M222" i="34"/>
  <c r="G225" i="34"/>
  <c r="M135" i="34"/>
  <c r="M134" i="34" s="1"/>
  <c r="G138" i="34"/>
  <c r="N138" i="34" s="1"/>
  <c r="N139" i="34"/>
  <c r="M89" i="34"/>
  <c r="M10" i="34" s="1"/>
  <c r="G97" i="34"/>
  <c r="N97" i="34" s="1"/>
  <c r="N98" i="34"/>
  <c r="M418" i="34"/>
  <c r="M417" i="34" s="1"/>
  <c r="M396" i="34"/>
  <c r="G404" i="34"/>
  <c r="N404" i="34" s="1"/>
  <c r="G400" i="34"/>
  <c r="N400" i="34" s="1"/>
  <c r="G396" i="34"/>
  <c r="N396" i="34" s="1"/>
  <c r="G374" i="34"/>
  <c r="N374" i="34" s="1"/>
  <c r="N296" i="34"/>
  <c r="M248" i="34"/>
  <c r="G287" i="34"/>
  <c r="L248" i="34"/>
  <c r="N283" i="34"/>
  <c r="N281" i="34"/>
  <c r="N275" i="34"/>
  <c r="N267" i="34"/>
  <c r="K248" i="34"/>
  <c r="G249" i="34"/>
  <c r="N249" i="34" s="1"/>
  <c r="N252" i="34"/>
  <c r="N227" i="34"/>
  <c r="G231" i="34"/>
  <c r="N231" i="34" s="1"/>
  <c r="G240" i="34"/>
  <c r="N240" i="34" s="1"/>
  <c r="G223" i="34"/>
  <c r="N223" i="34" s="1"/>
  <c r="K222" i="34"/>
  <c r="L222" i="34"/>
  <c r="N427" i="34"/>
  <c r="E418" i="34"/>
  <c r="E417" i="34" s="1"/>
  <c r="F295" i="34"/>
  <c r="F287" i="34" s="1"/>
  <c r="E248" i="34"/>
  <c r="E221" i="34" s="1"/>
  <c r="N253" i="34"/>
  <c r="E10" i="34"/>
  <c r="E9" i="34" s="1"/>
  <c r="G29" i="34"/>
  <c r="N29" i="34" s="1"/>
  <c r="G35" i="34"/>
  <c r="N35" i="34" s="1"/>
  <c r="E539" i="34"/>
  <c r="J468" i="34"/>
  <c r="J537" i="34" s="1"/>
  <c r="J539" i="34" s="1"/>
  <c r="K539" i="34"/>
  <c r="G124" i="34"/>
  <c r="N124" i="34" s="1"/>
  <c r="J123" i="34"/>
  <c r="G123" i="34" s="1"/>
  <c r="N123" i="34" s="1"/>
  <c r="G78" i="34"/>
  <c r="N78" i="34" s="1"/>
  <c r="J77" i="34"/>
  <c r="G102" i="34"/>
  <c r="N102" i="34" s="1"/>
  <c r="H89" i="34"/>
  <c r="K11" i="34"/>
  <c r="K10" i="34" s="1"/>
  <c r="G20" i="34"/>
  <c r="N20" i="34" s="1"/>
  <c r="G42" i="34"/>
  <c r="N42" i="34" s="1"/>
  <c r="J135" i="34"/>
  <c r="J134" i="34" s="1"/>
  <c r="G149" i="34"/>
  <c r="N149" i="34" s="1"/>
  <c r="D11" i="34"/>
  <c r="G64" i="34"/>
  <c r="N64" i="34" s="1"/>
  <c r="L89" i="34"/>
  <c r="L10" i="34" s="1"/>
  <c r="L9" i="34" s="1"/>
  <c r="N110" i="34"/>
  <c r="N113" i="34"/>
  <c r="N114" i="34"/>
  <c r="G128" i="34"/>
  <c r="N128" i="34" s="1"/>
  <c r="N133" i="34"/>
  <c r="F134" i="34"/>
  <c r="G140" i="34"/>
  <c r="N140" i="34" s="1"/>
  <c r="G142" i="34"/>
  <c r="N142" i="34" s="1"/>
  <c r="G152" i="34"/>
  <c r="N152" i="34" s="1"/>
  <c r="H134" i="34"/>
  <c r="G316" i="34"/>
  <c r="N316" i="34" s="1"/>
  <c r="G22" i="34"/>
  <c r="N22" i="34" s="1"/>
  <c r="H11" i="34"/>
  <c r="G90" i="34"/>
  <c r="N90" i="34" s="1"/>
  <c r="J89" i="34"/>
  <c r="G119" i="34"/>
  <c r="N119" i="34" s="1"/>
  <c r="J118" i="34"/>
  <c r="G118" i="34" s="1"/>
  <c r="N118" i="34" s="1"/>
  <c r="G344" i="34"/>
  <c r="N344" i="34" s="1"/>
  <c r="L539" i="34"/>
  <c r="H222" i="34"/>
  <c r="F263" i="34"/>
  <c r="F284" i="34"/>
  <c r="G348" i="34"/>
  <c r="N348" i="34" s="1"/>
  <c r="G362" i="34"/>
  <c r="N362" i="34" s="1"/>
  <c r="G397" i="34"/>
  <c r="N397" i="34" s="1"/>
  <c r="I418" i="34"/>
  <c r="F419" i="34"/>
  <c r="N419" i="34" s="1"/>
  <c r="F430" i="34"/>
  <c r="N430" i="34" s="1"/>
  <c r="G439" i="34"/>
  <c r="N439" i="34" s="1"/>
  <c r="I441" i="34"/>
  <c r="G441" i="34" s="1"/>
  <c r="N441" i="34" s="1"/>
  <c r="H469" i="34"/>
  <c r="D124" i="34"/>
  <c r="D123" i="34" s="1"/>
  <c r="G164" i="34"/>
  <c r="N164" i="34" s="1"/>
  <c r="G188" i="34"/>
  <c r="N188" i="34" s="1"/>
  <c r="G298" i="34"/>
  <c r="N298" i="34" s="1"/>
  <c r="I357" i="34"/>
  <c r="I221" i="34" s="1"/>
  <c r="G378" i="34"/>
  <c r="N378" i="34" s="1"/>
  <c r="G455" i="34"/>
  <c r="N455" i="34" s="1"/>
  <c r="M296" i="33"/>
  <c r="F296" i="33" s="1"/>
  <c r="G540" i="33"/>
  <c r="Q539" i="33"/>
  <c r="O539" i="33"/>
  <c r="N539" i="33"/>
  <c r="L539" i="33"/>
  <c r="J539" i="33"/>
  <c r="I539" i="33"/>
  <c r="G539" i="33" s="1"/>
  <c r="E539" i="33"/>
  <c r="G538" i="33"/>
  <c r="G537" i="33"/>
  <c r="G536" i="33"/>
  <c r="G535" i="33"/>
  <c r="G534" i="33"/>
  <c r="G533" i="33"/>
  <c r="G532" i="33"/>
  <c r="G531" i="33"/>
  <c r="Q530" i="33"/>
  <c r="Q515" i="33" s="1"/>
  <c r="O530" i="33"/>
  <c r="N530" i="33"/>
  <c r="N515" i="33" s="1"/>
  <c r="L530" i="33"/>
  <c r="J530" i="33"/>
  <c r="I530" i="33"/>
  <c r="E530" i="33"/>
  <c r="G529" i="33"/>
  <c r="G528" i="33"/>
  <c r="G527" i="33"/>
  <c r="G526" i="33"/>
  <c r="G525" i="33"/>
  <c r="G524" i="33"/>
  <c r="G523" i="33"/>
  <c r="G522" i="33"/>
  <c r="G517" i="33"/>
  <c r="Q516" i="33"/>
  <c r="O516" i="33"/>
  <c r="N516" i="33"/>
  <c r="L516" i="33"/>
  <c r="G516" i="33" s="1"/>
  <c r="J516" i="33"/>
  <c r="I516" i="33"/>
  <c r="E516" i="33"/>
  <c r="E515" i="33" s="1"/>
  <c r="O515" i="33"/>
  <c r="G514" i="33"/>
  <c r="Q513" i="33"/>
  <c r="O513" i="33"/>
  <c r="G513" i="33" s="1"/>
  <c r="N513" i="33"/>
  <c r="L513" i="33"/>
  <c r="J513" i="33"/>
  <c r="I513" i="33"/>
  <c r="E513" i="33"/>
  <c r="G512" i="33"/>
  <c r="Q511" i="33"/>
  <c r="O511" i="33"/>
  <c r="N511" i="33"/>
  <c r="L511" i="33"/>
  <c r="J511" i="33"/>
  <c r="J486" i="33" s="1"/>
  <c r="I511" i="33"/>
  <c r="E511" i="33"/>
  <c r="G510" i="33"/>
  <c r="Q509" i="33"/>
  <c r="O509" i="33"/>
  <c r="N509" i="33"/>
  <c r="L509" i="33"/>
  <c r="J509" i="33"/>
  <c r="I509" i="33"/>
  <c r="E509" i="33"/>
  <c r="G508" i="33"/>
  <c r="G507" i="33"/>
  <c r="G506" i="33"/>
  <c r="G505" i="33"/>
  <c r="G504" i="33"/>
  <c r="G503" i="33"/>
  <c r="G502" i="33"/>
  <c r="Q501" i="33"/>
  <c r="O501" i="33"/>
  <c r="N501" i="33"/>
  <c r="L501" i="33"/>
  <c r="J501" i="33"/>
  <c r="I501" i="33"/>
  <c r="E501" i="33"/>
  <c r="G500" i="33"/>
  <c r="G499" i="33"/>
  <c r="G498" i="33"/>
  <c r="G497" i="33"/>
  <c r="G496" i="33"/>
  <c r="G495" i="33"/>
  <c r="G490" i="33"/>
  <c r="G489" i="33"/>
  <c r="G488" i="33"/>
  <c r="Q487" i="33"/>
  <c r="O487" i="33"/>
  <c r="N487" i="33"/>
  <c r="L487" i="33"/>
  <c r="L486" i="33" s="1"/>
  <c r="J487" i="33"/>
  <c r="I487" i="33"/>
  <c r="E487" i="33"/>
  <c r="E486" i="33" s="1"/>
  <c r="Q486" i="33"/>
  <c r="G484" i="33"/>
  <c r="Q483" i="33"/>
  <c r="Q482" i="33" s="1"/>
  <c r="O483" i="33"/>
  <c r="O482" i="33" s="1"/>
  <c r="N483" i="33"/>
  <c r="L483" i="33"/>
  <c r="L482" i="33" s="1"/>
  <c r="J483" i="33"/>
  <c r="I483" i="33"/>
  <c r="I482" i="33" s="1"/>
  <c r="E483" i="33"/>
  <c r="E482" i="33" s="1"/>
  <c r="N482" i="33"/>
  <c r="J482" i="33"/>
  <c r="G481" i="33"/>
  <c r="G480" i="33"/>
  <c r="Q479" i="33"/>
  <c r="O479" i="33"/>
  <c r="O474" i="33" s="1"/>
  <c r="N479" i="33"/>
  <c r="L479" i="33"/>
  <c r="J479" i="33"/>
  <c r="I479" i="33"/>
  <c r="E479" i="33"/>
  <c r="G478" i="33"/>
  <c r="Q477" i="33"/>
  <c r="O477" i="33"/>
  <c r="N477" i="33"/>
  <c r="L477" i="33"/>
  <c r="J477" i="33"/>
  <c r="I477" i="33"/>
  <c r="E477" i="33"/>
  <c r="G476" i="33"/>
  <c r="Q475" i="33"/>
  <c r="O475" i="33"/>
  <c r="N475" i="33"/>
  <c r="N474" i="33" s="1"/>
  <c r="L475" i="33"/>
  <c r="J475" i="33"/>
  <c r="I475" i="33"/>
  <c r="G475" i="33" s="1"/>
  <c r="E475" i="33"/>
  <c r="E474" i="33" s="1"/>
  <c r="L474" i="33"/>
  <c r="G473" i="33"/>
  <c r="Q472" i="33"/>
  <c r="O472" i="33"/>
  <c r="N472" i="33"/>
  <c r="N471" i="33" s="1"/>
  <c r="L472" i="33"/>
  <c r="L471" i="33" s="1"/>
  <c r="J472" i="33"/>
  <c r="I472" i="33"/>
  <c r="E472" i="33"/>
  <c r="Q471" i="33"/>
  <c r="O471" i="33"/>
  <c r="J471" i="33"/>
  <c r="E471" i="33"/>
  <c r="G470" i="33"/>
  <c r="Q469" i="33"/>
  <c r="O469" i="33"/>
  <c r="N469" i="33"/>
  <c r="L469" i="33"/>
  <c r="J469" i="33"/>
  <c r="I469" i="33"/>
  <c r="G469" i="33" s="1"/>
  <c r="E469" i="33"/>
  <c r="G468" i="33"/>
  <c r="G467" i="33"/>
  <c r="G462" i="33"/>
  <c r="Q461" i="33"/>
  <c r="Q458" i="33" s="1"/>
  <c r="O461" i="33"/>
  <c r="N461" i="33"/>
  <c r="L461" i="33"/>
  <c r="J461" i="33"/>
  <c r="I461" i="33"/>
  <c r="I458" i="33" s="1"/>
  <c r="E461" i="33"/>
  <c r="G460" i="33"/>
  <c r="Q459" i="33"/>
  <c r="O459" i="33"/>
  <c r="N459" i="33"/>
  <c r="L459" i="33"/>
  <c r="L458" i="33" s="1"/>
  <c r="J459" i="33"/>
  <c r="I459" i="33"/>
  <c r="E459" i="33"/>
  <c r="E458" i="33" s="1"/>
  <c r="O458" i="33"/>
  <c r="J458" i="33"/>
  <c r="G457" i="33"/>
  <c r="F457" i="33"/>
  <c r="Q456" i="33"/>
  <c r="P456" i="33"/>
  <c r="O456" i="33"/>
  <c r="N456" i="33"/>
  <c r="M456" i="33"/>
  <c r="L456" i="33"/>
  <c r="K456" i="33"/>
  <c r="J456" i="33"/>
  <c r="I456" i="33"/>
  <c r="H456" i="33"/>
  <c r="G456" i="33"/>
  <c r="F456" i="33"/>
  <c r="E456" i="33"/>
  <c r="G455" i="33"/>
  <c r="Q454" i="33"/>
  <c r="O454" i="33"/>
  <c r="N454" i="33"/>
  <c r="L454" i="33"/>
  <c r="J454" i="33"/>
  <c r="I454" i="33"/>
  <c r="G454" i="33" s="1"/>
  <c r="E454" i="33"/>
  <c r="G453" i="33"/>
  <c r="Q452" i="33"/>
  <c r="O452" i="33"/>
  <c r="N452" i="33"/>
  <c r="L452" i="33"/>
  <c r="J452" i="33"/>
  <c r="I452" i="33"/>
  <c r="E452" i="33"/>
  <c r="G451" i="33"/>
  <c r="G450" i="33"/>
  <c r="G449" i="33"/>
  <c r="G448" i="33"/>
  <c r="G447" i="33"/>
  <c r="F447" i="33"/>
  <c r="G446" i="33"/>
  <c r="G445" i="33"/>
  <c r="T444" i="33"/>
  <c r="P444" i="33"/>
  <c r="G444" i="33" s="1"/>
  <c r="F444" i="33"/>
  <c r="F443" i="33"/>
  <c r="G442" i="33"/>
  <c r="Q441" i="33"/>
  <c r="P441" i="33"/>
  <c r="P435" i="33" s="1"/>
  <c r="P434" i="33" s="1"/>
  <c r="O441" i="33"/>
  <c r="N441" i="33"/>
  <c r="M441" i="33"/>
  <c r="L441" i="33"/>
  <c r="K441" i="33"/>
  <c r="J441" i="33"/>
  <c r="I441" i="33"/>
  <c r="H441" i="33"/>
  <c r="E441" i="33"/>
  <c r="G440" i="33"/>
  <c r="G439" i="33"/>
  <c r="F439" i="33"/>
  <c r="F436" i="33" s="1"/>
  <c r="G438" i="33"/>
  <c r="G437" i="33"/>
  <c r="Q436" i="33"/>
  <c r="P436" i="33"/>
  <c r="O436" i="33"/>
  <c r="O435" i="33" s="1"/>
  <c r="N436" i="33"/>
  <c r="N435" i="33" s="1"/>
  <c r="M436" i="33"/>
  <c r="L436" i="33"/>
  <c r="K436" i="33"/>
  <c r="J436" i="33"/>
  <c r="J435" i="33" s="1"/>
  <c r="I436" i="33"/>
  <c r="H436" i="33"/>
  <c r="E436" i="33"/>
  <c r="K435" i="33"/>
  <c r="K434" i="33" s="1"/>
  <c r="G433" i="33"/>
  <c r="Q432" i="33"/>
  <c r="O432" i="33"/>
  <c r="N432" i="33"/>
  <c r="L432" i="33"/>
  <c r="J432" i="33"/>
  <c r="I432" i="33"/>
  <c r="E432" i="33"/>
  <c r="G427" i="33"/>
  <c r="Q426" i="33"/>
  <c r="O426" i="33"/>
  <c r="N426" i="33"/>
  <c r="L426" i="33"/>
  <c r="J426" i="33"/>
  <c r="I426" i="33"/>
  <c r="E426" i="33"/>
  <c r="G425" i="33"/>
  <c r="G424" i="33"/>
  <c r="Q423" i="33"/>
  <c r="O423" i="33"/>
  <c r="N423" i="33"/>
  <c r="L423" i="33"/>
  <c r="J423" i="33"/>
  <c r="I423" i="33"/>
  <c r="E423" i="33"/>
  <c r="G422" i="33"/>
  <c r="F422" i="33"/>
  <c r="Q421" i="33"/>
  <c r="P421" i="33"/>
  <c r="O421" i="33"/>
  <c r="N421" i="33"/>
  <c r="M421" i="33"/>
  <c r="L421" i="33"/>
  <c r="K421" i="33"/>
  <c r="K413" i="33" s="1"/>
  <c r="J421" i="33"/>
  <c r="I421" i="33"/>
  <c r="H421" i="33"/>
  <c r="G421" i="33"/>
  <c r="F421" i="33"/>
  <c r="E421" i="33"/>
  <c r="G420" i="33"/>
  <c r="F420" i="33"/>
  <c r="G419" i="33"/>
  <c r="F419" i="33"/>
  <c r="G418" i="33"/>
  <c r="F418" i="33"/>
  <c r="F417" i="33" s="1"/>
  <c r="F413" i="33" s="1"/>
  <c r="Q417" i="33"/>
  <c r="P417" i="33"/>
  <c r="O417" i="33"/>
  <c r="N417" i="33"/>
  <c r="M417" i="33"/>
  <c r="L417" i="33"/>
  <c r="K417" i="33"/>
  <c r="J417" i="33"/>
  <c r="I417" i="33"/>
  <c r="H417" i="33"/>
  <c r="E417" i="33"/>
  <c r="G416" i="33"/>
  <c r="F416" i="33"/>
  <c r="G415" i="33"/>
  <c r="G414" i="33" s="1"/>
  <c r="Q414" i="33"/>
  <c r="P414" i="33"/>
  <c r="P413" i="33" s="1"/>
  <c r="O414" i="33"/>
  <c r="N414" i="33"/>
  <c r="N413" i="33" s="1"/>
  <c r="M414" i="33"/>
  <c r="L414" i="33"/>
  <c r="K414" i="33"/>
  <c r="J414" i="33"/>
  <c r="J413" i="33" s="1"/>
  <c r="I414" i="33"/>
  <c r="I413" i="33" s="1"/>
  <c r="H414" i="33"/>
  <c r="H413" i="33" s="1"/>
  <c r="F414" i="33"/>
  <c r="E414" i="33"/>
  <c r="O413" i="33"/>
  <c r="G412" i="33"/>
  <c r="G411" i="33"/>
  <c r="G410" i="33"/>
  <c r="G409" i="33"/>
  <c r="G408" i="33"/>
  <c r="G407" i="33"/>
  <c r="G406" i="33"/>
  <c r="G405" i="33"/>
  <c r="G404" i="33"/>
  <c r="Q399" i="33"/>
  <c r="O399" i="33"/>
  <c r="N399" i="33"/>
  <c r="L399" i="33"/>
  <c r="J399" i="33"/>
  <c r="J394" i="33" s="1"/>
  <c r="I399" i="33"/>
  <c r="E399" i="33"/>
  <c r="G398" i="33"/>
  <c r="G397" i="33"/>
  <c r="G396" i="33"/>
  <c r="Q395" i="33"/>
  <c r="O395" i="33"/>
  <c r="O394" i="33" s="1"/>
  <c r="N395" i="33"/>
  <c r="L395" i="33"/>
  <c r="J395" i="33"/>
  <c r="I395" i="33"/>
  <c r="G395" i="33"/>
  <c r="E395" i="33"/>
  <c r="E394" i="33" s="1"/>
  <c r="N394" i="33"/>
  <c r="L394" i="33"/>
  <c r="I394" i="33"/>
  <c r="G393" i="33"/>
  <c r="G391" i="33" s="1"/>
  <c r="G392" i="33"/>
  <c r="F392" i="33"/>
  <c r="Q391" i="33"/>
  <c r="P391" i="33"/>
  <c r="O391" i="33"/>
  <c r="N391" i="33"/>
  <c r="M391" i="33"/>
  <c r="L391" i="33"/>
  <c r="K391" i="33"/>
  <c r="J391" i="33"/>
  <c r="I391" i="33"/>
  <c r="H391" i="33"/>
  <c r="H374" i="33" s="1"/>
  <c r="F391" i="33"/>
  <c r="F374" i="33" s="1"/>
  <c r="E391" i="33"/>
  <c r="G390" i="33"/>
  <c r="G389" i="33"/>
  <c r="Q388" i="33"/>
  <c r="O388" i="33"/>
  <c r="N388" i="33"/>
  <c r="L388" i="33"/>
  <c r="J388" i="33"/>
  <c r="G388" i="33" s="1"/>
  <c r="I388" i="33"/>
  <c r="E388" i="33"/>
  <c r="G387" i="33"/>
  <c r="G386" i="33"/>
  <c r="Q385" i="33"/>
  <c r="O385" i="33"/>
  <c r="N385" i="33"/>
  <c r="L385" i="33"/>
  <c r="J385" i="33"/>
  <c r="I385" i="33"/>
  <c r="G385" i="33" s="1"/>
  <c r="E385" i="33"/>
  <c r="G384" i="33"/>
  <c r="G383" i="33"/>
  <c r="Q382" i="33"/>
  <c r="O382" i="33"/>
  <c r="N382" i="33"/>
  <c r="L382" i="33"/>
  <c r="J382" i="33"/>
  <c r="G382" i="33" s="1"/>
  <c r="I382" i="33"/>
  <c r="E382" i="33"/>
  <c r="G381" i="33"/>
  <c r="G380" i="33"/>
  <c r="Q379" i="33"/>
  <c r="O379" i="33"/>
  <c r="O374" i="33" s="1"/>
  <c r="N379" i="33"/>
  <c r="L379" i="33"/>
  <c r="L374" i="33" s="1"/>
  <c r="J379" i="33"/>
  <c r="I379" i="33"/>
  <c r="G379" i="33" s="1"/>
  <c r="E379" i="33"/>
  <c r="P374" i="33"/>
  <c r="M374" i="33"/>
  <c r="K374" i="33"/>
  <c r="G373" i="33"/>
  <c r="G372" i="33"/>
  <c r="Q371" i="33"/>
  <c r="O371" i="33"/>
  <c r="N371" i="33"/>
  <c r="L371" i="33"/>
  <c r="G371" i="33" s="1"/>
  <c r="J371" i="33"/>
  <c r="I371" i="33"/>
  <c r="E371" i="33"/>
  <c r="G370" i="33"/>
  <c r="G369" i="33"/>
  <c r="Q368" i="33"/>
  <c r="O368" i="33"/>
  <c r="N368" i="33"/>
  <c r="L368" i="33"/>
  <c r="J368" i="33"/>
  <c r="I368" i="33"/>
  <c r="G368" i="33" s="1"/>
  <c r="E368" i="33"/>
  <c r="G367" i="33"/>
  <c r="G366" i="33"/>
  <c r="Q365" i="33"/>
  <c r="O365" i="33"/>
  <c r="N365" i="33"/>
  <c r="N361" i="33" s="1"/>
  <c r="L365" i="33"/>
  <c r="J365" i="33"/>
  <c r="I365" i="33"/>
  <c r="E365" i="33"/>
  <c r="G364" i="33"/>
  <c r="G363" i="33"/>
  <c r="Q362" i="33"/>
  <c r="Q361" i="33" s="1"/>
  <c r="O362" i="33"/>
  <c r="O361" i="33" s="1"/>
  <c r="N362" i="33"/>
  <c r="L362" i="33"/>
  <c r="J362" i="33"/>
  <c r="J361" i="33" s="1"/>
  <c r="I362" i="33"/>
  <c r="G362" i="33" s="1"/>
  <c r="E362" i="33"/>
  <c r="I361" i="33"/>
  <c r="G360" i="33"/>
  <c r="G359" i="33"/>
  <c r="G358" i="33"/>
  <c r="Q357" i="33"/>
  <c r="O357" i="33"/>
  <c r="N357" i="33"/>
  <c r="L357" i="33"/>
  <c r="G357" i="33" s="1"/>
  <c r="J357" i="33"/>
  <c r="I357" i="33"/>
  <c r="E357" i="33"/>
  <c r="G356" i="33"/>
  <c r="Q355" i="33"/>
  <c r="Q333" i="33" s="1"/>
  <c r="O355" i="33"/>
  <c r="N355" i="33"/>
  <c r="N333" i="33" s="1"/>
  <c r="L355" i="33"/>
  <c r="J355" i="33"/>
  <c r="I355" i="33"/>
  <c r="E355" i="33"/>
  <c r="G354" i="33"/>
  <c r="G353" i="33"/>
  <c r="G348" i="33"/>
  <c r="G347" i="33"/>
  <c r="G346" i="33"/>
  <c r="G345" i="33"/>
  <c r="Q344" i="33"/>
  <c r="O344" i="33"/>
  <c r="N344" i="33"/>
  <c r="L344" i="33"/>
  <c r="J344" i="33"/>
  <c r="I344" i="33"/>
  <c r="G344" i="33" s="1"/>
  <c r="E344" i="33"/>
  <c r="G343" i="33"/>
  <c r="G342" i="33"/>
  <c r="G341" i="33"/>
  <c r="G340" i="33"/>
  <c r="G339" i="33"/>
  <c r="F339" i="33"/>
  <c r="F334" i="33" s="1"/>
  <c r="F333" i="33" s="1"/>
  <c r="G338" i="33"/>
  <c r="G337" i="33"/>
  <c r="G336" i="33"/>
  <c r="G335" i="33"/>
  <c r="Q334" i="33"/>
  <c r="P334" i="33"/>
  <c r="P333" i="33" s="1"/>
  <c r="O334" i="33"/>
  <c r="N334" i="33"/>
  <c r="M334" i="33"/>
  <c r="M333" i="33" s="1"/>
  <c r="L334" i="33"/>
  <c r="K334" i="33"/>
  <c r="K333" i="33" s="1"/>
  <c r="J334" i="33"/>
  <c r="I334" i="33"/>
  <c r="H334" i="33"/>
  <c r="H333" i="33" s="1"/>
  <c r="E334" i="33"/>
  <c r="E333" i="33" s="1"/>
  <c r="J333" i="33"/>
  <c r="G332" i="33"/>
  <c r="Q331" i="33"/>
  <c r="O331" i="33"/>
  <c r="N331" i="33"/>
  <c r="L331" i="33"/>
  <c r="J331" i="33"/>
  <c r="I331" i="33"/>
  <c r="G331" i="33" s="1"/>
  <c r="E331" i="33"/>
  <c r="G330" i="33"/>
  <c r="G329" i="33"/>
  <c r="G328" i="33"/>
  <c r="Q327" i="33"/>
  <c r="O327" i="33"/>
  <c r="O314" i="33" s="1"/>
  <c r="N327" i="33"/>
  <c r="L327" i="33"/>
  <c r="J327" i="33"/>
  <c r="I327" i="33"/>
  <c r="E327" i="33"/>
  <c r="G326" i="33"/>
  <c r="Q325" i="33"/>
  <c r="O325" i="33"/>
  <c r="N325" i="33"/>
  <c r="L325" i="33"/>
  <c r="J325" i="33"/>
  <c r="I325" i="33"/>
  <c r="G325" i="33" s="1"/>
  <c r="E325" i="33"/>
  <c r="G324" i="33"/>
  <c r="Q323" i="33"/>
  <c r="O323" i="33"/>
  <c r="N323" i="33"/>
  <c r="L323" i="33"/>
  <c r="J323" i="33"/>
  <c r="J314" i="33" s="1"/>
  <c r="I323" i="33"/>
  <c r="E323" i="33"/>
  <c r="G318" i="33"/>
  <c r="G317" i="33"/>
  <c r="G316" i="33"/>
  <c r="Q315" i="33"/>
  <c r="O315" i="33"/>
  <c r="N315" i="33"/>
  <c r="N314" i="33" s="1"/>
  <c r="L315" i="33"/>
  <c r="J315" i="33"/>
  <c r="I315" i="33"/>
  <c r="G315" i="33" s="1"/>
  <c r="E315" i="33"/>
  <c r="P313" i="33"/>
  <c r="M313" i="33"/>
  <c r="F313" i="33" s="1"/>
  <c r="N312" i="33"/>
  <c r="M312" i="33"/>
  <c r="F312" i="33" s="1"/>
  <c r="G311" i="33"/>
  <c r="F311" i="33"/>
  <c r="F310" i="33"/>
  <c r="F309" i="33"/>
  <c r="F308" i="33"/>
  <c r="F307" i="33"/>
  <c r="M306" i="33"/>
  <c r="F306" i="33" s="1"/>
  <c r="F305" i="33"/>
  <c r="F304" i="33"/>
  <c r="P302" i="33"/>
  <c r="F302" i="33"/>
  <c r="M301" i="33"/>
  <c r="F301" i="33" s="1"/>
  <c r="P300" i="33"/>
  <c r="P293" i="33" s="1"/>
  <c r="O300" i="33"/>
  <c r="O293" i="33" s="1"/>
  <c r="O286" i="33" s="1"/>
  <c r="N300" i="33"/>
  <c r="F299" i="33"/>
  <c r="F298" i="33"/>
  <c r="F297" i="33"/>
  <c r="M295" i="33"/>
  <c r="F295" i="33"/>
  <c r="N293" i="33"/>
  <c r="N286" i="33" s="1"/>
  <c r="G292" i="33"/>
  <c r="G291" i="33"/>
  <c r="G290" i="33"/>
  <c r="F290" i="33"/>
  <c r="P289" i="33"/>
  <c r="F289" i="33" s="1"/>
  <c r="G289" i="33"/>
  <c r="G288" i="33"/>
  <c r="P287" i="33"/>
  <c r="M287" i="33"/>
  <c r="Q286" i="33"/>
  <c r="L286" i="33"/>
  <c r="K286" i="33"/>
  <c r="J286" i="33"/>
  <c r="I286" i="33"/>
  <c r="H286" i="33"/>
  <c r="E286" i="33"/>
  <c r="G285" i="33"/>
  <c r="F285" i="33"/>
  <c r="M284" i="33"/>
  <c r="F284" i="33" s="1"/>
  <c r="Q283" i="33"/>
  <c r="P283" i="33"/>
  <c r="O283" i="33"/>
  <c r="N283" i="33"/>
  <c r="L283" i="33"/>
  <c r="K283" i="33"/>
  <c r="J283" i="33"/>
  <c r="I283" i="33"/>
  <c r="H283" i="33"/>
  <c r="E283" i="33"/>
  <c r="P282" i="33"/>
  <c r="P275" i="33" s="1"/>
  <c r="M282" i="33"/>
  <c r="F282" i="33"/>
  <c r="F281" i="33"/>
  <c r="G280" i="33"/>
  <c r="G279" i="33"/>
  <c r="G278" i="33"/>
  <c r="F278" i="33"/>
  <c r="G277" i="33"/>
  <c r="G276" i="33"/>
  <c r="Q275" i="33"/>
  <c r="O275" i="33"/>
  <c r="N275" i="33"/>
  <c r="L275" i="33"/>
  <c r="K275" i="33"/>
  <c r="J275" i="33"/>
  <c r="I275" i="33"/>
  <c r="H275" i="33"/>
  <c r="E275" i="33"/>
  <c r="F274" i="33"/>
  <c r="F269" i="33"/>
  <c r="F267" i="33"/>
  <c r="F266" i="33"/>
  <c r="P265" i="33"/>
  <c r="M265" i="33"/>
  <c r="F265" i="33" s="1"/>
  <c r="M264" i="33"/>
  <c r="G264" i="33" s="1"/>
  <c r="G262" i="33" s="1"/>
  <c r="G263" i="33"/>
  <c r="Q262" i="33"/>
  <c r="P262" i="33"/>
  <c r="O262" i="33"/>
  <c r="N262" i="33"/>
  <c r="L262" i="33"/>
  <c r="K262" i="33"/>
  <c r="J262" i="33"/>
  <c r="I262" i="33"/>
  <c r="I247" i="33" s="1"/>
  <c r="H262" i="33"/>
  <c r="E262" i="33"/>
  <c r="G261" i="33"/>
  <c r="G260" i="33"/>
  <c r="G259" i="33"/>
  <c r="G258" i="33"/>
  <c r="G257" i="33"/>
  <c r="F257" i="33"/>
  <c r="Q256" i="33"/>
  <c r="P256" i="33"/>
  <c r="O256" i="33"/>
  <c r="N256" i="33"/>
  <c r="M256" i="33"/>
  <c r="L256" i="33"/>
  <c r="K256" i="33"/>
  <c r="J256" i="33"/>
  <c r="I256" i="33"/>
  <c r="H256" i="33"/>
  <c r="H247" i="33" s="1"/>
  <c r="F256" i="33"/>
  <c r="E256" i="33"/>
  <c r="G255" i="33"/>
  <c r="G254" i="33"/>
  <c r="G253" i="33"/>
  <c r="F253" i="33"/>
  <c r="G252" i="33"/>
  <c r="F252" i="33"/>
  <c r="M251" i="33"/>
  <c r="G250" i="33"/>
  <c r="F250" i="33"/>
  <c r="G249" i="33"/>
  <c r="F249" i="33"/>
  <c r="Q248" i="33"/>
  <c r="P248" i="33"/>
  <c r="O248" i="33"/>
  <c r="N248" i="33"/>
  <c r="L248" i="33"/>
  <c r="K248" i="33"/>
  <c r="J248" i="33"/>
  <c r="I248" i="33"/>
  <c r="H248" i="33"/>
  <c r="E248" i="33"/>
  <c r="E247" i="33" s="1"/>
  <c r="Q247" i="33"/>
  <c r="L247" i="33"/>
  <c r="G246" i="33"/>
  <c r="Q245" i="33"/>
  <c r="O245" i="33"/>
  <c r="N245" i="33"/>
  <c r="L245" i="33"/>
  <c r="J245" i="33"/>
  <c r="I245" i="33"/>
  <c r="G245" i="33"/>
  <c r="E245" i="33"/>
  <c r="G244" i="33"/>
  <c r="Q243" i="33"/>
  <c r="O243" i="33"/>
  <c r="N243" i="33"/>
  <c r="L243" i="33"/>
  <c r="J243" i="33"/>
  <c r="I243" i="33"/>
  <c r="E243" i="33"/>
  <c r="G242" i="33"/>
  <c r="F242" i="33"/>
  <c r="Q241" i="33"/>
  <c r="Q221" i="33" s="1"/>
  <c r="P241" i="33"/>
  <c r="O241" i="33"/>
  <c r="N241" i="33"/>
  <c r="M241" i="33"/>
  <c r="L241" i="33"/>
  <c r="K241" i="33"/>
  <c r="J241" i="33"/>
  <c r="I241" i="33"/>
  <c r="H241" i="33"/>
  <c r="G241" i="33"/>
  <c r="F241" i="33"/>
  <c r="E241" i="33"/>
  <c r="G240" i="33"/>
  <c r="F240" i="33"/>
  <c r="Q239" i="33"/>
  <c r="P239" i="33"/>
  <c r="O239" i="33"/>
  <c r="N239" i="33"/>
  <c r="M239" i="33"/>
  <c r="L239" i="33"/>
  <c r="K239" i="33"/>
  <c r="J239" i="33"/>
  <c r="I239" i="33"/>
  <c r="H239" i="33"/>
  <c r="G239" i="33"/>
  <c r="F239" i="33"/>
  <c r="E239" i="33"/>
  <c r="G238" i="33"/>
  <c r="F238" i="33"/>
  <c r="G233" i="33"/>
  <c r="G230" i="33" s="1"/>
  <c r="F233" i="33"/>
  <c r="F230" i="33" s="1"/>
  <c r="G232" i="33"/>
  <c r="G231" i="33"/>
  <c r="Q230" i="33"/>
  <c r="P230" i="33"/>
  <c r="O230" i="33"/>
  <c r="N230" i="33"/>
  <c r="M230" i="33"/>
  <c r="L230" i="33"/>
  <c r="K230" i="33"/>
  <c r="J230" i="33"/>
  <c r="I230" i="33"/>
  <c r="H230" i="33"/>
  <c r="E230" i="33"/>
  <c r="G229" i="33"/>
  <c r="Q228" i="33"/>
  <c r="O228" i="33"/>
  <c r="N228" i="33"/>
  <c r="L228" i="33"/>
  <c r="J228" i="33"/>
  <c r="I228" i="33"/>
  <c r="E228" i="33"/>
  <c r="G227" i="33"/>
  <c r="N226" i="33"/>
  <c r="G226" i="33" s="1"/>
  <c r="F226" i="33"/>
  <c r="E226" i="33"/>
  <c r="N225" i="33"/>
  <c r="G225" i="33"/>
  <c r="F225" i="33"/>
  <c r="F224" i="33" s="1"/>
  <c r="E225" i="33"/>
  <c r="E224" i="33" s="1"/>
  <c r="Q224" i="33"/>
  <c r="P224" i="33"/>
  <c r="O224" i="33"/>
  <c r="M224" i="33"/>
  <c r="M221" i="33" s="1"/>
  <c r="L224" i="33"/>
  <c r="K224" i="33"/>
  <c r="J224" i="33"/>
  <c r="I224" i="33"/>
  <c r="H224" i="33"/>
  <c r="R223" i="33"/>
  <c r="N223" i="33"/>
  <c r="N222" i="33" s="1"/>
  <c r="G223" i="33"/>
  <c r="G222" i="33" s="1"/>
  <c r="F223" i="33"/>
  <c r="E223" i="33"/>
  <c r="E222" i="33" s="1"/>
  <c r="Q222" i="33"/>
  <c r="P222" i="33"/>
  <c r="O222" i="33"/>
  <c r="M222" i="33"/>
  <c r="L222" i="33"/>
  <c r="L221" i="33" s="1"/>
  <c r="K222" i="33"/>
  <c r="J222" i="33"/>
  <c r="J221" i="33" s="1"/>
  <c r="I222" i="33"/>
  <c r="I221" i="33" s="1"/>
  <c r="H222" i="33"/>
  <c r="F222" i="33"/>
  <c r="G209" i="33"/>
  <c r="G208" i="33"/>
  <c r="G207" i="33"/>
  <c r="G202" i="33"/>
  <c r="G201" i="33"/>
  <c r="G200" i="33"/>
  <c r="G199" i="33"/>
  <c r="G198" i="33"/>
  <c r="Q197" i="33"/>
  <c r="O197" i="33"/>
  <c r="N197" i="33"/>
  <c r="L197" i="33"/>
  <c r="J197" i="33"/>
  <c r="I197" i="33"/>
  <c r="G197" i="33" s="1"/>
  <c r="E197" i="33"/>
  <c r="G196" i="33"/>
  <c r="G195" i="33"/>
  <c r="G194" i="33"/>
  <c r="G193" i="33"/>
  <c r="G192" i="33"/>
  <c r="G191" i="33"/>
  <c r="G190" i="33"/>
  <c r="G189" i="33"/>
  <c r="G188" i="33"/>
  <c r="Q187" i="33"/>
  <c r="Q186" i="33" s="1"/>
  <c r="O187" i="33"/>
  <c r="O186" i="33" s="1"/>
  <c r="O162" i="33" s="1"/>
  <c r="N187" i="33"/>
  <c r="L187" i="33"/>
  <c r="L186" i="33" s="1"/>
  <c r="J187" i="33"/>
  <c r="J186" i="33" s="1"/>
  <c r="I187" i="33"/>
  <c r="E187" i="33"/>
  <c r="E186" i="33"/>
  <c r="G185" i="33"/>
  <c r="G180" i="33"/>
  <c r="G179" i="33"/>
  <c r="G178" i="33"/>
  <c r="G177" i="33"/>
  <c r="G176" i="33"/>
  <c r="G175" i="33"/>
  <c r="Q174" i="33"/>
  <c r="O174" i="33"/>
  <c r="N174" i="33"/>
  <c r="L174" i="33"/>
  <c r="J174" i="33"/>
  <c r="I174" i="33"/>
  <c r="G174" i="33" s="1"/>
  <c r="E174" i="33"/>
  <c r="G173" i="33"/>
  <c r="G172" i="33"/>
  <c r="G171" i="33"/>
  <c r="G170" i="33"/>
  <c r="G169" i="33"/>
  <c r="G168" i="33"/>
  <c r="G167" i="33"/>
  <c r="G166" i="33"/>
  <c r="G165" i="33"/>
  <c r="Q164" i="33"/>
  <c r="Q163" i="33" s="1"/>
  <c r="O164" i="33"/>
  <c r="N164" i="33"/>
  <c r="L164" i="33"/>
  <c r="J164" i="33"/>
  <c r="J163" i="33" s="1"/>
  <c r="I164" i="33"/>
  <c r="E164" i="33"/>
  <c r="E163" i="33" s="1"/>
  <c r="E162" i="33" s="1"/>
  <c r="O163" i="33"/>
  <c r="L163" i="33"/>
  <c r="L162" i="33" s="1"/>
  <c r="I163" i="33"/>
  <c r="G161" i="33"/>
  <c r="Q160" i="33"/>
  <c r="O160" i="33"/>
  <c r="N160" i="33"/>
  <c r="L160" i="33"/>
  <c r="J160" i="33"/>
  <c r="I160" i="33"/>
  <c r="E160" i="33"/>
  <c r="G159" i="33"/>
  <c r="Q154" i="33"/>
  <c r="O154" i="33"/>
  <c r="N154" i="33"/>
  <c r="L154" i="33"/>
  <c r="J154" i="33"/>
  <c r="I154" i="33"/>
  <c r="G154" i="33" s="1"/>
  <c r="E154" i="33"/>
  <c r="E151" i="33" s="1"/>
  <c r="G153" i="33"/>
  <c r="Q152" i="33"/>
  <c r="O152" i="33"/>
  <c r="O151" i="33" s="1"/>
  <c r="N152" i="33"/>
  <c r="N151" i="33" s="1"/>
  <c r="L152" i="33"/>
  <c r="J152" i="33"/>
  <c r="I152" i="33"/>
  <c r="G152" i="33" s="1"/>
  <c r="E152" i="33"/>
  <c r="I151" i="33"/>
  <c r="G150" i="33"/>
  <c r="Q149" i="33"/>
  <c r="O149" i="33"/>
  <c r="O148" i="33" s="1"/>
  <c r="N149" i="33"/>
  <c r="L149" i="33"/>
  <c r="J149" i="33"/>
  <c r="I149" i="33"/>
  <c r="G149" i="33" s="1"/>
  <c r="E149" i="33"/>
  <c r="Q148" i="33"/>
  <c r="N148" i="33"/>
  <c r="L148" i="33"/>
  <c r="J148" i="33"/>
  <c r="E148" i="33"/>
  <c r="G147" i="33"/>
  <c r="Q146" i="33"/>
  <c r="Q141" i="33" s="1"/>
  <c r="O146" i="33"/>
  <c r="N146" i="33"/>
  <c r="L146" i="33"/>
  <c r="J146" i="33"/>
  <c r="I146" i="33"/>
  <c r="E146" i="33"/>
  <c r="G145" i="33"/>
  <c r="Q144" i="33"/>
  <c r="O144" i="33"/>
  <c r="N144" i="33"/>
  <c r="L144" i="33"/>
  <c r="J144" i="33"/>
  <c r="I144" i="33"/>
  <c r="G144" i="33"/>
  <c r="E144" i="33"/>
  <c r="G143" i="33"/>
  <c r="Q142" i="33"/>
  <c r="O142" i="33"/>
  <c r="N142" i="33"/>
  <c r="N141" i="33" s="1"/>
  <c r="L142" i="33"/>
  <c r="J142" i="33"/>
  <c r="I142" i="33"/>
  <c r="I141" i="33" s="1"/>
  <c r="E142" i="33"/>
  <c r="O141" i="33"/>
  <c r="G140" i="33"/>
  <c r="Q139" i="33"/>
  <c r="O139" i="33"/>
  <c r="N139" i="33"/>
  <c r="L139" i="33"/>
  <c r="J139" i="33"/>
  <c r="I139" i="33"/>
  <c r="E139" i="33"/>
  <c r="G138" i="33"/>
  <c r="F138" i="33"/>
  <c r="Q137" i="33"/>
  <c r="P137" i="33"/>
  <c r="O137" i="33"/>
  <c r="N137" i="33"/>
  <c r="M137" i="33"/>
  <c r="L137" i="33"/>
  <c r="K137" i="33"/>
  <c r="K134" i="33" s="1"/>
  <c r="J137" i="33"/>
  <c r="I137" i="33"/>
  <c r="H137" i="33"/>
  <c r="G137" i="33"/>
  <c r="E137" i="33"/>
  <c r="G136" i="33"/>
  <c r="F136" i="33"/>
  <c r="Q135" i="33"/>
  <c r="O135" i="33"/>
  <c r="N135" i="33"/>
  <c r="N134" i="33" s="1"/>
  <c r="L135" i="33"/>
  <c r="J135" i="33"/>
  <c r="I135" i="33"/>
  <c r="F135" i="33"/>
  <c r="E135" i="33"/>
  <c r="E134" i="33" s="1"/>
  <c r="P134" i="33"/>
  <c r="O134" i="33"/>
  <c r="M134" i="33"/>
  <c r="J134" i="33"/>
  <c r="H134" i="33"/>
  <c r="H133" i="33" s="1"/>
  <c r="P133" i="33"/>
  <c r="M133" i="33"/>
  <c r="G132" i="33"/>
  <c r="G127" i="33" s="1"/>
  <c r="G126" i="33" s="1"/>
  <c r="F132" i="33"/>
  <c r="F131" i="33"/>
  <c r="F130" i="33"/>
  <c r="F129" i="33"/>
  <c r="F128" i="33"/>
  <c r="Q127" i="33"/>
  <c r="P127" i="33"/>
  <c r="O127" i="33"/>
  <c r="O126" i="33" s="1"/>
  <c r="N127" i="33"/>
  <c r="N126" i="33" s="1"/>
  <c r="M127" i="33"/>
  <c r="L127" i="33"/>
  <c r="L126" i="33" s="1"/>
  <c r="K127" i="33"/>
  <c r="J127" i="33"/>
  <c r="J126" i="33" s="1"/>
  <c r="I127" i="33"/>
  <c r="I126" i="33" s="1"/>
  <c r="H127" i="33"/>
  <c r="E127" i="33"/>
  <c r="Q126" i="33"/>
  <c r="P126" i="33"/>
  <c r="M126" i="33"/>
  <c r="H126" i="33"/>
  <c r="E126" i="33"/>
  <c r="G125" i="33"/>
  <c r="F125" i="33"/>
  <c r="G124" i="33"/>
  <c r="F124" i="33"/>
  <c r="Q123" i="33"/>
  <c r="P123" i="33"/>
  <c r="P122" i="33" s="1"/>
  <c r="O123" i="33"/>
  <c r="O122" i="33" s="1"/>
  <c r="N123" i="33"/>
  <c r="M123" i="33"/>
  <c r="M122" i="33" s="1"/>
  <c r="L123" i="33"/>
  <c r="L122" i="33" s="1"/>
  <c r="L120" i="33" s="1"/>
  <c r="K123" i="33"/>
  <c r="K122" i="33" s="1"/>
  <c r="K120" i="33" s="1"/>
  <c r="J123" i="33"/>
  <c r="J122" i="33" s="1"/>
  <c r="J120" i="33" s="1"/>
  <c r="I123" i="33"/>
  <c r="I122" i="33" s="1"/>
  <c r="I120" i="33" s="1"/>
  <c r="H123" i="33"/>
  <c r="E123" i="33"/>
  <c r="E122" i="33" s="1"/>
  <c r="E120" i="33" s="1"/>
  <c r="Q122" i="33"/>
  <c r="N122" i="33"/>
  <c r="F121" i="33"/>
  <c r="P120" i="33"/>
  <c r="G119" i="33"/>
  <c r="F119" i="33"/>
  <c r="Q118" i="33"/>
  <c r="O118" i="33"/>
  <c r="N118" i="33"/>
  <c r="L118" i="33"/>
  <c r="J118" i="33"/>
  <c r="I118" i="33"/>
  <c r="G118" i="33" s="1"/>
  <c r="F118" i="33"/>
  <c r="E118" i="33"/>
  <c r="G117" i="33"/>
  <c r="F117" i="33"/>
  <c r="Q116" i="33"/>
  <c r="Q115" i="33" s="1"/>
  <c r="O116" i="33"/>
  <c r="N116" i="33"/>
  <c r="N115" i="33" s="1"/>
  <c r="L116" i="33"/>
  <c r="J116" i="33"/>
  <c r="I116" i="33"/>
  <c r="I115" i="33" s="1"/>
  <c r="F116" i="33"/>
  <c r="E116" i="33"/>
  <c r="E115" i="33" s="1"/>
  <c r="O115" i="33"/>
  <c r="L115" i="33"/>
  <c r="F115" i="33"/>
  <c r="G114" i="33"/>
  <c r="F114" i="33"/>
  <c r="Q113" i="33"/>
  <c r="O113" i="33"/>
  <c r="N113" i="33"/>
  <c r="L113" i="33"/>
  <c r="J113" i="33"/>
  <c r="I113" i="33"/>
  <c r="F113" i="33"/>
  <c r="E113" i="33"/>
  <c r="G112" i="33"/>
  <c r="G110" i="33" s="1"/>
  <c r="F112" i="33"/>
  <c r="G111" i="33"/>
  <c r="F111" i="33"/>
  <c r="Q110" i="33"/>
  <c r="P110" i="33"/>
  <c r="O110" i="33"/>
  <c r="O86" i="33" s="1"/>
  <c r="N110" i="33"/>
  <c r="M110" i="33"/>
  <c r="L110" i="33"/>
  <c r="K110" i="33"/>
  <c r="J110" i="33"/>
  <c r="I110" i="33"/>
  <c r="H110" i="33"/>
  <c r="E110" i="33"/>
  <c r="G109" i="33"/>
  <c r="F109" i="33"/>
  <c r="G108" i="33"/>
  <c r="F108" i="33"/>
  <c r="G107" i="33"/>
  <c r="F107" i="33"/>
  <c r="G106" i="33"/>
  <c r="F106" i="33"/>
  <c r="G105" i="33"/>
  <c r="F105" i="33"/>
  <c r="G104" i="33"/>
  <c r="F104" i="33"/>
  <c r="F103" i="33"/>
  <c r="F102" i="33"/>
  <c r="F101" i="33"/>
  <c r="F100" i="33"/>
  <c r="Q99" i="33"/>
  <c r="O99" i="33"/>
  <c r="N99" i="33"/>
  <c r="L99" i="33"/>
  <c r="J99" i="33"/>
  <c r="I99" i="33"/>
  <c r="G99" i="33" s="1"/>
  <c r="F99" i="33"/>
  <c r="E99" i="33"/>
  <c r="G98" i="33"/>
  <c r="F98" i="33"/>
  <c r="G97" i="33"/>
  <c r="F97" i="33"/>
  <c r="G96" i="33"/>
  <c r="F96" i="33"/>
  <c r="G95" i="33"/>
  <c r="F95" i="33"/>
  <c r="Q94" i="33"/>
  <c r="P94" i="33"/>
  <c r="P86" i="33" s="1"/>
  <c r="O94" i="33"/>
  <c r="N94" i="33"/>
  <c r="M94" i="33"/>
  <c r="L94" i="33"/>
  <c r="K94" i="33"/>
  <c r="K86" i="33" s="1"/>
  <c r="J94" i="33"/>
  <c r="I94" i="33"/>
  <c r="H94" i="33"/>
  <c r="E94" i="33"/>
  <c r="G93" i="33"/>
  <c r="F93" i="33"/>
  <c r="G92" i="33"/>
  <c r="F92" i="33"/>
  <c r="G91" i="33"/>
  <c r="F91" i="33"/>
  <c r="G90" i="33"/>
  <c r="G89" i="33"/>
  <c r="G88" i="33"/>
  <c r="Q87" i="33"/>
  <c r="P87" i="33"/>
  <c r="O87" i="33"/>
  <c r="N87" i="33"/>
  <c r="M87" i="33"/>
  <c r="L87" i="33"/>
  <c r="L86" i="33" s="1"/>
  <c r="K87" i="33"/>
  <c r="J87" i="33"/>
  <c r="I87" i="33"/>
  <c r="H87" i="33"/>
  <c r="G87" i="33"/>
  <c r="F87" i="33"/>
  <c r="E87" i="33"/>
  <c r="H86" i="33"/>
  <c r="G85" i="33"/>
  <c r="G84" i="33"/>
  <c r="Q83" i="33"/>
  <c r="O83" i="33"/>
  <c r="N83" i="33"/>
  <c r="L83" i="33"/>
  <c r="J83" i="33"/>
  <c r="I83" i="33"/>
  <c r="E83" i="33"/>
  <c r="G82" i="33"/>
  <c r="G81" i="33"/>
  <c r="G80" i="33"/>
  <c r="G79" i="33"/>
  <c r="Q78" i="33"/>
  <c r="O78" i="33"/>
  <c r="N78" i="33"/>
  <c r="N74" i="33" s="1"/>
  <c r="L78" i="33"/>
  <c r="L74" i="33" s="1"/>
  <c r="J78" i="33"/>
  <c r="I78" i="33"/>
  <c r="E78" i="33"/>
  <c r="E74" i="33" s="1"/>
  <c r="G77" i="33"/>
  <c r="G76" i="33"/>
  <c r="Q75" i="33"/>
  <c r="O75" i="33"/>
  <c r="O74" i="33" s="1"/>
  <c r="N75" i="33"/>
  <c r="L75" i="33"/>
  <c r="J75" i="33"/>
  <c r="J74" i="33" s="1"/>
  <c r="I75" i="33"/>
  <c r="I74" i="33" s="1"/>
  <c r="G74" i="33" s="1"/>
  <c r="E75" i="33"/>
  <c r="Q74" i="33"/>
  <c r="G69" i="33"/>
  <c r="G68" i="33"/>
  <c r="G67" i="33"/>
  <c r="Q66" i="33"/>
  <c r="O66" i="33"/>
  <c r="N66" i="33"/>
  <c r="L66" i="33"/>
  <c r="J66" i="33"/>
  <c r="I66" i="33"/>
  <c r="E66" i="33"/>
  <c r="G65" i="33"/>
  <c r="G64" i="33"/>
  <c r="G63" i="33"/>
  <c r="G62" i="33"/>
  <c r="Q61" i="33"/>
  <c r="O61" i="33"/>
  <c r="N61" i="33"/>
  <c r="L61" i="33"/>
  <c r="L60" i="33" s="1"/>
  <c r="J61" i="33"/>
  <c r="I61" i="33"/>
  <c r="E61" i="33"/>
  <c r="Q60" i="33"/>
  <c r="O60" i="33"/>
  <c r="J60" i="33"/>
  <c r="E60" i="33"/>
  <c r="G59" i="33"/>
  <c r="G58" i="33"/>
  <c r="G57" i="33"/>
  <c r="G56" i="33"/>
  <c r="G55" i="33"/>
  <c r="G54" i="33"/>
  <c r="Q53" i="33"/>
  <c r="O53" i="33"/>
  <c r="N53" i="33"/>
  <c r="L53" i="33"/>
  <c r="J53" i="33"/>
  <c r="I53" i="33"/>
  <c r="G53" i="33" s="1"/>
  <c r="E53" i="33"/>
  <c r="G52" i="33"/>
  <c r="G51" i="33"/>
  <c r="G50" i="33"/>
  <c r="G49" i="33"/>
  <c r="G48" i="33"/>
  <c r="G47" i="33"/>
  <c r="Q42" i="33"/>
  <c r="O42" i="33"/>
  <c r="N42" i="33"/>
  <c r="L42" i="33"/>
  <c r="J42" i="33"/>
  <c r="I42" i="33"/>
  <c r="E42" i="33"/>
  <c r="G41" i="33"/>
  <c r="G40" i="33"/>
  <c r="Q39" i="33"/>
  <c r="O39" i="33"/>
  <c r="N39" i="33"/>
  <c r="L39" i="33"/>
  <c r="J39" i="33"/>
  <c r="I39" i="33"/>
  <c r="E39" i="33"/>
  <c r="G38" i="33"/>
  <c r="G37" i="33"/>
  <c r="G36" i="33"/>
  <c r="G35" i="33"/>
  <c r="G34" i="33"/>
  <c r="G33" i="33"/>
  <c r="Q32" i="33"/>
  <c r="O32" i="33"/>
  <c r="N32" i="33"/>
  <c r="L32" i="33"/>
  <c r="J32" i="33"/>
  <c r="I32" i="33"/>
  <c r="G32" i="33"/>
  <c r="E32" i="33"/>
  <c r="G31" i="33"/>
  <c r="G30" i="33"/>
  <c r="G29" i="33"/>
  <c r="G28" i="33"/>
  <c r="G27" i="33"/>
  <c r="Q26" i="33"/>
  <c r="O26" i="33"/>
  <c r="N26" i="33"/>
  <c r="L26" i="33"/>
  <c r="J26" i="33"/>
  <c r="I26" i="33"/>
  <c r="G26" i="33" s="1"/>
  <c r="E26" i="33"/>
  <c r="G25" i="33"/>
  <c r="G24" i="33"/>
  <c r="G23" i="33"/>
  <c r="G22" i="33"/>
  <c r="G21" i="33"/>
  <c r="G20" i="33"/>
  <c r="Q19" i="33"/>
  <c r="O19" i="33"/>
  <c r="N19" i="33"/>
  <c r="L19" i="33"/>
  <c r="J19" i="33"/>
  <c r="I19" i="33"/>
  <c r="E19" i="33"/>
  <c r="G18" i="33"/>
  <c r="Q17" i="33"/>
  <c r="O17" i="33"/>
  <c r="N17" i="33"/>
  <c r="G17" i="33" s="1"/>
  <c r="L17" i="33"/>
  <c r="J17" i="33"/>
  <c r="I17" i="33"/>
  <c r="E17" i="33"/>
  <c r="G16" i="33"/>
  <c r="G15" i="33"/>
  <c r="G10" i="33"/>
  <c r="Q9" i="33"/>
  <c r="O9" i="33"/>
  <c r="N9" i="33"/>
  <c r="L9" i="33"/>
  <c r="G9" i="33" s="1"/>
  <c r="J9" i="33"/>
  <c r="I9" i="33"/>
  <c r="E9" i="33"/>
  <c r="N8" i="33"/>
  <c r="P287" i="32"/>
  <c r="P313" i="32"/>
  <c r="M313" i="32"/>
  <c r="M284" i="32"/>
  <c r="F284" i="32" s="1"/>
  <c r="P282" i="32"/>
  <c r="G282" i="32" s="1"/>
  <c r="M282" i="32"/>
  <c r="M287" i="32"/>
  <c r="M285" i="32"/>
  <c r="F285" i="32" s="1"/>
  <c r="M251" i="32"/>
  <c r="F251" i="32" s="1"/>
  <c r="M312" i="32"/>
  <c r="P289" i="32"/>
  <c r="P444" i="32"/>
  <c r="G540" i="32"/>
  <c r="Q539" i="32"/>
  <c r="O539" i="32"/>
  <c r="N539" i="32"/>
  <c r="L539" i="32"/>
  <c r="J539" i="32"/>
  <c r="I539" i="32"/>
  <c r="E539" i="32"/>
  <c r="G538" i="32"/>
  <c r="G537" i="32"/>
  <c r="G536" i="32"/>
  <c r="G535" i="32"/>
  <c r="G534" i="32"/>
  <c r="G533" i="32"/>
  <c r="G532" i="32"/>
  <c r="G531" i="32"/>
  <c r="Q530" i="32"/>
  <c r="O530" i="32"/>
  <c r="N530" i="32"/>
  <c r="N515" i="32" s="1"/>
  <c r="L530" i="32"/>
  <c r="J530" i="32"/>
  <c r="I530" i="32"/>
  <c r="I515" i="32" s="1"/>
  <c r="E530" i="32"/>
  <c r="G529" i="32"/>
  <c r="G528" i="32"/>
  <c r="G527" i="32"/>
  <c r="G526" i="32"/>
  <c r="G525" i="32"/>
  <c r="G524" i="32"/>
  <c r="G523" i="32"/>
  <c r="G522" i="32"/>
  <c r="G517" i="32"/>
  <c r="Q516" i="32"/>
  <c r="O516" i="32"/>
  <c r="O515" i="32" s="1"/>
  <c r="N516" i="32"/>
  <c r="L516" i="32"/>
  <c r="J516" i="32"/>
  <c r="I516" i="32"/>
  <c r="E516" i="32"/>
  <c r="L515" i="32"/>
  <c r="E515" i="32"/>
  <c r="G514" i="32"/>
  <c r="Q513" i="32"/>
  <c r="O513" i="32"/>
  <c r="G513" i="32" s="1"/>
  <c r="N513" i="32"/>
  <c r="L513" i="32"/>
  <c r="J513" i="32"/>
  <c r="I513" i="32"/>
  <c r="E513" i="32"/>
  <c r="G512" i="32"/>
  <c r="Q511" i="32"/>
  <c r="O511" i="32"/>
  <c r="N511" i="32"/>
  <c r="L511" i="32"/>
  <c r="J511" i="32"/>
  <c r="J486" i="32" s="1"/>
  <c r="I511" i="32"/>
  <c r="E511" i="32"/>
  <c r="G510" i="32"/>
  <c r="Q509" i="32"/>
  <c r="O509" i="32"/>
  <c r="N509" i="32"/>
  <c r="L509" i="32"/>
  <c r="J509" i="32"/>
  <c r="I509" i="32"/>
  <c r="E509" i="32"/>
  <c r="G508" i="32"/>
  <c r="G507" i="32"/>
  <c r="G506" i="32"/>
  <c r="G505" i="32"/>
  <c r="G504" i="32"/>
  <c r="G503" i="32"/>
  <c r="G502" i="32"/>
  <c r="Q501" i="32"/>
  <c r="O501" i="32"/>
  <c r="N501" i="32"/>
  <c r="L501" i="32"/>
  <c r="J501" i="32"/>
  <c r="I501" i="32"/>
  <c r="E501" i="32"/>
  <c r="E486" i="32" s="1"/>
  <c r="E485" i="32" s="1"/>
  <c r="G500" i="32"/>
  <c r="G499" i="32"/>
  <c r="G498" i="32"/>
  <c r="G497" i="32"/>
  <c r="G496" i="32"/>
  <c r="G495" i="32"/>
  <c r="G490" i="32"/>
  <c r="G489" i="32"/>
  <c r="G488" i="32"/>
  <c r="Q487" i="32"/>
  <c r="Q486" i="32" s="1"/>
  <c r="O487" i="32"/>
  <c r="N487" i="32"/>
  <c r="N486" i="32" s="1"/>
  <c r="L487" i="32"/>
  <c r="J487" i="32"/>
  <c r="I487" i="32"/>
  <c r="E487" i="32"/>
  <c r="G484" i="32"/>
  <c r="Q483" i="32"/>
  <c r="Q482" i="32" s="1"/>
  <c r="O483" i="32"/>
  <c r="O482" i="32" s="1"/>
  <c r="N483" i="32"/>
  <c r="N482" i="32" s="1"/>
  <c r="L483" i="32"/>
  <c r="L482" i="32" s="1"/>
  <c r="J483" i="32"/>
  <c r="I483" i="32"/>
  <c r="E483" i="32"/>
  <c r="J482" i="32"/>
  <c r="I482" i="32"/>
  <c r="E482" i="32"/>
  <c r="G481" i="32"/>
  <c r="G480" i="32"/>
  <c r="Q479" i="32"/>
  <c r="O479" i="32"/>
  <c r="N479" i="32"/>
  <c r="L479" i="32"/>
  <c r="J479" i="32"/>
  <c r="I479" i="32"/>
  <c r="E479" i="32"/>
  <c r="G478" i="32"/>
  <c r="Q477" i="32"/>
  <c r="O477" i="32"/>
  <c r="N477" i="32"/>
  <c r="L477" i="32"/>
  <c r="G477" i="32" s="1"/>
  <c r="J477" i="32"/>
  <c r="I477" i="32"/>
  <c r="E477" i="32"/>
  <c r="G476" i="32"/>
  <c r="Q475" i="32"/>
  <c r="O475" i="32"/>
  <c r="N475" i="32"/>
  <c r="L475" i="32"/>
  <c r="J475" i="32"/>
  <c r="I475" i="32"/>
  <c r="G475" i="32" s="1"/>
  <c r="E475" i="32"/>
  <c r="E474" i="32" s="1"/>
  <c r="O474" i="32"/>
  <c r="G473" i="32"/>
  <c r="Q472" i="32"/>
  <c r="Q471" i="32" s="1"/>
  <c r="O472" i="32"/>
  <c r="O471" i="32" s="1"/>
  <c r="N472" i="32"/>
  <c r="N471" i="32" s="1"/>
  <c r="L472" i="32"/>
  <c r="J472" i="32"/>
  <c r="I472" i="32"/>
  <c r="G472" i="32"/>
  <c r="E472" i="32"/>
  <c r="L471" i="32"/>
  <c r="J471" i="32"/>
  <c r="I471" i="32"/>
  <c r="G471" i="32" s="1"/>
  <c r="E471" i="32"/>
  <c r="G470" i="32"/>
  <c r="Q469" i="32"/>
  <c r="O469" i="32"/>
  <c r="N469" i="32"/>
  <c r="L469" i="32"/>
  <c r="J469" i="32"/>
  <c r="I469" i="32"/>
  <c r="E469" i="32"/>
  <c r="G468" i="32"/>
  <c r="G467" i="32"/>
  <c r="G462" i="32"/>
  <c r="Q461" i="32"/>
  <c r="Q458" i="32" s="1"/>
  <c r="O461" i="32"/>
  <c r="N461" i="32"/>
  <c r="L461" i="32"/>
  <c r="L458" i="32" s="1"/>
  <c r="J461" i="32"/>
  <c r="I461" i="32"/>
  <c r="E461" i="32"/>
  <c r="G460" i="32"/>
  <c r="Q459" i="32"/>
  <c r="O459" i="32"/>
  <c r="N459" i="32"/>
  <c r="L459" i="32"/>
  <c r="J459" i="32"/>
  <c r="I459" i="32"/>
  <c r="I458" i="32" s="1"/>
  <c r="E459" i="32"/>
  <c r="E458" i="32" s="1"/>
  <c r="O458" i="32"/>
  <c r="G457" i="32"/>
  <c r="F457" i="32"/>
  <c r="Q456" i="32"/>
  <c r="P456" i="32"/>
  <c r="O456" i="32"/>
  <c r="N456" i="32"/>
  <c r="M456" i="32"/>
  <c r="L456" i="32"/>
  <c r="K456" i="32"/>
  <c r="J456" i="32"/>
  <c r="I456" i="32"/>
  <c r="H456" i="32"/>
  <c r="G456" i="32"/>
  <c r="F456" i="32"/>
  <c r="E456" i="32"/>
  <c r="G455" i="32"/>
  <c r="Q454" i="32"/>
  <c r="O454" i="32"/>
  <c r="N454" i="32"/>
  <c r="L454" i="32"/>
  <c r="J454" i="32"/>
  <c r="J435" i="32" s="1"/>
  <c r="I454" i="32"/>
  <c r="E454" i="32"/>
  <c r="G453" i="32"/>
  <c r="Q452" i="32"/>
  <c r="O452" i="32"/>
  <c r="N452" i="32"/>
  <c r="G452" i="32" s="1"/>
  <c r="L452" i="32"/>
  <c r="J452" i="32"/>
  <c r="I452" i="32"/>
  <c r="E452" i="32"/>
  <c r="G451" i="32"/>
  <c r="G450" i="32"/>
  <c r="G449" i="32"/>
  <c r="G448" i="32"/>
  <c r="G447" i="32"/>
  <c r="F447" i="32"/>
  <c r="G446" i="32"/>
  <c r="G445" i="32"/>
  <c r="T444" i="32"/>
  <c r="F444" i="32"/>
  <c r="G444" i="32"/>
  <c r="F443" i="32"/>
  <c r="G442" i="32"/>
  <c r="G441" i="32" s="1"/>
  <c r="Q441" i="32"/>
  <c r="P441" i="32"/>
  <c r="O441" i="32"/>
  <c r="N441" i="32"/>
  <c r="M441" i="32"/>
  <c r="L441" i="32"/>
  <c r="K441" i="32"/>
  <c r="J441" i="32"/>
  <c r="I441" i="32"/>
  <c r="H441" i="32"/>
  <c r="E441" i="32"/>
  <c r="G440" i="32"/>
  <c r="G439" i="32"/>
  <c r="F439" i="32"/>
  <c r="G438" i="32"/>
  <c r="G437" i="32"/>
  <c r="Q436" i="32"/>
  <c r="Q435" i="32" s="1"/>
  <c r="P436" i="32"/>
  <c r="O436" i="32"/>
  <c r="O435" i="32" s="1"/>
  <c r="N436" i="32"/>
  <c r="M436" i="32"/>
  <c r="M435" i="32" s="1"/>
  <c r="M434" i="32" s="1"/>
  <c r="L436" i="32"/>
  <c r="K436" i="32"/>
  <c r="J436" i="32"/>
  <c r="I436" i="32"/>
  <c r="I435" i="32" s="1"/>
  <c r="H436" i="32"/>
  <c r="H435" i="32" s="1"/>
  <c r="H434" i="32" s="1"/>
  <c r="G436" i="32"/>
  <c r="F436" i="32"/>
  <c r="E436" i="32"/>
  <c r="P435" i="32"/>
  <c r="P434" i="32" s="1"/>
  <c r="N435" i="32"/>
  <c r="L435" i="32"/>
  <c r="G433" i="32"/>
  <c r="Q432" i="32"/>
  <c r="O432" i="32"/>
  <c r="N432" i="32"/>
  <c r="L432" i="32"/>
  <c r="J432" i="32"/>
  <c r="I432" i="32"/>
  <c r="G432" i="32" s="1"/>
  <c r="E432" i="32"/>
  <c r="G427" i="32"/>
  <c r="Q426" i="32"/>
  <c r="O426" i="32"/>
  <c r="N426" i="32"/>
  <c r="L426" i="32"/>
  <c r="J426" i="32"/>
  <c r="I426" i="32"/>
  <c r="E426" i="32"/>
  <c r="G425" i="32"/>
  <c r="G424" i="32"/>
  <c r="Q423" i="32"/>
  <c r="O423" i="32"/>
  <c r="N423" i="32"/>
  <c r="L423" i="32"/>
  <c r="J423" i="32"/>
  <c r="I423" i="32"/>
  <c r="G423" i="32" s="1"/>
  <c r="E423" i="32"/>
  <c r="G422" i="32"/>
  <c r="F422" i="32"/>
  <c r="Q421" i="32"/>
  <c r="P421" i="32"/>
  <c r="O421" i="32"/>
  <c r="N421" i="32"/>
  <c r="M421" i="32"/>
  <c r="L421" i="32"/>
  <c r="K421" i="32"/>
  <c r="J421" i="32"/>
  <c r="I421" i="32"/>
  <c r="H421" i="32"/>
  <c r="G421" i="32"/>
  <c r="F421" i="32"/>
  <c r="E421" i="32"/>
  <c r="G420" i="32"/>
  <c r="F420" i="32"/>
  <c r="F417" i="32" s="1"/>
  <c r="G419" i="32"/>
  <c r="G417" i="32" s="1"/>
  <c r="F419" i="32"/>
  <c r="G418" i="32"/>
  <c r="F418" i="32"/>
  <c r="Q417" i="32"/>
  <c r="P417" i="32"/>
  <c r="P413" i="32" s="1"/>
  <c r="O417" i="32"/>
  <c r="N417" i="32"/>
  <c r="M417" i="32"/>
  <c r="L417" i="32"/>
  <c r="K417" i="32"/>
  <c r="J417" i="32"/>
  <c r="I417" i="32"/>
  <c r="H417" i="32"/>
  <c r="E417" i="32"/>
  <c r="G416" i="32"/>
  <c r="G414" i="32" s="1"/>
  <c r="F416" i="32"/>
  <c r="F414" i="32" s="1"/>
  <c r="G415" i="32"/>
  <c r="Q414" i="32"/>
  <c r="Q413" i="32" s="1"/>
  <c r="P414" i="32"/>
  <c r="O414" i="32"/>
  <c r="O413" i="32" s="1"/>
  <c r="N414" i="32"/>
  <c r="N413" i="32" s="1"/>
  <c r="M414" i="32"/>
  <c r="M413" i="32" s="1"/>
  <c r="L414" i="32"/>
  <c r="K414" i="32"/>
  <c r="K413" i="32" s="1"/>
  <c r="J414" i="32"/>
  <c r="I414" i="32"/>
  <c r="H414" i="32"/>
  <c r="H413" i="32" s="1"/>
  <c r="E414" i="32"/>
  <c r="E413" i="32" s="1"/>
  <c r="L413" i="32"/>
  <c r="J413" i="32"/>
  <c r="G412" i="32"/>
  <c r="G411" i="32"/>
  <c r="G410" i="32"/>
  <c r="G409" i="32"/>
  <c r="G408" i="32"/>
  <c r="G407" i="32"/>
  <c r="G406" i="32"/>
  <c r="G405" i="32"/>
  <c r="G404" i="32"/>
  <c r="Q399" i="32"/>
  <c r="O399" i="32"/>
  <c r="O394" i="32" s="1"/>
  <c r="N399" i="32"/>
  <c r="L399" i="32"/>
  <c r="J399" i="32"/>
  <c r="I399" i="32"/>
  <c r="E399" i="32"/>
  <c r="G398" i="32"/>
  <c r="G397" i="32"/>
  <c r="G396" i="32"/>
  <c r="Q395" i="32"/>
  <c r="Q394" i="32" s="1"/>
  <c r="O395" i="32"/>
  <c r="N395" i="32"/>
  <c r="N394" i="32" s="1"/>
  <c r="L395" i="32"/>
  <c r="J395" i="32"/>
  <c r="I395" i="32"/>
  <c r="E395" i="32"/>
  <c r="J394" i="32"/>
  <c r="G393" i="32"/>
  <c r="G392" i="32"/>
  <c r="F392" i="32"/>
  <c r="Q391" i="32"/>
  <c r="P391" i="32"/>
  <c r="P374" i="32" s="1"/>
  <c r="O391" i="32"/>
  <c r="N391" i="32"/>
  <c r="M391" i="32"/>
  <c r="L391" i="32"/>
  <c r="K391" i="32"/>
  <c r="J391" i="32"/>
  <c r="I391" i="32"/>
  <c r="I374" i="32" s="1"/>
  <c r="H391" i="32"/>
  <c r="H374" i="32" s="1"/>
  <c r="F391" i="32"/>
  <c r="F374" i="32" s="1"/>
  <c r="E391" i="32"/>
  <c r="G390" i="32"/>
  <c r="G389" i="32"/>
  <c r="Q388" i="32"/>
  <c r="O388" i="32"/>
  <c r="N388" i="32"/>
  <c r="L388" i="32"/>
  <c r="J388" i="32"/>
  <c r="G388" i="32" s="1"/>
  <c r="I388" i="32"/>
  <c r="E388" i="32"/>
  <c r="G387" i="32"/>
  <c r="G386" i="32"/>
  <c r="Q385" i="32"/>
  <c r="O385" i="32"/>
  <c r="N385" i="32"/>
  <c r="L385" i="32"/>
  <c r="J385" i="32"/>
  <c r="I385" i="32"/>
  <c r="G385" i="32" s="1"/>
  <c r="E385" i="32"/>
  <c r="G384" i="32"/>
  <c r="G383" i="32"/>
  <c r="Q382" i="32"/>
  <c r="O382" i="32"/>
  <c r="O374" i="32" s="1"/>
  <c r="N382" i="32"/>
  <c r="L382" i="32"/>
  <c r="J382" i="32"/>
  <c r="G382" i="32" s="1"/>
  <c r="I382" i="32"/>
  <c r="E382" i="32"/>
  <c r="G381" i="32"/>
  <c r="G380" i="32"/>
  <c r="Q379" i="32"/>
  <c r="O379" i="32"/>
  <c r="N379" i="32"/>
  <c r="N374" i="32" s="1"/>
  <c r="L379" i="32"/>
  <c r="J379" i="32"/>
  <c r="J374" i="32" s="1"/>
  <c r="I379" i="32"/>
  <c r="G379" i="32" s="1"/>
  <c r="E379" i="32"/>
  <c r="Q374" i="32"/>
  <c r="M374" i="32"/>
  <c r="K374" i="32"/>
  <c r="G373" i="32"/>
  <c r="G372" i="32"/>
  <c r="Q371" i="32"/>
  <c r="O371" i="32"/>
  <c r="N371" i="32"/>
  <c r="L371" i="32"/>
  <c r="J371" i="32"/>
  <c r="I371" i="32"/>
  <c r="E371" i="32"/>
  <c r="G370" i="32"/>
  <c r="G369" i="32"/>
  <c r="Q368" i="32"/>
  <c r="O368" i="32"/>
  <c r="N368" i="32"/>
  <c r="L368" i="32"/>
  <c r="L361" i="32" s="1"/>
  <c r="J368" i="32"/>
  <c r="I368" i="32"/>
  <c r="E368" i="32"/>
  <c r="G367" i="32"/>
  <c r="G366" i="32"/>
  <c r="Q365" i="32"/>
  <c r="O365" i="32"/>
  <c r="N365" i="32"/>
  <c r="L365" i="32"/>
  <c r="J365" i="32"/>
  <c r="J361" i="32" s="1"/>
  <c r="I365" i="32"/>
  <c r="E365" i="32"/>
  <c r="E361" i="32" s="1"/>
  <c r="G364" i="32"/>
  <c r="G363" i="32"/>
  <c r="Q362" i="32"/>
  <c r="O362" i="32"/>
  <c r="N362" i="32"/>
  <c r="L362" i="32"/>
  <c r="J362" i="32"/>
  <c r="I362" i="32"/>
  <c r="E362" i="32"/>
  <c r="Q361" i="32"/>
  <c r="N361" i="32"/>
  <c r="I361" i="32"/>
  <c r="G360" i="32"/>
  <c r="G359" i="32"/>
  <c r="G358" i="32"/>
  <c r="Q357" i="32"/>
  <c r="O357" i="32"/>
  <c r="N357" i="32"/>
  <c r="L357" i="32"/>
  <c r="J357" i="32"/>
  <c r="I357" i="32"/>
  <c r="E357" i="32"/>
  <c r="G356" i="32"/>
  <c r="Q355" i="32"/>
  <c r="O355" i="32"/>
  <c r="N355" i="32"/>
  <c r="L355" i="32"/>
  <c r="J355" i="32"/>
  <c r="I355" i="32"/>
  <c r="E355" i="32"/>
  <c r="E333" i="32" s="1"/>
  <c r="G354" i="32"/>
  <c r="G353" i="32"/>
  <c r="G348" i="32"/>
  <c r="G347" i="32"/>
  <c r="G346" i="32"/>
  <c r="G345" i="32"/>
  <c r="Q344" i="32"/>
  <c r="O344" i="32"/>
  <c r="N344" i="32"/>
  <c r="L344" i="32"/>
  <c r="J344" i="32"/>
  <c r="I344" i="32"/>
  <c r="G344" i="32" s="1"/>
  <c r="E344" i="32"/>
  <c r="G343" i="32"/>
  <c r="G342" i="32"/>
  <c r="G341" i="32"/>
  <c r="G340" i="32"/>
  <c r="G339" i="32"/>
  <c r="F339" i="32"/>
  <c r="G338" i="32"/>
  <c r="G337" i="32"/>
  <c r="G336" i="32"/>
  <c r="G335" i="32"/>
  <c r="Q334" i="32"/>
  <c r="P334" i="32"/>
  <c r="P333" i="32" s="1"/>
  <c r="O334" i="32"/>
  <c r="O333" i="32" s="1"/>
  <c r="N334" i="32"/>
  <c r="M334" i="32"/>
  <c r="L334" i="32"/>
  <c r="L333" i="32" s="1"/>
  <c r="K334" i="32"/>
  <c r="K333" i="32" s="1"/>
  <c r="J334" i="32"/>
  <c r="J333" i="32" s="1"/>
  <c r="I334" i="32"/>
  <c r="H334" i="32"/>
  <c r="H333" i="32" s="1"/>
  <c r="F334" i="32"/>
  <c r="F333" i="32" s="1"/>
  <c r="E334" i="32"/>
  <c r="Q333" i="32"/>
  <c r="M333" i="32"/>
  <c r="G332" i="32"/>
  <c r="Q331" i="32"/>
  <c r="O331" i="32"/>
  <c r="N331" i="32"/>
  <c r="L331" i="32"/>
  <c r="J331" i="32"/>
  <c r="I331" i="32"/>
  <c r="G331" i="32" s="1"/>
  <c r="E331" i="32"/>
  <c r="G330" i="32"/>
  <c r="G329" i="32"/>
  <c r="G328" i="32"/>
  <c r="Q327" i="32"/>
  <c r="O327" i="32"/>
  <c r="N327" i="32"/>
  <c r="L327" i="32"/>
  <c r="J327" i="32"/>
  <c r="I327" i="32"/>
  <c r="E327" i="32"/>
  <c r="G326" i="32"/>
  <c r="Q325" i="32"/>
  <c r="O325" i="32"/>
  <c r="N325" i="32"/>
  <c r="L325" i="32"/>
  <c r="J325" i="32"/>
  <c r="I325" i="32"/>
  <c r="G325" i="32" s="1"/>
  <c r="E325" i="32"/>
  <c r="G324" i="32"/>
  <c r="Q323" i="32"/>
  <c r="O323" i="32"/>
  <c r="O314" i="32" s="1"/>
  <c r="N323" i="32"/>
  <c r="L323" i="32"/>
  <c r="J323" i="32"/>
  <c r="I323" i="32"/>
  <c r="E323" i="32"/>
  <c r="G318" i="32"/>
  <c r="G317" i="32"/>
  <c r="G316" i="32"/>
  <c r="Q315" i="32"/>
  <c r="O315" i="32"/>
  <c r="N315" i="32"/>
  <c r="L315" i="32"/>
  <c r="J315" i="32"/>
  <c r="I315" i="32"/>
  <c r="E315" i="32"/>
  <c r="Q314" i="32"/>
  <c r="N314" i="32"/>
  <c r="J314" i="32"/>
  <c r="N312" i="32"/>
  <c r="G311" i="32"/>
  <c r="F311" i="32"/>
  <c r="F310" i="32"/>
  <c r="F309" i="32"/>
  <c r="F308" i="32"/>
  <c r="F307" i="32"/>
  <c r="M306" i="32"/>
  <c r="F306" i="32" s="1"/>
  <c r="F305" i="32"/>
  <c r="F304" i="32"/>
  <c r="P302" i="32"/>
  <c r="P300" i="32" s="1"/>
  <c r="P293" i="32" s="1"/>
  <c r="F302" i="32"/>
  <c r="M301" i="32"/>
  <c r="F301" i="32"/>
  <c r="O300" i="32"/>
  <c r="O293" i="32" s="1"/>
  <c r="O286" i="32" s="1"/>
  <c r="N300" i="32"/>
  <c r="M300" i="32"/>
  <c r="F300" i="32" s="1"/>
  <c r="F299" i="32"/>
  <c r="F298" i="32"/>
  <c r="F297" i="32"/>
  <c r="F296" i="32"/>
  <c r="M295" i="32"/>
  <c r="F295" i="32" s="1"/>
  <c r="N293" i="32"/>
  <c r="G292" i="32"/>
  <c r="G291" i="32"/>
  <c r="G290" i="32"/>
  <c r="F290" i="32"/>
  <c r="G289" i="32"/>
  <c r="G288" i="32"/>
  <c r="Q286" i="32"/>
  <c r="N286" i="32"/>
  <c r="L286" i="32"/>
  <c r="K286" i="32"/>
  <c r="J286" i="32"/>
  <c r="I286" i="32"/>
  <c r="H286" i="32"/>
  <c r="E286" i="32"/>
  <c r="G284" i="32"/>
  <c r="Q283" i="32"/>
  <c r="P283" i="32"/>
  <c r="O283" i="32"/>
  <c r="N283" i="32"/>
  <c r="L283" i="32"/>
  <c r="K283" i="32"/>
  <c r="J283" i="32"/>
  <c r="I283" i="32"/>
  <c r="H283" i="32"/>
  <c r="E283" i="32"/>
  <c r="F282" i="32"/>
  <c r="M281" i="32"/>
  <c r="F281" i="32" s="1"/>
  <c r="G281" i="32"/>
  <c r="G280" i="32"/>
  <c r="G279" i="32"/>
  <c r="G278" i="32"/>
  <c r="F278" i="32"/>
  <c r="G277" i="32"/>
  <c r="G276" i="32"/>
  <c r="Q275" i="32"/>
  <c r="O275" i="32"/>
  <c r="N275" i="32"/>
  <c r="M275" i="32"/>
  <c r="L275" i="32"/>
  <c r="K275" i="32"/>
  <c r="J275" i="32"/>
  <c r="I275" i="32"/>
  <c r="H275" i="32"/>
  <c r="E275" i="32"/>
  <c r="F274" i="32"/>
  <c r="F269" i="32"/>
  <c r="F267" i="32"/>
  <c r="F266" i="32"/>
  <c r="P265" i="32"/>
  <c r="P262" i="32" s="1"/>
  <c r="M265" i="32"/>
  <c r="M264" i="32"/>
  <c r="G264" i="32" s="1"/>
  <c r="G262" i="32" s="1"/>
  <c r="G263" i="32"/>
  <c r="Q262" i="32"/>
  <c r="O262" i="32"/>
  <c r="N262" i="32"/>
  <c r="L262" i="32"/>
  <c r="K262" i="32"/>
  <c r="J262" i="32"/>
  <c r="I262" i="32"/>
  <c r="H262" i="32"/>
  <c r="E262" i="32"/>
  <c r="G261" i="32"/>
  <c r="G260" i="32"/>
  <c r="G259" i="32"/>
  <c r="G258" i="32"/>
  <c r="G257" i="32"/>
  <c r="F257" i="32"/>
  <c r="F256" i="32" s="1"/>
  <c r="Q256" i="32"/>
  <c r="P256" i="32"/>
  <c r="O256" i="32"/>
  <c r="N256" i="32"/>
  <c r="M256" i="32"/>
  <c r="L256" i="32"/>
  <c r="K256" i="32"/>
  <c r="J256" i="32"/>
  <c r="I256" i="32"/>
  <c r="I247" i="32" s="1"/>
  <c r="H256" i="32"/>
  <c r="E256" i="32"/>
  <c r="G255" i="32"/>
  <c r="G254" i="32"/>
  <c r="G253" i="32"/>
  <c r="F253" i="32"/>
  <c r="G252" i="32"/>
  <c r="F252" i="32"/>
  <c r="G250" i="32"/>
  <c r="F250" i="32"/>
  <c r="G249" i="32"/>
  <c r="F249" i="32"/>
  <c r="Q248" i="32"/>
  <c r="P248" i="32"/>
  <c r="O248" i="32"/>
  <c r="N248" i="32"/>
  <c r="L248" i="32"/>
  <c r="L247" i="32" s="1"/>
  <c r="K248" i="32"/>
  <c r="J248" i="32"/>
  <c r="I248" i="32"/>
  <c r="H248" i="32"/>
  <c r="E248" i="32"/>
  <c r="E247" i="32" s="1"/>
  <c r="Q247" i="32"/>
  <c r="K247" i="32"/>
  <c r="G246" i="32"/>
  <c r="Q245" i="32"/>
  <c r="O245" i="32"/>
  <c r="N245" i="32"/>
  <c r="L245" i="32"/>
  <c r="J245" i="32"/>
  <c r="I245" i="32"/>
  <c r="E245" i="32"/>
  <c r="G244" i="32"/>
  <c r="Q243" i="32"/>
  <c r="O243" i="32"/>
  <c r="N243" i="32"/>
  <c r="L243" i="32"/>
  <c r="J243" i="32"/>
  <c r="I243" i="32"/>
  <c r="E243" i="32"/>
  <c r="G242" i="32"/>
  <c r="F242" i="32"/>
  <c r="Q241" i="32"/>
  <c r="P241" i="32"/>
  <c r="O241" i="32"/>
  <c r="N241" i="32"/>
  <c r="M241" i="32"/>
  <c r="L241" i="32"/>
  <c r="K241" i="32"/>
  <c r="J241" i="32"/>
  <c r="I241" i="32"/>
  <c r="H241" i="32"/>
  <c r="G241" i="32"/>
  <c r="F241" i="32"/>
  <c r="E241" i="32"/>
  <c r="G240" i="32"/>
  <c r="F240" i="32"/>
  <c r="Q239" i="32"/>
  <c r="P239" i="32"/>
  <c r="O239" i="32"/>
  <c r="N239" i="32"/>
  <c r="M239" i="32"/>
  <c r="L239" i="32"/>
  <c r="K239" i="32"/>
  <c r="J239" i="32"/>
  <c r="I239" i="32"/>
  <c r="H239" i="32"/>
  <c r="G239" i="32"/>
  <c r="F239" i="32"/>
  <c r="E239" i="32"/>
  <c r="G238" i="32"/>
  <c r="F238" i="32"/>
  <c r="G233" i="32"/>
  <c r="F233" i="32"/>
  <c r="F230" i="32" s="1"/>
  <c r="G232" i="32"/>
  <c r="G231" i="32"/>
  <c r="G230" i="32" s="1"/>
  <c r="Q230" i="32"/>
  <c r="P230" i="32"/>
  <c r="O230" i="32"/>
  <c r="N230" i="32"/>
  <c r="M230" i="32"/>
  <c r="L230" i="32"/>
  <c r="K230" i="32"/>
  <c r="J230" i="32"/>
  <c r="I230" i="32"/>
  <c r="H230" i="32"/>
  <c r="E230" i="32"/>
  <c r="G229" i="32"/>
  <c r="Q228" i="32"/>
  <c r="O228" i="32"/>
  <c r="N228" i="32"/>
  <c r="L228" i="32"/>
  <c r="J228" i="32"/>
  <c r="I228" i="32"/>
  <c r="E228" i="32"/>
  <c r="G227" i="32"/>
  <c r="N226" i="32"/>
  <c r="G226" i="32" s="1"/>
  <c r="F226" i="32"/>
  <c r="E226" i="32"/>
  <c r="N225" i="32"/>
  <c r="G225" i="32" s="1"/>
  <c r="F225" i="32"/>
  <c r="F224" i="32" s="1"/>
  <c r="E225" i="32"/>
  <c r="Q224" i="32"/>
  <c r="P224" i="32"/>
  <c r="O224" i="32"/>
  <c r="M224" i="32"/>
  <c r="L224" i="32"/>
  <c r="K224" i="32"/>
  <c r="J224" i="32"/>
  <c r="I224" i="32"/>
  <c r="H224" i="32"/>
  <c r="E224" i="32"/>
  <c r="R223" i="32"/>
  <c r="N223" i="32"/>
  <c r="N222" i="32" s="1"/>
  <c r="F223" i="32"/>
  <c r="F222" i="32" s="1"/>
  <c r="E223" i="32"/>
  <c r="Q222" i="32"/>
  <c r="P222" i="32"/>
  <c r="O222" i="32"/>
  <c r="M222" i="32"/>
  <c r="L222" i="32"/>
  <c r="L221" i="32" s="1"/>
  <c r="K222" i="32"/>
  <c r="K221" i="32" s="1"/>
  <c r="J222" i="32"/>
  <c r="I222" i="32"/>
  <c r="I221" i="32" s="1"/>
  <c r="H222" i="32"/>
  <c r="E222" i="32"/>
  <c r="E221" i="32" s="1"/>
  <c r="P221" i="32"/>
  <c r="G209" i="32"/>
  <c r="G208" i="32"/>
  <c r="G207" i="32"/>
  <c r="G202" i="32"/>
  <c r="G201" i="32"/>
  <c r="G200" i="32"/>
  <c r="G199" i="32"/>
  <c r="G198" i="32"/>
  <c r="Q197" i="32"/>
  <c r="O197" i="32"/>
  <c r="N197" i="32"/>
  <c r="L197" i="32"/>
  <c r="J197" i="32"/>
  <c r="I197" i="32"/>
  <c r="E197" i="32"/>
  <c r="E186" i="32" s="1"/>
  <c r="G196" i="32"/>
  <c r="G195" i="32"/>
  <c r="G194" i="32"/>
  <c r="G193" i="32"/>
  <c r="G192" i="32"/>
  <c r="G191" i="32"/>
  <c r="G190" i="32"/>
  <c r="G189" i="32"/>
  <c r="G188" i="32"/>
  <c r="Q187" i="32"/>
  <c r="O187" i="32"/>
  <c r="N187" i="32"/>
  <c r="N186" i="32" s="1"/>
  <c r="L187" i="32"/>
  <c r="J187" i="32"/>
  <c r="J186" i="32" s="1"/>
  <c r="I187" i="32"/>
  <c r="G187" i="32" s="1"/>
  <c r="E187" i="32"/>
  <c r="Q186" i="32"/>
  <c r="Q162" i="32" s="1"/>
  <c r="G185" i="32"/>
  <c r="G180" i="32"/>
  <c r="G179" i="32"/>
  <c r="G178" i="32"/>
  <c r="G177" i="32"/>
  <c r="G176" i="32"/>
  <c r="G175" i="32"/>
  <c r="Q174" i="32"/>
  <c r="O174" i="32"/>
  <c r="O163" i="32" s="1"/>
  <c r="N174" i="32"/>
  <c r="N163" i="32" s="1"/>
  <c r="N162" i="32" s="1"/>
  <c r="L174" i="32"/>
  <c r="J174" i="32"/>
  <c r="I174" i="32"/>
  <c r="E174" i="32"/>
  <c r="G173" i="32"/>
  <c r="G172" i="32"/>
  <c r="G171" i="32"/>
  <c r="G170" i="32"/>
  <c r="G169" i="32"/>
  <c r="G168" i="32"/>
  <c r="G167" i="32"/>
  <c r="G166" i="32"/>
  <c r="G165" i="32"/>
  <c r="Q164" i="32"/>
  <c r="O164" i="32"/>
  <c r="N164" i="32"/>
  <c r="L164" i="32"/>
  <c r="J164" i="32"/>
  <c r="I164" i="32"/>
  <c r="E164" i="32"/>
  <c r="Q163" i="32"/>
  <c r="G161" i="32"/>
  <c r="Q160" i="32"/>
  <c r="O160" i="32"/>
  <c r="N160" i="32"/>
  <c r="L160" i="32"/>
  <c r="J160" i="32"/>
  <c r="I160" i="32"/>
  <c r="E160" i="32"/>
  <c r="E151" i="32" s="1"/>
  <c r="G159" i="32"/>
  <c r="Q154" i="32"/>
  <c r="Q151" i="32" s="1"/>
  <c r="O154" i="32"/>
  <c r="N154" i="32"/>
  <c r="L154" i="32"/>
  <c r="J154" i="32"/>
  <c r="I154" i="32"/>
  <c r="E154" i="32"/>
  <c r="G153" i="32"/>
  <c r="Q152" i="32"/>
  <c r="O152" i="32"/>
  <c r="N152" i="32"/>
  <c r="L152" i="32"/>
  <c r="J152" i="32"/>
  <c r="I152" i="32"/>
  <c r="E152" i="32"/>
  <c r="L151" i="32"/>
  <c r="G150" i="32"/>
  <c r="Q149" i="32"/>
  <c r="O149" i="32"/>
  <c r="O148" i="32" s="1"/>
  <c r="N149" i="32"/>
  <c r="N148" i="32" s="1"/>
  <c r="L149" i="32"/>
  <c r="J149" i="32"/>
  <c r="I149" i="32"/>
  <c r="G149" i="32" s="1"/>
  <c r="E149" i="32"/>
  <c r="Q148" i="32"/>
  <c r="L148" i="32"/>
  <c r="J148" i="32"/>
  <c r="I148" i="32"/>
  <c r="E148" i="32"/>
  <c r="G147" i="32"/>
  <c r="Q146" i="32"/>
  <c r="O146" i="32"/>
  <c r="N146" i="32"/>
  <c r="L146" i="32"/>
  <c r="L141" i="32" s="1"/>
  <c r="J146" i="32"/>
  <c r="I146" i="32"/>
  <c r="E146" i="32"/>
  <c r="G145" i="32"/>
  <c r="Q144" i="32"/>
  <c r="Q141" i="32" s="1"/>
  <c r="O144" i="32"/>
  <c r="N144" i="32"/>
  <c r="L144" i="32"/>
  <c r="J144" i="32"/>
  <c r="I144" i="32"/>
  <c r="E144" i="32"/>
  <c r="G143" i="32"/>
  <c r="Q142" i="32"/>
  <c r="O142" i="32"/>
  <c r="O141" i="32" s="1"/>
  <c r="N142" i="32"/>
  <c r="L142" i="32"/>
  <c r="J142" i="32"/>
  <c r="I142" i="32"/>
  <c r="G142" i="32" s="1"/>
  <c r="E142" i="32"/>
  <c r="E141" i="32" s="1"/>
  <c r="G140" i="32"/>
  <c r="Q139" i="32"/>
  <c r="O139" i="32"/>
  <c r="N139" i="32"/>
  <c r="L139" i="32"/>
  <c r="J139" i="32"/>
  <c r="I139" i="32"/>
  <c r="G139" i="32" s="1"/>
  <c r="E139" i="32"/>
  <c r="G138" i="32"/>
  <c r="F138" i="32"/>
  <c r="Q137" i="32"/>
  <c r="P137" i="32"/>
  <c r="P134" i="32" s="1"/>
  <c r="P133" i="32" s="1"/>
  <c r="O137" i="32"/>
  <c r="N137" i="32"/>
  <c r="M137" i="32"/>
  <c r="L137" i="32"/>
  <c r="K137" i="32"/>
  <c r="J137" i="32"/>
  <c r="I137" i="32"/>
  <c r="H137" i="32"/>
  <c r="G137" i="32"/>
  <c r="E137" i="32"/>
  <c r="E134" i="32" s="1"/>
  <c r="G136" i="32"/>
  <c r="F136" i="32"/>
  <c r="Q135" i="32"/>
  <c r="O135" i="32"/>
  <c r="O134" i="32" s="1"/>
  <c r="N135" i="32"/>
  <c r="L135" i="32"/>
  <c r="L134" i="32" s="1"/>
  <c r="J135" i="32"/>
  <c r="I135" i="32"/>
  <c r="G135" i="32" s="1"/>
  <c r="F135" i="32"/>
  <c r="E135" i="32"/>
  <c r="Q134" i="32"/>
  <c r="M134" i="32"/>
  <c r="M133" i="32" s="1"/>
  <c r="H134" i="32"/>
  <c r="H133" i="32"/>
  <c r="G132" i="32"/>
  <c r="G127" i="32" s="1"/>
  <c r="G126" i="32" s="1"/>
  <c r="F132" i="32"/>
  <c r="F131" i="32"/>
  <c r="F130" i="32"/>
  <c r="F129" i="32"/>
  <c r="F128" i="32"/>
  <c r="Q127" i="32"/>
  <c r="Q126" i="32" s="1"/>
  <c r="P127" i="32"/>
  <c r="P126" i="32" s="1"/>
  <c r="O127" i="32"/>
  <c r="O126" i="32" s="1"/>
  <c r="N127" i="32"/>
  <c r="M127" i="32"/>
  <c r="M126" i="32" s="1"/>
  <c r="L127" i="32"/>
  <c r="L126" i="32" s="1"/>
  <c r="K127" i="32"/>
  <c r="J127" i="32"/>
  <c r="I127" i="32"/>
  <c r="I126" i="32" s="1"/>
  <c r="H127" i="32"/>
  <c r="E127" i="32"/>
  <c r="E126" i="32" s="1"/>
  <c r="N126" i="32"/>
  <c r="J126" i="32"/>
  <c r="H126" i="32"/>
  <c r="G125" i="32"/>
  <c r="G123" i="32" s="1"/>
  <c r="G122" i="32" s="1"/>
  <c r="G120" i="32" s="1"/>
  <c r="F125" i="32"/>
  <c r="G124" i="32"/>
  <c r="F124" i="32"/>
  <c r="Q123" i="32"/>
  <c r="Q122" i="32" s="1"/>
  <c r="P123" i="32"/>
  <c r="O123" i="32"/>
  <c r="O122" i="32" s="1"/>
  <c r="N123" i="32"/>
  <c r="N122" i="32" s="1"/>
  <c r="M123" i="32"/>
  <c r="M122" i="32" s="1"/>
  <c r="L123" i="32"/>
  <c r="K123" i="32"/>
  <c r="J123" i="32"/>
  <c r="J122" i="32" s="1"/>
  <c r="J120" i="32" s="1"/>
  <c r="I123" i="32"/>
  <c r="I122" i="32" s="1"/>
  <c r="I120" i="32" s="1"/>
  <c r="H123" i="32"/>
  <c r="H122" i="32" s="1"/>
  <c r="H120" i="32" s="1"/>
  <c r="E123" i="32"/>
  <c r="E122" i="32" s="1"/>
  <c r="E120" i="32" s="1"/>
  <c r="P122" i="32"/>
  <c r="L122" i="32"/>
  <c r="L120" i="32" s="1"/>
  <c r="F121" i="32"/>
  <c r="P120" i="32"/>
  <c r="G119" i="32"/>
  <c r="F119" i="32"/>
  <c r="Q118" i="32"/>
  <c r="Q115" i="32" s="1"/>
  <c r="O118" i="32"/>
  <c r="N118" i="32"/>
  <c r="L118" i="32"/>
  <c r="G118" i="32" s="1"/>
  <c r="J118" i="32"/>
  <c r="I118" i="32"/>
  <c r="F118" i="32"/>
  <c r="E118" i="32"/>
  <c r="G117" i="32"/>
  <c r="F117" i="32"/>
  <c r="Q116" i="32"/>
  <c r="O116" i="32"/>
  <c r="O115" i="32" s="1"/>
  <c r="N116" i="32"/>
  <c r="L116" i="32"/>
  <c r="J116" i="32"/>
  <c r="J115" i="32" s="1"/>
  <c r="I116" i="32"/>
  <c r="F116" i="32"/>
  <c r="E116" i="32"/>
  <c r="E115" i="32" s="1"/>
  <c r="N115" i="32"/>
  <c r="F115" i="32"/>
  <c r="G114" i="32"/>
  <c r="F114" i="32"/>
  <c r="Q113" i="32"/>
  <c r="O113" i="32"/>
  <c r="N113" i="32"/>
  <c r="L113" i="32"/>
  <c r="J113" i="32"/>
  <c r="I113" i="32"/>
  <c r="F113" i="32"/>
  <c r="E113" i="32"/>
  <c r="G112" i="32"/>
  <c r="F112" i="32"/>
  <c r="G111" i="32"/>
  <c r="F111" i="32"/>
  <c r="Q110" i="32"/>
  <c r="P110" i="32"/>
  <c r="P86" i="32" s="1"/>
  <c r="P7" i="32" s="1"/>
  <c r="P6" i="32" s="1"/>
  <c r="P210" i="32" s="1"/>
  <c r="O110" i="32"/>
  <c r="N110" i="32"/>
  <c r="M110" i="32"/>
  <c r="L110" i="32"/>
  <c r="K110" i="32"/>
  <c r="J110" i="32"/>
  <c r="I110" i="32"/>
  <c r="H110" i="32"/>
  <c r="G110" i="32"/>
  <c r="E110" i="32"/>
  <c r="G109" i="32"/>
  <c r="F109" i="32"/>
  <c r="G108" i="32"/>
  <c r="F108" i="32"/>
  <c r="G107" i="32"/>
  <c r="F107" i="32"/>
  <c r="G106" i="32"/>
  <c r="F106" i="32"/>
  <c r="G105" i="32"/>
  <c r="F105" i="32"/>
  <c r="G104" i="32"/>
  <c r="F104" i="32"/>
  <c r="F103" i="32"/>
  <c r="F102" i="32"/>
  <c r="F101" i="32"/>
  <c r="F100" i="32"/>
  <c r="Q99" i="32"/>
  <c r="O99" i="32"/>
  <c r="N99" i="32"/>
  <c r="L99" i="32"/>
  <c r="J99" i="32"/>
  <c r="I99" i="32"/>
  <c r="F99" i="32"/>
  <c r="E99" i="32"/>
  <c r="G98" i="32"/>
  <c r="F98" i="32"/>
  <c r="F94" i="32" s="1"/>
  <c r="G97" i="32"/>
  <c r="F97" i="32"/>
  <c r="G96" i="32"/>
  <c r="F96" i="32"/>
  <c r="G95" i="32"/>
  <c r="F95" i="32"/>
  <c r="Q94" i="32"/>
  <c r="P94" i="32"/>
  <c r="O94" i="32"/>
  <c r="N94" i="32"/>
  <c r="M94" i="32"/>
  <c r="L94" i="32"/>
  <c r="L86" i="32" s="1"/>
  <c r="K94" i="32"/>
  <c r="J94" i="32"/>
  <c r="I94" i="32"/>
  <c r="H94" i="32"/>
  <c r="G94" i="32"/>
  <c r="E94" i="32"/>
  <c r="G93" i="32"/>
  <c r="F93" i="32"/>
  <c r="G92" i="32"/>
  <c r="F92" i="32"/>
  <c r="G91" i="32"/>
  <c r="G87" i="32" s="1"/>
  <c r="F91" i="32"/>
  <c r="G90" i="32"/>
  <c r="G89" i="32"/>
  <c r="G88" i="32"/>
  <c r="Q87" i="32"/>
  <c r="Q86" i="32" s="1"/>
  <c r="P87" i="32"/>
  <c r="O87" i="32"/>
  <c r="N87" i="32"/>
  <c r="M87" i="32"/>
  <c r="M86" i="32" s="1"/>
  <c r="L87" i="32"/>
  <c r="K87" i="32"/>
  <c r="K86" i="32" s="1"/>
  <c r="J87" i="32"/>
  <c r="J86" i="32" s="1"/>
  <c r="I87" i="32"/>
  <c r="H87" i="32"/>
  <c r="E87" i="32"/>
  <c r="E86" i="32" s="1"/>
  <c r="N86" i="32"/>
  <c r="H86" i="32"/>
  <c r="G85" i="32"/>
  <c r="G84" i="32"/>
  <c r="Q83" i="32"/>
  <c r="O83" i="32"/>
  <c r="N83" i="32"/>
  <c r="L83" i="32"/>
  <c r="J83" i="32"/>
  <c r="I83" i="32"/>
  <c r="G83" i="32" s="1"/>
  <c r="E83" i="32"/>
  <c r="G82" i="32"/>
  <c r="G81" i="32"/>
  <c r="G80" i="32"/>
  <c r="G79" i="32"/>
  <c r="Q78" i="32"/>
  <c r="O78" i="32"/>
  <c r="N78" i="32"/>
  <c r="L78" i="32"/>
  <c r="J78" i="32"/>
  <c r="I78" i="32"/>
  <c r="G78" i="32" s="1"/>
  <c r="E78" i="32"/>
  <c r="G77" i="32"/>
  <c r="G76" i="32"/>
  <c r="Q75" i="32"/>
  <c r="O75" i="32"/>
  <c r="N75" i="32"/>
  <c r="N74" i="32" s="1"/>
  <c r="L75" i="32"/>
  <c r="L74" i="32" s="1"/>
  <c r="J75" i="32"/>
  <c r="I75" i="32"/>
  <c r="I74" i="32" s="1"/>
  <c r="E75" i="32"/>
  <c r="E74" i="32" s="1"/>
  <c r="O74" i="32"/>
  <c r="J74" i="32"/>
  <c r="G69" i="32"/>
  <c r="G68" i="32"/>
  <c r="G67" i="32"/>
  <c r="Q66" i="32"/>
  <c r="O66" i="32"/>
  <c r="N66" i="32"/>
  <c r="L66" i="32"/>
  <c r="J66" i="32"/>
  <c r="I66" i="32"/>
  <c r="E66" i="32"/>
  <c r="E60" i="32" s="1"/>
  <c r="G65" i="32"/>
  <c r="G64" i="32"/>
  <c r="G63" i="32"/>
  <c r="G62" i="32"/>
  <c r="Q61" i="32"/>
  <c r="O61" i="32"/>
  <c r="O60" i="32" s="1"/>
  <c r="N61" i="32"/>
  <c r="N60" i="32" s="1"/>
  <c r="L61" i="32"/>
  <c r="J61" i="32"/>
  <c r="J60" i="32" s="1"/>
  <c r="I61" i="32"/>
  <c r="E61" i="32"/>
  <c r="Q60" i="32"/>
  <c r="L60" i="32"/>
  <c r="G59" i="32"/>
  <c r="G58" i="32"/>
  <c r="G57" i="32"/>
  <c r="G56" i="32"/>
  <c r="G55" i="32"/>
  <c r="G54" i="32"/>
  <c r="Q53" i="32"/>
  <c r="O53" i="32"/>
  <c r="N53" i="32"/>
  <c r="L53" i="32"/>
  <c r="J53" i="32"/>
  <c r="I53" i="32"/>
  <c r="E53" i="32"/>
  <c r="G52" i="32"/>
  <c r="G51" i="32"/>
  <c r="G50" i="32"/>
  <c r="G49" i="32"/>
  <c r="G48" i="32"/>
  <c r="G47" i="32"/>
  <c r="Q42" i="32"/>
  <c r="O42" i="32"/>
  <c r="N42" i="32"/>
  <c r="L42" i="32"/>
  <c r="J42" i="32"/>
  <c r="I42" i="32"/>
  <c r="E42" i="32"/>
  <c r="G41" i="32"/>
  <c r="G40" i="32"/>
  <c r="Q39" i="32"/>
  <c r="O39" i="32"/>
  <c r="N39" i="32"/>
  <c r="L39" i="32"/>
  <c r="J39" i="32"/>
  <c r="I39" i="32"/>
  <c r="E39" i="32"/>
  <c r="G38" i="32"/>
  <c r="G37" i="32"/>
  <c r="G36" i="32"/>
  <c r="G35" i="32"/>
  <c r="G34" i="32"/>
  <c r="G33" i="32"/>
  <c r="Q32" i="32"/>
  <c r="O32" i="32"/>
  <c r="N32" i="32"/>
  <c r="L32" i="32"/>
  <c r="J32" i="32"/>
  <c r="I32" i="32"/>
  <c r="E32" i="32"/>
  <c r="G31" i="32"/>
  <c r="G30" i="32"/>
  <c r="G29" i="32"/>
  <c r="G28" i="32"/>
  <c r="G27" i="32"/>
  <c r="Q26" i="32"/>
  <c r="O26" i="32"/>
  <c r="N26" i="32"/>
  <c r="L26" i="32"/>
  <c r="G26" i="32" s="1"/>
  <c r="J26" i="32"/>
  <c r="I26" i="32"/>
  <c r="E26" i="32"/>
  <c r="G25" i="32"/>
  <c r="G24" i="32"/>
  <c r="G23" i="32"/>
  <c r="G22" i="32"/>
  <c r="G21" i="32"/>
  <c r="G20" i="32"/>
  <c r="Q19" i="32"/>
  <c r="O19" i="32"/>
  <c r="N19" i="32"/>
  <c r="L19" i="32"/>
  <c r="J19" i="32"/>
  <c r="I19" i="32"/>
  <c r="E19" i="32"/>
  <c r="G18" i="32"/>
  <c r="Q17" i="32"/>
  <c r="O17" i="32"/>
  <c r="N17" i="32"/>
  <c r="L17" i="32"/>
  <c r="J17" i="32"/>
  <c r="I17" i="32"/>
  <c r="I8" i="32" s="1"/>
  <c r="E17" i="32"/>
  <c r="G16" i="32"/>
  <c r="G15" i="32"/>
  <c r="G10" i="32"/>
  <c r="Q9" i="32"/>
  <c r="O9" i="32"/>
  <c r="N9" i="32"/>
  <c r="L9" i="32"/>
  <c r="J9" i="32"/>
  <c r="I9" i="32"/>
  <c r="E9" i="32"/>
  <c r="Q8" i="32"/>
  <c r="G540" i="31"/>
  <c r="R539" i="31"/>
  <c r="O539" i="31"/>
  <c r="N539" i="31"/>
  <c r="L539" i="31"/>
  <c r="J539" i="31"/>
  <c r="I539" i="31"/>
  <c r="E539" i="31"/>
  <c r="G538" i="31"/>
  <c r="G537" i="31"/>
  <c r="G536" i="31"/>
  <c r="G535" i="31"/>
  <c r="G534" i="31"/>
  <c r="G533" i="31"/>
  <c r="G532" i="31"/>
  <c r="G531" i="31"/>
  <c r="R530" i="31"/>
  <c r="O530" i="31"/>
  <c r="N530" i="31"/>
  <c r="L530" i="31"/>
  <c r="J530" i="31"/>
  <c r="I530" i="31"/>
  <c r="E530" i="31"/>
  <c r="G529" i="31"/>
  <c r="G528" i="31"/>
  <c r="G527" i="31"/>
  <c r="G526" i="31"/>
  <c r="G525" i="31"/>
  <c r="G524" i="31"/>
  <c r="G523" i="31"/>
  <c r="G522" i="31"/>
  <c r="G517" i="31"/>
  <c r="R516" i="31"/>
  <c r="O516" i="31"/>
  <c r="N516" i="31"/>
  <c r="L516" i="31"/>
  <c r="J516" i="31"/>
  <c r="J515" i="31" s="1"/>
  <c r="I516" i="31"/>
  <c r="I515" i="31" s="1"/>
  <c r="E516" i="31"/>
  <c r="R515" i="31"/>
  <c r="N515" i="31"/>
  <c r="G514" i="31"/>
  <c r="R513" i="31"/>
  <c r="O513" i="31"/>
  <c r="N513" i="31"/>
  <c r="L513" i="31"/>
  <c r="J513" i="31"/>
  <c r="I513" i="31"/>
  <c r="E513" i="31"/>
  <c r="G512" i="31"/>
  <c r="R511" i="31"/>
  <c r="O511" i="31"/>
  <c r="N511" i="31"/>
  <c r="L511" i="31"/>
  <c r="J511" i="31"/>
  <c r="I511" i="31"/>
  <c r="E511" i="31"/>
  <c r="G510" i="31"/>
  <c r="R509" i="31"/>
  <c r="O509" i="31"/>
  <c r="N509" i="31"/>
  <c r="L509" i="31"/>
  <c r="J509" i="31"/>
  <c r="I509" i="31"/>
  <c r="E509" i="31"/>
  <c r="G508" i="31"/>
  <c r="G507" i="31"/>
  <c r="G506" i="31"/>
  <c r="G505" i="31"/>
  <c r="G504" i="31"/>
  <c r="G503" i="31"/>
  <c r="G502" i="31"/>
  <c r="R501" i="31"/>
  <c r="O501" i="31"/>
  <c r="N501" i="31"/>
  <c r="L501" i="31"/>
  <c r="J501" i="31"/>
  <c r="I501" i="31"/>
  <c r="E501" i="31"/>
  <c r="G500" i="31"/>
  <c r="G499" i="31"/>
  <c r="G498" i="31"/>
  <c r="G497" i="31"/>
  <c r="G496" i="31"/>
  <c r="G495" i="31"/>
  <c r="G490" i="31"/>
  <c r="G489" i="31"/>
  <c r="G488" i="31"/>
  <c r="R487" i="31"/>
  <c r="O487" i="31"/>
  <c r="N487" i="31"/>
  <c r="L487" i="31"/>
  <c r="J487" i="31"/>
  <c r="I487" i="31"/>
  <c r="E487" i="31"/>
  <c r="E486" i="31" s="1"/>
  <c r="N486" i="31"/>
  <c r="G484" i="31"/>
  <c r="R483" i="31"/>
  <c r="O483" i="31"/>
  <c r="N483" i="31"/>
  <c r="N482" i="31" s="1"/>
  <c r="L483" i="31"/>
  <c r="J483" i="31"/>
  <c r="J482" i="31" s="1"/>
  <c r="I483" i="31"/>
  <c r="I482" i="31" s="1"/>
  <c r="G482" i="31" s="1"/>
  <c r="E483" i="31"/>
  <c r="E482" i="31" s="1"/>
  <c r="R482" i="31"/>
  <c r="O482" i="31"/>
  <c r="L482" i="31"/>
  <c r="G481" i="31"/>
  <c r="G480" i="31"/>
  <c r="R479" i="31"/>
  <c r="O479" i="31"/>
  <c r="N479" i="31"/>
  <c r="L479" i="31"/>
  <c r="J479" i="31"/>
  <c r="I479" i="31"/>
  <c r="E479" i="31"/>
  <c r="G478" i="31"/>
  <c r="R477" i="31"/>
  <c r="O477" i="31"/>
  <c r="N477" i="31"/>
  <c r="L477" i="31"/>
  <c r="J477" i="31"/>
  <c r="I477" i="31"/>
  <c r="E477" i="31"/>
  <c r="E474" i="31" s="1"/>
  <c r="G476" i="31"/>
  <c r="R475" i="31"/>
  <c r="O475" i="31"/>
  <c r="O474" i="31" s="1"/>
  <c r="N475" i="31"/>
  <c r="L475" i="31"/>
  <c r="J475" i="31"/>
  <c r="G475" i="31" s="1"/>
  <c r="I475" i="31"/>
  <c r="E475" i="31"/>
  <c r="N474" i="31"/>
  <c r="I474" i="31"/>
  <c r="G473" i="31"/>
  <c r="R472" i="31"/>
  <c r="O472" i="31"/>
  <c r="O471" i="31" s="1"/>
  <c r="N472" i="31"/>
  <c r="L472" i="31"/>
  <c r="J472" i="31"/>
  <c r="J471" i="31" s="1"/>
  <c r="I472" i="31"/>
  <c r="E472" i="31"/>
  <c r="E471" i="31" s="1"/>
  <c r="R471" i="31"/>
  <c r="N471" i="31"/>
  <c r="L471" i="31"/>
  <c r="G470" i="31"/>
  <c r="R469" i="31"/>
  <c r="O469" i="31"/>
  <c r="N469" i="31"/>
  <c r="L469" i="31"/>
  <c r="J469" i="31"/>
  <c r="I469" i="31"/>
  <c r="E469" i="31"/>
  <c r="G468" i="31"/>
  <c r="G467" i="31"/>
  <c r="G462" i="31"/>
  <c r="R461" i="31"/>
  <c r="O461" i="31"/>
  <c r="N461" i="31"/>
  <c r="L461" i="31"/>
  <c r="L458" i="31" s="1"/>
  <c r="J461" i="31"/>
  <c r="I461" i="31"/>
  <c r="E461" i="31"/>
  <c r="G460" i="31"/>
  <c r="R459" i="31"/>
  <c r="O459" i="31"/>
  <c r="N459" i="31"/>
  <c r="L459" i="31"/>
  <c r="J459" i="31"/>
  <c r="I459" i="31"/>
  <c r="E459" i="31"/>
  <c r="E458" i="31" s="1"/>
  <c r="R458" i="31"/>
  <c r="N458" i="31"/>
  <c r="J458" i="31"/>
  <c r="G457" i="31"/>
  <c r="F457" i="31"/>
  <c r="R456" i="31"/>
  <c r="Q456" i="31"/>
  <c r="O456" i="31"/>
  <c r="N456" i="31"/>
  <c r="M456" i="31"/>
  <c r="L456" i="31"/>
  <c r="K456" i="31"/>
  <c r="J456" i="31"/>
  <c r="I456" i="31"/>
  <c r="H456" i="31"/>
  <c r="G456" i="31"/>
  <c r="F456" i="31"/>
  <c r="E456" i="31"/>
  <c r="G455" i="31"/>
  <c r="R454" i="31"/>
  <c r="O454" i="31"/>
  <c r="N454" i="31"/>
  <c r="L454" i="31"/>
  <c r="J454" i="31"/>
  <c r="I454" i="31"/>
  <c r="E454" i="31"/>
  <c r="G453" i="31"/>
  <c r="R452" i="31"/>
  <c r="O452" i="31"/>
  <c r="N452" i="31"/>
  <c r="L452" i="31"/>
  <c r="J452" i="31"/>
  <c r="I452" i="31"/>
  <c r="E452" i="31"/>
  <c r="G451" i="31"/>
  <c r="G450" i="31"/>
  <c r="G449" i="31"/>
  <c r="G448" i="31"/>
  <c r="G447" i="31"/>
  <c r="F447" i="31"/>
  <c r="G446" i="31"/>
  <c r="G445" i="31"/>
  <c r="U444" i="31"/>
  <c r="Q444" i="31"/>
  <c r="G444" i="31" s="1"/>
  <c r="F443" i="31"/>
  <c r="G442" i="31"/>
  <c r="R441" i="31"/>
  <c r="Q441" i="31"/>
  <c r="O441" i="31"/>
  <c r="N441" i="31"/>
  <c r="M441" i="31"/>
  <c r="M435" i="31" s="1"/>
  <c r="M434" i="31" s="1"/>
  <c r="L441" i="31"/>
  <c r="K441" i="31"/>
  <c r="J441" i="31"/>
  <c r="I441" i="31"/>
  <c r="H441" i="31"/>
  <c r="E441" i="31"/>
  <c r="E435" i="31" s="1"/>
  <c r="G440" i="31"/>
  <c r="G439" i="31"/>
  <c r="F439" i="31"/>
  <c r="F436" i="31" s="1"/>
  <c r="G438" i="31"/>
  <c r="G437" i="31"/>
  <c r="R436" i="31"/>
  <c r="Q436" i="31"/>
  <c r="O436" i="31"/>
  <c r="N436" i="31"/>
  <c r="N435" i="31" s="1"/>
  <c r="M436" i="31"/>
  <c r="L436" i="31"/>
  <c r="K436" i="31"/>
  <c r="K435" i="31" s="1"/>
  <c r="K434" i="31" s="1"/>
  <c r="J436" i="31"/>
  <c r="J435" i="31" s="1"/>
  <c r="I436" i="31"/>
  <c r="H436" i="31"/>
  <c r="E436" i="31"/>
  <c r="O435" i="31"/>
  <c r="G433" i="31"/>
  <c r="R432" i="31"/>
  <c r="O432" i="31"/>
  <c r="N432" i="31"/>
  <c r="L432" i="31"/>
  <c r="G432" i="31" s="1"/>
  <c r="J432" i="31"/>
  <c r="I432" i="31"/>
  <c r="E432" i="31"/>
  <c r="G427" i="31"/>
  <c r="R426" i="31"/>
  <c r="O426" i="31"/>
  <c r="N426" i="31"/>
  <c r="L426" i="31"/>
  <c r="J426" i="31"/>
  <c r="G426" i="31" s="1"/>
  <c r="I426" i="31"/>
  <c r="E426" i="31"/>
  <c r="G425" i="31"/>
  <c r="G424" i="31"/>
  <c r="R423" i="31"/>
  <c r="O423" i="31"/>
  <c r="N423" i="31"/>
  <c r="L423" i="31"/>
  <c r="J423" i="31"/>
  <c r="I423" i="31"/>
  <c r="E423" i="31"/>
  <c r="G422" i="31"/>
  <c r="F422" i="31"/>
  <c r="R421" i="31"/>
  <c r="Q421" i="31"/>
  <c r="O421" i="31"/>
  <c r="N421" i="31"/>
  <c r="M421" i="31"/>
  <c r="L421" i="31"/>
  <c r="K421" i="31"/>
  <c r="J421" i="31"/>
  <c r="I421" i="31"/>
  <c r="H421" i="31"/>
  <c r="G421" i="31"/>
  <c r="F421" i="31"/>
  <c r="E421" i="31"/>
  <c r="G420" i="31"/>
  <c r="F420" i="31"/>
  <c r="G419" i="31"/>
  <c r="G417" i="31" s="1"/>
  <c r="F419" i="31"/>
  <c r="G418" i="31"/>
  <c r="F418" i="31"/>
  <c r="R417" i="31"/>
  <c r="Q417" i="31"/>
  <c r="O417" i="31"/>
  <c r="N417" i="31"/>
  <c r="M417" i="31"/>
  <c r="L417" i="31"/>
  <c r="K417" i="31"/>
  <c r="J417" i="31"/>
  <c r="I417" i="31"/>
  <c r="H417" i="31"/>
  <c r="F417" i="31"/>
  <c r="E417" i="31"/>
  <c r="G416" i="31"/>
  <c r="F416" i="31"/>
  <c r="G415" i="31"/>
  <c r="R414" i="31"/>
  <c r="Q414" i="31"/>
  <c r="Q413" i="31" s="1"/>
  <c r="O414" i="31"/>
  <c r="N414" i="31"/>
  <c r="N413" i="31" s="1"/>
  <c r="M414" i="31"/>
  <c r="M413" i="31" s="1"/>
  <c r="L414" i="31"/>
  <c r="K414" i="31"/>
  <c r="J414" i="31"/>
  <c r="J413" i="31" s="1"/>
  <c r="I414" i="31"/>
  <c r="H414" i="31"/>
  <c r="H413" i="31" s="1"/>
  <c r="F414" i="31"/>
  <c r="F413" i="31" s="1"/>
  <c r="E414" i="31"/>
  <c r="O413" i="31"/>
  <c r="K413" i="31"/>
  <c r="I413" i="31"/>
  <c r="G412" i="31"/>
  <c r="G411" i="31"/>
  <c r="G410" i="31"/>
  <c r="G409" i="31"/>
  <c r="G408" i="31"/>
  <c r="G407" i="31"/>
  <c r="G406" i="31"/>
  <c r="G405" i="31"/>
  <c r="G404" i="31"/>
  <c r="R399" i="31"/>
  <c r="O399" i="31"/>
  <c r="O394" i="31" s="1"/>
  <c r="N399" i="31"/>
  <c r="L399" i="31"/>
  <c r="J399" i="31"/>
  <c r="J394" i="31" s="1"/>
  <c r="I399" i="31"/>
  <c r="E399" i="31"/>
  <c r="G398" i="31"/>
  <c r="G397" i="31"/>
  <c r="G396" i="31"/>
  <c r="R395" i="31"/>
  <c r="O395" i="31"/>
  <c r="N395" i="31"/>
  <c r="L395" i="31"/>
  <c r="L394" i="31" s="1"/>
  <c r="J395" i="31"/>
  <c r="I395" i="31"/>
  <c r="E395" i="31"/>
  <c r="E394" i="31" s="1"/>
  <c r="I394" i="31"/>
  <c r="G393" i="31"/>
  <c r="G392" i="31"/>
  <c r="F392" i="31"/>
  <c r="R391" i="31"/>
  <c r="Q391" i="31"/>
  <c r="O391" i="31"/>
  <c r="N391" i="31"/>
  <c r="M391" i="31"/>
  <c r="L391" i="31"/>
  <c r="K391" i="31"/>
  <c r="K374" i="31" s="1"/>
  <c r="J391" i="31"/>
  <c r="I391" i="31"/>
  <c r="H391" i="31"/>
  <c r="G391" i="31"/>
  <c r="F391" i="31"/>
  <c r="E391" i="31"/>
  <c r="G390" i="31"/>
  <c r="G389" i="31"/>
  <c r="R388" i="31"/>
  <c r="O388" i="31"/>
  <c r="N388" i="31"/>
  <c r="L388" i="31"/>
  <c r="G388" i="31" s="1"/>
  <c r="J388" i="31"/>
  <c r="I388" i="31"/>
  <c r="E388" i="31"/>
  <c r="G387" i="31"/>
  <c r="G386" i="31"/>
  <c r="R385" i="31"/>
  <c r="O385" i="31"/>
  <c r="N385" i="31"/>
  <c r="L385" i="31"/>
  <c r="J385" i="31"/>
  <c r="I385" i="31"/>
  <c r="E385" i="31"/>
  <c r="G384" i="31"/>
  <c r="G383" i="31"/>
  <c r="R382" i="31"/>
  <c r="O382" i="31"/>
  <c r="N382" i="31"/>
  <c r="L382" i="31"/>
  <c r="J382" i="31"/>
  <c r="I382" i="31"/>
  <c r="E382" i="31"/>
  <c r="G381" i="31"/>
  <c r="G380" i="31"/>
  <c r="R379" i="31"/>
  <c r="R374" i="31" s="1"/>
  <c r="O379" i="31"/>
  <c r="N379" i="31"/>
  <c r="L379" i="31"/>
  <c r="J379" i="31"/>
  <c r="J374" i="31" s="1"/>
  <c r="I379" i="31"/>
  <c r="I374" i="31" s="1"/>
  <c r="E379" i="31"/>
  <c r="Q374" i="31"/>
  <c r="N374" i="31"/>
  <c r="M374" i="31"/>
  <c r="H374" i="31"/>
  <c r="F374" i="31"/>
  <c r="G373" i="31"/>
  <c r="G372" i="31"/>
  <c r="R371" i="31"/>
  <c r="O371" i="31"/>
  <c r="N371" i="31"/>
  <c r="L371" i="31"/>
  <c r="J371" i="31"/>
  <c r="I371" i="31"/>
  <c r="G371" i="31" s="1"/>
  <c r="E371" i="31"/>
  <c r="G370" i="31"/>
  <c r="G369" i="31"/>
  <c r="R368" i="31"/>
  <c r="O368" i="31"/>
  <c r="N368" i="31"/>
  <c r="L368" i="31"/>
  <c r="J368" i="31"/>
  <c r="I368" i="31"/>
  <c r="E368" i="31"/>
  <c r="G367" i="31"/>
  <c r="G366" i="31"/>
  <c r="R365" i="31"/>
  <c r="O365" i="31"/>
  <c r="N365" i="31"/>
  <c r="L365" i="31"/>
  <c r="J365" i="31"/>
  <c r="J361" i="31" s="1"/>
  <c r="I365" i="31"/>
  <c r="I361" i="31" s="1"/>
  <c r="G365" i="31"/>
  <c r="E365" i="31"/>
  <c r="G364" i="31"/>
  <c r="G363" i="31"/>
  <c r="R362" i="31"/>
  <c r="O362" i="31"/>
  <c r="N362" i="31"/>
  <c r="L362" i="31"/>
  <c r="J362" i="31"/>
  <c r="I362" i="31"/>
  <c r="E362" i="31"/>
  <c r="E361" i="31" s="1"/>
  <c r="R361" i="31"/>
  <c r="L361" i="31"/>
  <c r="G360" i="31"/>
  <c r="G359" i="31"/>
  <c r="G358" i="31"/>
  <c r="R357" i="31"/>
  <c r="O357" i="31"/>
  <c r="N357" i="31"/>
  <c r="L357" i="31"/>
  <c r="J357" i="31"/>
  <c r="J333" i="31" s="1"/>
  <c r="I357" i="31"/>
  <c r="E357" i="31"/>
  <c r="G356" i="31"/>
  <c r="R355" i="31"/>
  <c r="O355" i="31"/>
  <c r="N355" i="31"/>
  <c r="L355" i="31"/>
  <c r="J355" i="31"/>
  <c r="I355" i="31"/>
  <c r="E355" i="31"/>
  <c r="G354" i="31"/>
  <c r="G353" i="31"/>
  <c r="G348" i="31"/>
  <c r="G347" i="31"/>
  <c r="G346" i="31"/>
  <c r="G345" i="31"/>
  <c r="R344" i="31"/>
  <c r="O344" i="31"/>
  <c r="N344" i="31"/>
  <c r="L344" i="31"/>
  <c r="J344" i="31"/>
  <c r="I344" i="31"/>
  <c r="G344" i="31" s="1"/>
  <c r="E344" i="31"/>
  <c r="G343" i="31"/>
  <c r="G342" i="31"/>
  <c r="G341" i="31"/>
  <c r="G340" i="31"/>
  <c r="G339" i="31"/>
  <c r="F339" i="31"/>
  <c r="G338" i="31"/>
  <c r="G337" i="31"/>
  <c r="G336" i="31"/>
  <c r="G335" i="31"/>
  <c r="R334" i="31"/>
  <c r="R333" i="31" s="1"/>
  <c r="Q334" i="31"/>
  <c r="Q333" i="31" s="1"/>
  <c r="O334" i="31"/>
  <c r="N334" i="31"/>
  <c r="M334" i="31"/>
  <c r="M333" i="31" s="1"/>
  <c r="L334" i="31"/>
  <c r="K334" i="31"/>
  <c r="J334" i="31"/>
  <c r="I334" i="31"/>
  <c r="I333" i="31" s="1"/>
  <c r="H334" i="31"/>
  <c r="H333" i="31" s="1"/>
  <c r="F334" i="31"/>
  <c r="E334" i="31"/>
  <c r="N333" i="31"/>
  <c r="L333" i="31"/>
  <c r="K333" i="31"/>
  <c r="F333" i="31"/>
  <c r="G332" i="31"/>
  <c r="R331" i="31"/>
  <c r="O331" i="31"/>
  <c r="N331" i="31"/>
  <c r="L331" i="31"/>
  <c r="J331" i="31"/>
  <c r="I331" i="31"/>
  <c r="E331" i="31"/>
  <c r="G330" i="31"/>
  <c r="G329" i="31"/>
  <c r="G328" i="31"/>
  <c r="R327" i="31"/>
  <c r="O327" i="31"/>
  <c r="N327" i="31"/>
  <c r="L327" i="31"/>
  <c r="J327" i="31"/>
  <c r="I327" i="31"/>
  <c r="G327" i="31" s="1"/>
  <c r="E327" i="31"/>
  <c r="G326" i="31"/>
  <c r="R325" i="31"/>
  <c r="O325" i="31"/>
  <c r="N325" i="31"/>
  <c r="L325" i="31"/>
  <c r="J325" i="31"/>
  <c r="I325" i="31"/>
  <c r="E325" i="31"/>
  <c r="G324" i="31"/>
  <c r="R323" i="31"/>
  <c r="O323" i="31"/>
  <c r="N323" i="31"/>
  <c r="N314" i="31" s="1"/>
  <c r="L323" i="31"/>
  <c r="J323" i="31"/>
  <c r="J314" i="31" s="1"/>
  <c r="I323" i="31"/>
  <c r="E323" i="31"/>
  <c r="G318" i="31"/>
  <c r="G317" i="31"/>
  <c r="G316" i="31"/>
  <c r="R315" i="31"/>
  <c r="O315" i="31"/>
  <c r="N315" i="31"/>
  <c r="L315" i="31"/>
  <c r="L314" i="31" s="1"/>
  <c r="J315" i="31"/>
  <c r="I315" i="31"/>
  <c r="E315" i="31"/>
  <c r="E314" i="31" s="1"/>
  <c r="O314" i="31"/>
  <c r="M313" i="31"/>
  <c r="F313" i="31" s="1"/>
  <c r="N312" i="31"/>
  <c r="M312" i="31"/>
  <c r="F312" i="31" s="1"/>
  <c r="G311" i="31"/>
  <c r="F311" i="31"/>
  <c r="F310" i="31"/>
  <c r="F309" i="31"/>
  <c r="F308" i="31"/>
  <c r="F307" i="31"/>
  <c r="M306" i="31"/>
  <c r="F306" i="31" s="1"/>
  <c r="F305" i="31"/>
  <c r="F304" i="31"/>
  <c r="M303" i="31"/>
  <c r="Q302" i="31"/>
  <c r="F302" i="31"/>
  <c r="M301" i="31"/>
  <c r="F301" i="31" s="1"/>
  <c r="Q300" i="31"/>
  <c r="Q293" i="31" s="1"/>
  <c r="Q286" i="31" s="1"/>
  <c r="O300" i="31"/>
  <c r="O293" i="31" s="1"/>
  <c r="O286" i="31" s="1"/>
  <c r="N300" i="31"/>
  <c r="N293" i="31" s="1"/>
  <c r="N286" i="31" s="1"/>
  <c r="F299" i="31"/>
  <c r="F298" i="31"/>
  <c r="F297" i="31"/>
  <c r="F296" i="31"/>
  <c r="M295" i="31"/>
  <c r="M294" i="31" s="1"/>
  <c r="F295" i="31"/>
  <c r="G292" i="31"/>
  <c r="G291" i="31"/>
  <c r="G290" i="31"/>
  <c r="F290" i="31"/>
  <c r="G289" i="31"/>
  <c r="F289" i="31"/>
  <c r="G288" i="31"/>
  <c r="M287" i="31"/>
  <c r="G287" i="31" s="1"/>
  <c r="F287" i="31"/>
  <c r="R286" i="31"/>
  <c r="L286" i="31"/>
  <c r="K286" i="31"/>
  <c r="J286" i="31"/>
  <c r="I286" i="31"/>
  <c r="H286" i="31"/>
  <c r="H247" i="31" s="1"/>
  <c r="E286" i="31"/>
  <c r="M285" i="31"/>
  <c r="F285" i="31" s="1"/>
  <c r="G285" i="31"/>
  <c r="G283" i="31" s="1"/>
  <c r="G284" i="31"/>
  <c r="F284" i="31"/>
  <c r="R283" i="31"/>
  <c r="Q283" i="31"/>
  <c r="O283" i="31"/>
  <c r="N283" i="31"/>
  <c r="M283" i="31"/>
  <c r="L283" i="31"/>
  <c r="K283" i="31"/>
  <c r="J283" i="31"/>
  <c r="I283" i="31"/>
  <c r="H283" i="31"/>
  <c r="E283" i="31"/>
  <c r="M282" i="31"/>
  <c r="G282" i="31" s="1"/>
  <c r="M281" i="31"/>
  <c r="F281" i="31" s="1"/>
  <c r="G280" i="31"/>
  <c r="G279" i="31"/>
  <c r="G278" i="31"/>
  <c r="F278" i="31"/>
  <c r="G277" i="31"/>
  <c r="G276" i="31"/>
  <c r="R275" i="31"/>
  <c r="Q275" i="31"/>
  <c r="O275" i="31"/>
  <c r="N275" i="31"/>
  <c r="L275" i="31"/>
  <c r="K275" i="31"/>
  <c r="J275" i="31"/>
  <c r="I275" i="31"/>
  <c r="H275" i="31"/>
  <c r="E275" i="31"/>
  <c r="F274" i="31"/>
  <c r="F269" i="31"/>
  <c r="F267" i="31"/>
  <c r="F266" i="31"/>
  <c r="Q265" i="31"/>
  <c r="F265" i="31" s="1"/>
  <c r="M265" i="31"/>
  <c r="M264" i="31"/>
  <c r="G264" i="31" s="1"/>
  <c r="F264" i="31"/>
  <c r="G263" i="31"/>
  <c r="R262" i="31"/>
  <c r="Q262" i="31"/>
  <c r="O262" i="31"/>
  <c r="N262" i="31"/>
  <c r="L262" i="31"/>
  <c r="K262" i="31"/>
  <c r="J262" i="31"/>
  <c r="I262" i="31"/>
  <c r="H262" i="31"/>
  <c r="E262" i="31"/>
  <c r="G261" i="31"/>
  <c r="G260" i="31"/>
  <c r="G259" i="31"/>
  <c r="G258" i="31"/>
  <c r="G257" i="31"/>
  <c r="F257" i="31"/>
  <c r="R256" i="31"/>
  <c r="Q256" i="31"/>
  <c r="O256" i="31"/>
  <c r="N256" i="31"/>
  <c r="M256" i="31"/>
  <c r="L256" i="31"/>
  <c r="K256" i="31"/>
  <c r="J256" i="31"/>
  <c r="I256" i="31"/>
  <c r="H256" i="31"/>
  <c r="F256" i="31"/>
  <c r="E256" i="31"/>
  <c r="G255" i="31"/>
  <c r="G254" i="31"/>
  <c r="G253" i="31"/>
  <c r="F253" i="31"/>
  <c r="G252" i="31"/>
  <c r="F252" i="31"/>
  <c r="M251" i="31"/>
  <c r="M546" i="31" s="1"/>
  <c r="G251" i="31"/>
  <c r="G248" i="31" s="1"/>
  <c r="G250" i="31"/>
  <c r="F250" i="31"/>
  <c r="G249" i="31"/>
  <c r="F249" i="31"/>
  <c r="R248" i="31"/>
  <c r="Q248" i="31"/>
  <c r="O248" i="31"/>
  <c r="N248" i="31"/>
  <c r="L248" i="31"/>
  <c r="K248" i="31"/>
  <c r="J248" i="31"/>
  <c r="I248" i="31"/>
  <c r="H248" i="31"/>
  <c r="E248" i="31"/>
  <c r="G246" i="31"/>
  <c r="R245" i="31"/>
  <c r="O245" i="31"/>
  <c r="N245" i="31"/>
  <c r="L245" i="31"/>
  <c r="J245" i="31"/>
  <c r="I245" i="31"/>
  <c r="E245" i="31"/>
  <c r="G244" i="31"/>
  <c r="R243" i="31"/>
  <c r="O243" i="31"/>
  <c r="N243" i="31"/>
  <c r="L243" i="31"/>
  <c r="J243" i="31"/>
  <c r="I243" i="31"/>
  <c r="G243" i="31"/>
  <c r="E243" i="31"/>
  <c r="G242" i="31"/>
  <c r="F242" i="31"/>
  <c r="R241" i="31"/>
  <c r="Q241" i="31"/>
  <c r="O241" i="31"/>
  <c r="N241" i="31"/>
  <c r="M241" i="31"/>
  <c r="L241" i="31"/>
  <c r="K241" i="31"/>
  <c r="J241" i="31"/>
  <c r="I241" i="31"/>
  <c r="H241" i="31"/>
  <c r="G241" i="31"/>
  <c r="F241" i="31"/>
  <c r="E241" i="31"/>
  <c r="G240" i="31"/>
  <c r="F240" i="31"/>
  <c r="R239" i="31"/>
  <c r="Q239" i="31"/>
  <c r="O239" i="31"/>
  <c r="N239" i="31"/>
  <c r="M239" i="31"/>
  <c r="L239" i="31"/>
  <c r="K239" i="31"/>
  <c r="J239" i="31"/>
  <c r="I239" i="31"/>
  <c r="H239" i="31"/>
  <c r="G239" i="31"/>
  <c r="F239" i="31"/>
  <c r="E239" i="31"/>
  <c r="G238" i="31"/>
  <c r="F238" i="31"/>
  <c r="G233" i="31"/>
  <c r="F233" i="31"/>
  <c r="G232" i="31"/>
  <c r="G231" i="31"/>
  <c r="R230" i="31"/>
  <c r="R221" i="31" s="1"/>
  <c r="Q230" i="31"/>
  <c r="O230" i="31"/>
  <c r="N230" i="31"/>
  <c r="M230" i="31"/>
  <c r="L230" i="31"/>
  <c r="K230" i="31"/>
  <c r="J230" i="31"/>
  <c r="I230" i="31"/>
  <c r="H230" i="31"/>
  <c r="G230" i="31"/>
  <c r="E230" i="31"/>
  <c r="G229" i="31"/>
  <c r="R228" i="31"/>
  <c r="O228" i="31"/>
  <c r="N228" i="31"/>
  <c r="L228" i="31"/>
  <c r="J228" i="31"/>
  <c r="I228" i="31"/>
  <c r="E228" i="31"/>
  <c r="G227" i="31"/>
  <c r="N226" i="31"/>
  <c r="G226" i="31"/>
  <c r="F226" i="31"/>
  <c r="F224" i="31" s="1"/>
  <c r="E226" i="31"/>
  <c r="N225" i="31"/>
  <c r="N224" i="31" s="1"/>
  <c r="F225" i="31"/>
  <c r="E225" i="31"/>
  <c r="R224" i="31"/>
  <c r="Q224" i="31"/>
  <c r="O224" i="31"/>
  <c r="M224" i="31"/>
  <c r="L224" i="31"/>
  <c r="K224" i="31"/>
  <c r="J224" i="31"/>
  <c r="I224" i="31"/>
  <c r="H224" i="31"/>
  <c r="S223" i="31"/>
  <c r="N223" i="31"/>
  <c r="G223" i="31"/>
  <c r="G222" i="31" s="1"/>
  <c r="F223" i="31"/>
  <c r="E223" i="31"/>
  <c r="E222" i="31" s="1"/>
  <c r="R222" i="31"/>
  <c r="Q222" i="31"/>
  <c r="Q221" i="31" s="1"/>
  <c r="O222" i="31"/>
  <c r="N222" i="31"/>
  <c r="N221" i="31" s="1"/>
  <c r="M222" i="31"/>
  <c r="M221" i="31" s="1"/>
  <c r="L222" i="31"/>
  <c r="K222" i="31"/>
  <c r="J222" i="31"/>
  <c r="I222" i="31"/>
  <c r="H222" i="31"/>
  <c r="H221" i="31" s="1"/>
  <c r="F222" i="31"/>
  <c r="I221" i="31"/>
  <c r="G209" i="31"/>
  <c r="G208" i="31"/>
  <c r="G207" i="31"/>
  <c r="G202" i="31"/>
  <c r="G201" i="31"/>
  <c r="G200" i="31"/>
  <c r="G199" i="31"/>
  <c r="G198" i="31"/>
  <c r="R197" i="31"/>
  <c r="O197" i="31"/>
  <c r="N197" i="31"/>
  <c r="L197" i="31"/>
  <c r="J197" i="31"/>
  <c r="I197" i="31"/>
  <c r="E197" i="31"/>
  <c r="G196" i="31"/>
  <c r="G195" i="31"/>
  <c r="G194" i="31"/>
  <c r="G193" i="31"/>
  <c r="G192" i="31"/>
  <c r="G191" i="31"/>
  <c r="G190" i="31"/>
  <c r="G189" i="31"/>
  <c r="G188" i="31"/>
  <c r="R187" i="31"/>
  <c r="R186" i="31" s="1"/>
  <c r="O187" i="31"/>
  <c r="O186" i="31" s="1"/>
  <c r="N187" i="31"/>
  <c r="L187" i="31"/>
  <c r="L186" i="31" s="1"/>
  <c r="J187" i="31"/>
  <c r="I187" i="31"/>
  <c r="E187" i="31"/>
  <c r="J186" i="31"/>
  <c r="E186" i="31"/>
  <c r="G185" i="31"/>
  <c r="G180" i="31"/>
  <c r="G179" i="31"/>
  <c r="G178" i="31"/>
  <c r="G177" i="31"/>
  <c r="G176" i="31"/>
  <c r="G175" i="31"/>
  <c r="R174" i="31"/>
  <c r="O174" i="31"/>
  <c r="N174" i="31"/>
  <c r="N163" i="31" s="1"/>
  <c r="L174" i="31"/>
  <c r="J174" i="31"/>
  <c r="J163" i="31" s="1"/>
  <c r="J162" i="31" s="1"/>
  <c r="I174" i="31"/>
  <c r="E174" i="31"/>
  <c r="G173" i="31"/>
  <c r="G172" i="31"/>
  <c r="G171" i="31"/>
  <c r="G170" i="31"/>
  <c r="G169" i="31"/>
  <c r="G168" i="31"/>
  <c r="G167" i="31"/>
  <c r="G166" i="31"/>
  <c r="G165" i="31"/>
  <c r="R164" i="31"/>
  <c r="O164" i="31"/>
  <c r="N164" i="31"/>
  <c r="L164" i="31"/>
  <c r="J164" i="31"/>
  <c r="I164" i="31"/>
  <c r="G164" i="31" s="1"/>
  <c r="E164" i="31"/>
  <c r="R163" i="31"/>
  <c r="R162" i="31" s="1"/>
  <c r="O163" i="31"/>
  <c r="L163" i="31"/>
  <c r="I163" i="31"/>
  <c r="E163" i="31"/>
  <c r="G161" i="31"/>
  <c r="R160" i="31"/>
  <c r="O160" i="31"/>
  <c r="O151" i="31" s="1"/>
  <c r="N160" i="31"/>
  <c r="L160" i="31"/>
  <c r="J160" i="31"/>
  <c r="I160" i="31"/>
  <c r="E160" i="31"/>
  <c r="G159" i="31"/>
  <c r="R154" i="31"/>
  <c r="O154" i="31"/>
  <c r="N154" i="31"/>
  <c r="L154" i="31"/>
  <c r="J154" i="31"/>
  <c r="I154" i="31"/>
  <c r="E154" i="31"/>
  <c r="E151" i="31" s="1"/>
  <c r="G153" i="31"/>
  <c r="R152" i="31"/>
  <c r="O152" i="31"/>
  <c r="N152" i="31"/>
  <c r="L152" i="31"/>
  <c r="J152" i="31"/>
  <c r="I152" i="31"/>
  <c r="G152" i="31" s="1"/>
  <c r="E152" i="31"/>
  <c r="N151" i="31"/>
  <c r="G150" i="31"/>
  <c r="R149" i="31"/>
  <c r="R148" i="31" s="1"/>
  <c r="O149" i="31"/>
  <c r="N149" i="31"/>
  <c r="L149" i="31"/>
  <c r="J149" i="31"/>
  <c r="I149" i="31"/>
  <c r="G149" i="31" s="1"/>
  <c r="E149" i="31"/>
  <c r="O148" i="31"/>
  <c r="N148" i="31"/>
  <c r="L148" i="31"/>
  <c r="J148" i="31"/>
  <c r="I148" i="31"/>
  <c r="E148" i="31"/>
  <c r="G147" i="31"/>
  <c r="R146" i="31"/>
  <c r="O146" i="31"/>
  <c r="N146" i="31"/>
  <c r="L146" i="31"/>
  <c r="J146" i="31"/>
  <c r="I146" i="31"/>
  <c r="E146" i="31"/>
  <c r="G145" i="31"/>
  <c r="R144" i="31"/>
  <c r="O144" i="31"/>
  <c r="N144" i="31"/>
  <c r="L144" i="31"/>
  <c r="J144" i="31"/>
  <c r="I144" i="31"/>
  <c r="E144" i="31"/>
  <c r="G143" i="31"/>
  <c r="R142" i="31"/>
  <c r="O142" i="31"/>
  <c r="N142" i="31"/>
  <c r="N141" i="31" s="1"/>
  <c r="L142" i="31"/>
  <c r="J142" i="31"/>
  <c r="I142" i="31"/>
  <c r="E142" i="31"/>
  <c r="O141" i="31"/>
  <c r="I141" i="31"/>
  <c r="G140" i="31"/>
  <c r="R139" i="31"/>
  <c r="O139" i="31"/>
  <c r="N139" i="31"/>
  <c r="L139" i="31"/>
  <c r="J139" i="31"/>
  <c r="I139" i="31"/>
  <c r="E139" i="31"/>
  <c r="G138" i="31"/>
  <c r="F138" i="31"/>
  <c r="R137" i="31"/>
  <c r="Q137" i="31"/>
  <c r="O137" i="31"/>
  <c r="N137" i="31"/>
  <c r="M137" i="31"/>
  <c r="L137" i="31"/>
  <c r="L134" i="31" s="1"/>
  <c r="K137" i="31"/>
  <c r="J137" i="31"/>
  <c r="I137" i="31"/>
  <c r="H137" i="31"/>
  <c r="G137" i="31"/>
  <c r="F137" i="31"/>
  <c r="E137" i="31"/>
  <c r="G136" i="31"/>
  <c r="F136" i="31"/>
  <c r="R135" i="31"/>
  <c r="R134" i="31" s="1"/>
  <c r="O135" i="31"/>
  <c r="N135" i="31"/>
  <c r="N134" i="31" s="1"/>
  <c r="L135" i="31"/>
  <c r="J135" i="31"/>
  <c r="I135" i="31"/>
  <c r="F135" i="31"/>
  <c r="E135" i="31"/>
  <c r="E134" i="31" s="1"/>
  <c r="Q134" i="31"/>
  <c r="M134" i="31"/>
  <c r="M133" i="31" s="1"/>
  <c r="K134" i="31"/>
  <c r="K133" i="31" s="1"/>
  <c r="H134" i="31"/>
  <c r="Q133" i="31"/>
  <c r="G132" i="31"/>
  <c r="F132" i="31"/>
  <c r="F131" i="31"/>
  <c r="F130" i="31"/>
  <c r="F129" i="31"/>
  <c r="F128" i="31"/>
  <c r="R127" i="31"/>
  <c r="R126" i="31" s="1"/>
  <c r="Q127" i="31"/>
  <c r="O127" i="31"/>
  <c r="O126" i="31" s="1"/>
  <c r="N127" i="31"/>
  <c r="N126" i="31" s="1"/>
  <c r="M127" i="31"/>
  <c r="L127" i="31"/>
  <c r="K127" i="31"/>
  <c r="J127" i="31"/>
  <c r="J126" i="31" s="1"/>
  <c r="I127" i="31"/>
  <c r="I126" i="31" s="1"/>
  <c r="H127" i="31"/>
  <c r="F127" i="31" s="1"/>
  <c r="G127" i="31"/>
  <c r="G126" i="31" s="1"/>
  <c r="E127" i="31"/>
  <c r="E126" i="31" s="1"/>
  <c r="Q126" i="31"/>
  <c r="M126" i="31"/>
  <c r="L126" i="31"/>
  <c r="K126" i="31"/>
  <c r="H126" i="31"/>
  <c r="G125" i="31"/>
  <c r="G123" i="31" s="1"/>
  <c r="G122" i="31" s="1"/>
  <c r="G120" i="31" s="1"/>
  <c r="F125" i="31"/>
  <c r="G124" i="31"/>
  <c r="F124" i="31"/>
  <c r="R123" i="31"/>
  <c r="Q123" i="31"/>
  <c r="Q122" i="31" s="1"/>
  <c r="O123" i="31"/>
  <c r="O122" i="31" s="1"/>
  <c r="N123" i="31"/>
  <c r="N122" i="31" s="1"/>
  <c r="M123" i="31"/>
  <c r="L123" i="31"/>
  <c r="L122" i="31" s="1"/>
  <c r="L120" i="31" s="1"/>
  <c r="K123" i="31"/>
  <c r="J123" i="31"/>
  <c r="J122" i="31" s="1"/>
  <c r="J120" i="31" s="1"/>
  <c r="I123" i="31"/>
  <c r="H123" i="31"/>
  <c r="F123" i="31" s="1"/>
  <c r="E123" i="31"/>
  <c r="R122" i="31"/>
  <c r="M122" i="31"/>
  <c r="K122" i="31"/>
  <c r="I122" i="31"/>
  <c r="I120" i="31" s="1"/>
  <c r="E122" i="31"/>
  <c r="E120" i="31" s="1"/>
  <c r="F121" i="31"/>
  <c r="Q120" i="31"/>
  <c r="K120" i="31"/>
  <c r="G119" i="31"/>
  <c r="F119" i="31"/>
  <c r="R118" i="31"/>
  <c r="O118" i="31"/>
  <c r="N118" i="31"/>
  <c r="L118" i="31"/>
  <c r="J118" i="31"/>
  <c r="I118" i="31"/>
  <c r="F118" i="31"/>
  <c r="E118" i="31"/>
  <c r="G117" i="31"/>
  <c r="F117" i="31"/>
  <c r="R116" i="31"/>
  <c r="R115" i="31" s="1"/>
  <c r="O116" i="31"/>
  <c r="O115" i="31" s="1"/>
  <c r="N116" i="31"/>
  <c r="L116" i="31"/>
  <c r="J116" i="31"/>
  <c r="I116" i="31"/>
  <c r="F116" i="31"/>
  <c r="E116" i="31"/>
  <c r="E115" i="31" s="1"/>
  <c r="N115" i="31"/>
  <c r="L115" i="31"/>
  <c r="I115" i="31"/>
  <c r="F115" i="31"/>
  <c r="G114" i="31"/>
  <c r="F114" i="31"/>
  <c r="R113" i="31"/>
  <c r="O113" i="31"/>
  <c r="N113" i="31"/>
  <c r="L113" i="31"/>
  <c r="J113" i="31"/>
  <c r="G113" i="31" s="1"/>
  <c r="I113" i="31"/>
  <c r="F113" i="31"/>
  <c r="E113" i="31"/>
  <c r="G112" i="31"/>
  <c r="F112" i="31"/>
  <c r="G111" i="31"/>
  <c r="F111" i="31"/>
  <c r="R110" i="31"/>
  <c r="Q110" i="31"/>
  <c r="O110" i="31"/>
  <c r="N110" i="31"/>
  <c r="M110" i="31"/>
  <c r="F110" i="31" s="1"/>
  <c r="L110" i="31"/>
  <c r="K110" i="31"/>
  <c r="J110" i="31"/>
  <c r="I110" i="31"/>
  <c r="I86" i="31" s="1"/>
  <c r="H110" i="31"/>
  <c r="G110" i="31"/>
  <c r="E110" i="31"/>
  <c r="G109" i="31"/>
  <c r="F109" i="31"/>
  <c r="G108" i="31"/>
  <c r="F108" i="31"/>
  <c r="G107" i="31"/>
  <c r="F107" i="31"/>
  <c r="G106" i="31"/>
  <c r="F106" i="31"/>
  <c r="G105" i="31"/>
  <c r="F105" i="31"/>
  <c r="G104" i="31"/>
  <c r="F104" i="31"/>
  <c r="F103" i="31"/>
  <c r="F102" i="31"/>
  <c r="F101" i="31"/>
  <c r="F100" i="31"/>
  <c r="R99" i="31"/>
  <c r="O99" i="31"/>
  <c r="N99" i="31"/>
  <c r="L99" i="31"/>
  <c r="J99" i="31"/>
  <c r="I99" i="31"/>
  <c r="F99" i="31"/>
  <c r="E99" i="31"/>
  <c r="G98" i="31"/>
  <c r="F98" i="31"/>
  <c r="G97" i="31"/>
  <c r="F97" i="31"/>
  <c r="G96" i="31"/>
  <c r="F96" i="31"/>
  <c r="F94" i="31" s="1"/>
  <c r="G95" i="31"/>
  <c r="F95" i="31"/>
  <c r="R94" i="31"/>
  <c r="Q94" i="31"/>
  <c r="O94" i="31"/>
  <c r="N94" i="31"/>
  <c r="M94" i="31"/>
  <c r="L94" i="31"/>
  <c r="K94" i="31"/>
  <c r="J94" i="31"/>
  <c r="I94" i="31"/>
  <c r="H94" i="31"/>
  <c r="G94" i="31"/>
  <c r="E94" i="31"/>
  <c r="G93" i="31"/>
  <c r="F93" i="31"/>
  <c r="G92" i="31"/>
  <c r="F92" i="31"/>
  <c r="G91" i="31"/>
  <c r="F91" i="31"/>
  <c r="F87" i="31" s="1"/>
  <c r="G90" i="31"/>
  <c r="G89" i="31"/>
  <c r="G88" i="31"/>
  <c r="R87" i="31"/>
  <c r="Q87" i="31"/>
  <c r="O87" i="31"/>
  <c r="N87" i="31"/>
  <c r="N86" i="31" s="1"/>
  <c r="M87" i="31"/>
  <c r="L87" i="31"/>
  <c r="K87" i="31"/>
  <c r="K86" i="31" s="1"/>
  <c r="J87" i="31"/>
  <c r="J86" i="31" s="1"/>
  <c r="I87" i="31"/>
  <c r="H87" i="31"/>
  <c r="E87" i="31"/>
  <c r="O86" i="31"/>
  <c r="M86" i="31"/>
  <c r="M7" i="31" s="1"/>
  <c r="M6" i="31" s="1"/>
  <c r="M210" i="31" s="1"/>
  <c r="G85" i="31"/>
  <c r="G84" i="31"/>
  <c r="R83" i="31"/>
  <c r="O83" i="31"/>
  <c r="N83" i="31"/>
  <c r="L83" i="31"/>
  <c r="J83" i="31"/>
  <c r="I83" i="31"/>
  <c r="G83" i="31" s="1"/>
  <c r="E83" i="31"/>
  <c r="G82" i="31"/>
  <c r="G81" i="31"/>
  <c r="G80" i="31"/>
  <c r="G79" i="31"/>
  <c r="R78" i="31"/>
  <c r="O78" i="31"/>
  <c r="N78" i="31"/>
  <c r="L78" i="31"/>
  <c r="J78" i="31"/>
  <c r="I78" i="31"/>
  <c r="E78" i="31"/>
  <c r="E74" i="31" s="1"/>
  <c r="G77" i="31"/>
  <c r="G76" i="31"/>
  <c r="R75" i="31"/>
  <c r="O75" i="31"/>
  <c r="O74" i="31" s="1"/>
  <c r="N75" i="31"/>
  <c r="L75" i="31"/>
  <c r="J75" i="31"/>
  <c r="I75" i="31"/>
  <c r="E75" i="31"/>
  <c r="R74" i="31"/>
  <c r="N74" i="31"/>
  <c r="J74" i="31"/>
  <c r="I74" i="31"/>
  <c r="G69" i="31"/>
  <c r="G68" i="31"/>
  <c r="G67" i="31"/>
  <c r="R66" i="31"/>
  <c r="O66" i="31"/>
  <c r="N66" i="31"/>
  <c r="L66" i="31"/>
  <c r="J66" i="31"/>
  <c r="I66" i="31"/>
  <c r="G66" i="31"/>
  <c r="E66" i="31"/>
  <c r="G65" i="31"/>
  <c r="G64" i="31"/>
  <c r="G63" i="31"/>
  <c r="G62" i="31"/>
  <c r="R61" i="31"/>
  <c r="O61" i="31"/>
  <c r="O60" i="31" s="1"/>
  <c r="N61" i="31"/>
  <c r="L61" i="31"/>
  <c r="J61" i="31"/>
  <c r="I61" i="31"/>
  <c r="G61" i="31"/>
  <c r="E61" i="31"/>
  <c r="R60" i="31"/>
  <c r="N60" i="31"/>
  <c r="L60" i="31"/>
  <c r="J60" i="31"/>
  <c r="I60" i="31"/>
  <c r="E60" i="31"/>
  <c r="G59" i="31"/>
  <c r="G58" i="31"/>
  <c r="G57" i="31"/>
  <c r="G56" i="31"/>
  <c r="G55" i="31"/>
  <c r="G54" i="31"/>
  <c r="R53" i="31"/>
  <c r="O53" i="31"/>
  <c r="N53" i="31"/>
  <c r="L53" i="31"/>
  <c r="J53" i="31"/>
  <c r="I53" i="31"/>
  <c r="E53" i="31"/>
  <c r="G52" i="31"/>
  <c r="G51" i="31"/>
  <c r="G50" i="31"/>
  <c r="G49" i="31"/>
  <c r="G48" i="31"/>
  <c r="G47" i="31"/>
  <c r="R42" i="31"/>
  <c r="O42" i="31"/>
  <c r="N42" i="31"/>
  <c r="L42" i="31"/>
  <c r="J42" i="31"/>
  <c r="I42" i="31"/>
  <c r="G42" i="31" s="1"/>
  <c r="E42" i="31"/>
  <c r="G41" i="31"/>
  <c r="G40" i="31"/>
  <c r="R39" i="31"/>
  <c r="O39" i="31"/>
  <c r="N39" i="31"/>
  <c r="L39" i="31"/>
  <c r="J39" i="31"/>
  <c r="I39" i="31"/>
  <c r="E39" i="31"/>
  <c r="G38" i="31"/>
  <c r="G37" i="31"/>
  <c r="G36" i="31"/>
  <c r="G35" i="31"/>
  <c r="G34" i="31"/>
  <c r="G33" i="31"/>
  <c r="R32" i="31"/>
  <c r="R8" i="31" s="1"/>
  <c r="O32" i="31"/>
  <c r="N32" i="31"/>
  <c r="L32" i="31"/>
  <c r="J32" i="31"/>
  <c r="I32" i="31"/>
  <c r="G32" i="31" s="1"/>
  <c r="E32" i="31"/>
  <c r="G31" i="31"/>
  <c r="G30" i="31"/>
  <c r="G29" i="31"/>
  <c r="G28" i="31"/>
  <c r="G27" i="31"/>
  <c r="R26" i="31"/>
  <c r="O26" i="31"/>
  <c r="N26" i="31"/>
  <c r="L26" i="31"/>
  <c r="J26" i="31"/>
  <c r="I26" i="31"/>
  <c r="E26" i="31"/>
  <c r="G25" i="31"/>
  <c r="G24" i="31"/>
  <c r="G23" i="31"/>
  <c r="G22" i="31"/>
  <c r="G21" i="31"/>
  <c r="G20" i="31"/>
  <c r="R19" i="31"/>
  <c r="O19" i="31"/>
  <c r="N19" i="31"/>
  <c r="L19" i="31"/>
  <c r="J19" i="31"/>
  <c r="I19" i="31"/>
  <c r="E19" i="31"/>
  <c r="G18" i="31"/>
  <c r="R17" i="31"/>
  <c r="O17" i="31"/>
  <c r="N17" i="31"/>
  <c r="N8" i="31" s="1"/>
  <c r="N7" i="31" s="1"/>
  <c r="L17" i="31"/>
  <c r="J17" i="31"/>
  <c r="G17" i="31" s="1"/>
  <c r="I17" i="31"/>
  <c r="E17" i="31"/>
  <c r="G16" i="31"/>
  <c r="G15" i="31"/>
  <c r="G10" i="31"/>
  <c r="R9" i="31"/>
  <c r="O9" i="31"/>
  <c r="N9" i="31"/>
  <c r="L9" i="31"/>
  <c r="L8" i="31" s="1"/>
  <c r="J9" i="31"/>
  <c r="J8" i="31" s="1"/>
  <c r="I9" i="31"/>
  <c r="E9" i="31"/>
  <c r="E8" i="31"/>
  <c r="K7" i="31"/>
  <c r="K6" i="31" s="1"/>
  <c r="K210" i="31" s="1"/>
  <c r="E133" i="32" l="1"/>
  <c r="G19" i="33"/>
  <c r="G83" i="33"/>
  <c r="O133" i="33"/>
  <c r="O515" i="31"/>
  <c r="G516" i="31"/>
  <c r="E374" i="32"/>
  <c r="G78" i="33"/>
  <c r="I186" i="31"/>
  <c r="G197" i="31"/>
  <c r="J8" i="32"/>
  <c r="J7" i="32" s="1"/>
  <c r="N8" i="32"/>
  <c r="N7" i="32" s="1"/>
  <c r="M538" i="34"/>
  <c r="M539" i="34"/>
  <c r="F134" i="31"/>
  <c r="H133" i="31"/>
  <c r="F133" i="31" s="1"/>
  <c r="G99" i="31"/>
  <c r="R394" i="31"/>
  <c r="L486" i="31"/>
  <c r="G164" i="32"/>
  <c r="J163" i="32"/>
  <c r="J162" i="32" s="1"/>
  <c r="O361" i="32"/>
  <c r="G482" i="33"/>
  <c r="O151" i="32"/>
  <c r="O133" i="32" s="1"/>
  <c r="G245" i="32"/>
  <c r="G315" i="32"/>
  <c r="I333" i="32"/>
  <c r="K435" i="32"/>
  <c r="K434" i="32" s="1"/>
  <c r="E8" i="33"/>
  <c r="G66" i="33"/>
  <c r="F134" i="33"/>
  <c r="K133" i="33"/>
  <c r="G9" i="31"/>
  <c r="I8" i="31"/>
  <c r="G154" i="31"/>
  <c r="I151" i="31"/>
  <c r="G142" i="31"/>
  <c r="G174" i="31"/>
  <c r="F262" i="31"/>
  <c r="G331" i="31"/>
  <c r="I314" i="31"/>
  <c r="G382" i="31"/>
  <c r="L374" i="31"/>
  <c r="G312" i="32"/>
  <c r="F312" i="32"/>
  <c r="G148" i="32"/>
  <c r="J221" i="32"/>
  <c r="H221" i="32"/>
  <c r="N133" i="33"/>
  <c r="J162" i="33"/>
  <c r="G60" i="31"/>
  <c r="E162" i="31"/>
  <c r="L247" i="31"/>
  <c r="L474" i="32"/>
  <c r="G135" i="31"/>
  <c r="J134" i="31"/>
  <c r="I162" i="31"/>
  <c r="G154" i="32"/>
  <c r="I151" i="32"/>
  <c r="N60" i="33"/>
  <c r="N7" i="33" s="1"/>
  <c r="N6" i="33" s="1"/>
  <c r="N210" i="33" s="1"/>
  <c r="N547" i="33" s="1"/>
  <c r="F133" i="33"/>
  <c r="G224" i="33"/>
  <c r="L162" i="31"/>
  <c r="O247" i="32"/>
  <c r="N133" i="31"/>
  <c r="N6" i="31" s="1"/>
  <c r="O162" i="31"/>
  <c r="Q74" i="32"/>
  <c r="Q7" i="32" s="1"/>
  <c r="Q162" i="33"/>
  <c r="E485" i="33"/>
  <c r="G53" i="31"/>
  <c r="L74" i="31"/>
  <c r="G74" i="31" s="1"/>
  <c r="L86" i="31"/>
  <c r="G144" i="31"/>
  <c r="G187" i="31"/>
  <c r="G228" i="31"/>
  <c r="R247" i="31"/>
  <c r="G325" i="31"/>
  <c r="G334" i="31"/>
  <c r="G385" i="31"/>
  <c r="G423" i="31"/>
  <c r="L435" i="31"/>
  <c r="R486" i="31"/>
  <c r="R485" i="31" s="1"/>
  <c r="G539" i="31"/>
  <c r="G61" i="32"/>
  <c r="O86" i="32"/>
  <c r="F127" i="32"/>
  <c r="N141" i="32"/>
  <c r="L163" i="32"/>
  <c r="O186" i="32"/>
  <c r="G256" i="32"/>
  <c r="F294" i="32"/>
  <c r="G371" i="32"/>
  <c r="G395" i="32"/>
  <c r="O486" i="32"/>
  <c r="O485" i="32" s="1"/>
  <c r="Q515" i="32"/>
  <c r="Q485" i="32" s="1"/>
  <c r="G275" i="32"/>
  <c r="Q8" i="33"/>
  <c r="F221" i="33"/>
  <c r="K247" i="33"/>
  <c r="L314" i="33"/>
  <c r="L361" i="33"/>
  <c r="N374" i="33"/>
  <c r="O434" i="33"/>
  <c r="O486" i="33"/>
  <c r="O485" i="33" s="1"/>
  <c r="L515" i="33"/>
  <c r="L485" i="33" s="1"/>
  <c r="G39" i="31"/>
  <c r="G75" i="31"/>
  <c r="G118" i="31"/>
  <c r="R141" i="31"/>
  <c r="J221" i="31"/>
  <c r="E224" i="31"/>
  <c r="E247" i="31"/>
  <c r="I486" i="31"/>
  <c r="G134" i="32"/>
  <c r="E435" i="32"/>
  <c r="E434" i="32" s="1"/>
  <c r="G479" i="32"/>
  <c r="O8" i="33"/>
  <c r="O7" i="33" s="1"/>
  <c r="O6" i="33" s="1"/>
  <c r="O210" i="33" s="1"/>
  <c r="Q86" i="33"/>
  <c r="F127" i="33"/>
  <c r="F137" i="33"/>
  <c r="G164" i="33"/>
  <c r="N224" i="33"/>
  <c r="N221" i="33" s="1"/>
  <c r="N220" i="33" s="1"/>
  <c r="N219" i="33" s="1"/>
  <c r="N541" i="33" s="1"/>
  <c r="N247" i="33"/>
  <c r="G282" i="33"/>
  <c r="F287" i="33"/>
  <c r="M294" i="33"/>
  <c r="G355" i="33"/>
  <c r="I435" i="33"/>
  <c r="G461" i="33"/>
  <c r="G477" i="33"/>
  <c r="G483" i="33"/>
  <c r="G116" i="31"/>
  <c r="L141" i="31"/>
  <c r="N247" i="31"/>
  <c r="N220" i="31" s="1"/>
  <c r="N219" i="31" s="1"/>
  <c r="N541" i="31" s="1"/>
  <c r="E374" i="31"/>
  <c r="G395" i="31"/>
  <c r="G436" i="31"/>
  <c r="F110" i="32"/>
  <c r="F137" i="32"/>
  <c r="J134" i="32"/>
  <c r="E314" i="32"/>
  <c r="G361" i="32"/>
  <c r="N86" i="33"/>
  <c r="G187" i="33"/>
  <c r="O221" i="33"/>
  <c r="M262" i="33"/>
  <c r="P286" i="33"/>
  <c r="I314" i="33"/>
  <c r="I220" i="33" s="1"/>
  <c r="G334" i="33"/>
  <c r="Q485" i="33"/>
  <c r="L221" i="34"/>
  <c r="L220" i="34" s="1"/>
  <c r="F127" i="35"/>
  <c r="H126" i="35"/>
  <c r="O8" i="31"/>
  <c r="O7" i="31" s="1"/>
  <c r="R86" i="31"/>
  <c r="R7" i="31" s="1"/>
  <c r="L221" i="31"/>
  <c r="G225" i="31"/>
  <c r="G224" i="31" s="1"/>
  <c r="O221" i="31"/>
  <c r="F283" i="31"/>
  <c r="N394" i="31"/>
  <c r="R474" i="31"/>
  <c r="G483" i="31"/>
  <c r="G42" i="32"/>
  <c r="G113" i="32"/>
  <c r="L133" i="32"/>
  <c r="G160" i="32"/>
  <c r="H247" i="32"/>
  <c r="G323" i="32"/>
  <c r="G368" i="32"/>
  <c r="G469" i="32"/>
  <c r="G516" i="32"/>
  <c r="E86" i="33"/>
  <c r="F110" i="33"/>
  <c r="G142" i="33"/>
  <c r="L141" i="33"/>
  <c r="H221" i="33"/>
  <c r="H220" i="33" s="1"/>
  <c r="O247" i="33"/>
  <c r="Q413" i="33"/>
  <c r="N6" i="35"/>
  <c r="Q86" i="31"/>
  <c r="G139" i="31"/>
  <c r="G148" i="31"/>
  <c r="G160" i="31"/>
  <c r="G245" i="31"/>
  <c r="I247" i="31"/>
  <c r="I220" i="31" s="1"/>
  <c r="G256" i="31"/>
  <c r="G368" i="31"/>
  <c r="R413" i="31"/>
  <c r="E413" i="31"/>
  <c r="Q435" i="31"/>
  <c r="Q434" i="31" s="1"/>
  <c r="G469" i="31"/>
  <c r="G477" i="31"/>
  <c r="G19" i="32"/>
  <c r="G53" i="32"/>
  <c r="N134" i="32"/>
  <c r="F264" i="32"/>
  <c r="N333" i="32"/>
  <c r="G426" i="32"/>
  <c r="G413" i="32" s="1"/>
  <c r="I474" i="32"/>
  <c r="G61" i="33"/>
  <c r="F94" i="33"/>
  <c r="G139" i="33"/>
  <c r="G228" i="33"/>
  <c r="E413" i="33"/>
  <c r="L413" i="33"/>
  <c r="H435" i="33"/>
  <c r="H434" i="33" s="1"/>
  <c r="G472" i="33"/>
  <c r="G487" i="33"/>
  <c r="R435" i="31"/>
  <c r="R434" i="31" s="1"/>
  <c r="G461" i="31"/>
  <c r="G487" i="31"/>
  <c r="O486" i="31"/>
  <c r="O485" i="31" s="1"/>
  <c r="G32" i="32"/>
  <c r="I60" i="32"/>
  <c r="G60" i="32" s="1"/>
  <c r="G75" i="32"/>
  <c r="I134" i="32"/>
  <c r="G146" i="32"/>
  <c r="J247" i="32"/>
  <c r="L314" i="32"/>
  <c r="L220" i="32" s="1"/>
  <c r="L219" i="32" s="1"/>
  <c r="L541" i="32" s="1"/>
  <c r="G357" i="32"/>
  <c r="I434" i="32"/>
  <c r="G483" i="32"/>
  <c r="G487" i="32"/>
  <c r="I86" i="33"/>
  <c r="G94" i="33"/>
  <c r="G86" i="33" s="1"/>
  <c r="G113" i="33"/>
  <c r="G135" i="33"/>
  <c r="I148" i="33"/>
  <c r="G148" i="33" s="1"/>
  <c r="E221" i="33"/>
  <c r="G323" i="33"/>
  <c r="O333" i="33"/>
  <c r="E374" i="33"/>
  <c r="G423" i="33"/>
  <c r="M435" i="33"/>
  <c r="M434" i="33" s="1"/>
  <c r="G441" i="33"/>
  <c r="G452" i="33"/>
  <c r="G459" i="33"/>
  <c r="N458" i="33"/>
  <c r="Q474" i="33"/>
  <c r="K247" i="31"/>
  <c r="G262" i="31"/>
  <c r="Q247" i="31"/>
  <c r="Q220" i="31" s="1"/>
  <c r="Q219" i="31" s="1"/>
  <c r="Q541" i="31" s="1"/>
  <c r="G315" i="31"/>
  <c r="G357" i="31"/>
  <c r="G441" i="31"/>
  <c r="G454" i="31"/>
  <c r="G472" i="31"/>
  <c r="G511" i="31"/>
  <c r="E515" i="31"/>
  <c r="E485" i="31" s="1"/>
  <c r="E8" i="32"/>
  <c r="G39" i="32"/>
  <c r="I86" i="32"/>
  <c r="F87" i="32"/>
  <c r="G116" i="32"/>
  <c r="K134" i="32"/>
  <c r="K133" i="32" s="1"/>
  <c r="G243" i="32"/>
  <c r="F265" i="32"/>
  <c r="G365" i="32"/>
  <c r="G391" i="32"/>
  <c r="G374" i="32" s="1"/>
  <c r="F413" i="32"/>
  <c r="G454" i="32"/>
  <c r="G461" i="32"/>
  <c r="J474" i="32"/>
  <c r="G511" i="32"/>
  <c r="L8" i="33"/>
  <c r="G42" i="33"/>
  <c r="G75" i="33"/>
  <c r="L134" i="33"/>
  <c r="G160" i="33"/>
  <c r="I333" i="33"/>
  <c r="L333" i="33"/>
  <c r="L220" i="33" s="1"/>
  <c r="L219" i="33" s="1"/>
  <c r="L541" i="33" s="1"/>
  <c r="G399" i="33"/>
  <c r="G511" i="33"/>
  <c r="N486" i="33"/>
  <c r="N485" i="33" s="1"/>
  <c r="L220" i="35"/>
  <c r="L219" i="35" s="1"/>
  <c r="L541" i="35" s="1"/>
  <c r="G361" i="33"/>
  <c r="G374" i="33"/>
  <c r="J220" i="35"/>
  <c r="H86" i="31"/>
  <c r="E86" i="31"/>
  <c r="E7" i="31" s="1"/>
  <c r="E6" i="31" s="1"/>
  <c r="E210" i="31" s="1"/>
  <c r="O134" i="31"/>
  <c r="O133" i="31" s="1"/>
  <c r="R151" i="31"/>
  <c r="N186" i="31"/>
  <c r="N162" i="31" s="1"/>
  <c r="F230" i="31"/>
  <c r="M248" i="31"/>
  <c r="G312" i="31"/>
  <c r="H435" i="31"/>
  <c r="H434" i="31" s="1"/>
  <c r="F444" i="31"/>
  <c r="F441" i="31" s="1"/>
  <c r="F435" i="31" s="1"/>
  <c r="F434" i="31" s="1"/>
  <c r="G501" i="31"/>
  <c r="L115" i="32"/>
  <c r="J151" i="32"/>
  <c r="G197" i="32"/>
  <c r="M221" i="32"/>
  <c r="N247" i="32"/>
  <c r="G327" i="32"/>
  <c r="G334" i="32"/>
  <c r="G355" i="32"/>
  <c r="E394" i="32"/>
  <c r="I413" i="32"/>
  <c r="N458" i="32"/>
  <c r="N474" i="32"/>
  <c r="G501" i="32"/>
  <c r="G530" i="32"/>
  <c r="F248" i="32"/>
  <c r="J8" i="33"/>
  <c r="G116" i="33"/>
  <c r="I186" i="33"/>
  <c r="I162" i="33" s="1"/>
  <c r="G162" i="33" s="1"/>
  <c r="G256" i="33"/>
  <c r="G312" i="33"/>
  <c r="E361" i="33"/>
  <c r="L435" i="33"/>
  <c r="L434" i="33" s="1"/>
  <c r="I474" i="33"/>
  <c r="G501" i="33"/>
  <c r="M303" i="33"/>
  <c r="G87" i="31"/>
  <c r="R133" i="31"/>
  <c r="G146" i="31"/>
  <c r="L151" i="31"/>
  <c r="E221" i="31"/>
  <c r="R314" i="31"/>
  <c r="R220" i="31" s="1"/>
  <c r="R219" i="31" s="1"/>
  <c r="R541" i="31" s="1"/>
  <c r="E333" i="31"/>
  <c r="G362" i="31"/>
  <c r="N361" i="31"/>
  <c r="G414" i="31"/>
  <c r="G413" i="31" s="1"/>
  <c r="I435" i="31"/>
  <c r="O458" i="31"/>
  <c r="O434" i="31" s="1"/>
  <c r="G530" i="31"/>
  <c r="L8" i="32"/>
  <c r="I141" i="32"/>
  <c r="E163" i="32"/>
  <c r="O221" i="32"/>
  <c r="G362" i="32"/>
  <c r="G399" i="32"/>
  <c r="G459" i="32"/>
  <c r="I8" i="33"/>
  <c r="I60" i="33"/>
  <c r="G60" i="33" s="1"/>
  <c r="M86" i="33"/>
  <c r="M7" i="33" s="1"/>
  <c r="M6" i="33" s="1"/>
  <c r="M210" i="33" s="1"/>
  <c r="Q134" i="33"/>
  <c r="Q133" i="33" s="1"/>
  <c r="G146" i="33"/>
  <c r="N163" i="33"/>
  <c r="N162" i="33" s="1"/>
  <c r="J247" i="33"/>
  <c r="M283" i="33"/>
  <c r="E314" i="33"/>
  <c r="G365" i="33"/>
  <c r="I374" i="33"/>
  <c r="Q435" i="33"/>
  <c r="Q434" i="33" s="1"/>
  <c r="I471" i="33"/>
  <c r="G471" i="33" s="1"/>
  <c r="G530" i="33"/>
  <c r="E541" i="35"/>
  <c r="L7" i="35"/>
  <c r="L6" i="35" s="1"/>
  <c r="L210" i="35" s="1"/>
  <c r="L547" i="35" s="1"/>
  <c r="N162" i="35"/>
  <c r="O133" i="35"/>
  <c r="O6" i="35" s="1"/>
  <c r="O210" i="35" s="1"/>
  <c r="G78" i="31"/>
  <c r="F221" i="31"/>
  <c r="O247" i="31"/>
  <c r="F282" i="31"/>
  <c r="F275" i="31" s="1"/>
  <c r="F294" i="31"/>
  <c r="O333" i="31"/>
  <c r="O361" i="31"/>
  <c r="O374" i="31"/>
  <c r="N434" i="31"/>
  <c r="G459" i="31"/>
  <c r="N485" i="31"/>
  <c r="G9" i="32"/>
  <c r="G74" i="32"/>
  <c r="H7" i="32"/>
  <c r="H6" i="32" s="1"/>
  <c r="H210" i="32" s="1"/>
  <c r="G144" i="32"/>
  <c r="G152" i="32"/>
  <c r="N151" i="32"/>
  <c r="G174" i="32"/>
  <c r="L186" i="32"/>
  <c r="G228" i="32"/>
  <c r="M262" i="32"/>
  <c r="L374" i="32"/>
  <c r="L434" i="32"/>
  <c r="Q474" i="32"/>
  <c r="Q434" i="32" s="1"/>
  <c r="G482" i="32"/>
  <c r="L486" i="32"/>
  <c r="L485" i="32" s="1"/>
  <c r="N485" i="32"/>
  <c r="G39" i="33"/>
  <c r="J86" i="33"/>
  <c r="J141" i="33"/>
  <c r="Q151" i="33"/>
  <c r="N186" i="33"/>
  <c r="P221" i="33"/>
  <c r="K221" i="33"/>
  <c r="K220" i="33" s="1"/>
  <c r="K219" i="33" s="1"/>
  <c r="K541" i="33" s="1"/>
  <c r="M546" i="33"/>
  <c r="Q314" i="33"/>
  <c r="G417" i="33"/>
  <c r="E435" i="33"/>
  <c r="E434" i="33" s="1"/>
  <c r="G436" i="33"/>
  <c r="G509" i="33"/>
  <c r="J515" i="33"/>
  <c r="G63" i="34"/>
  <c r="N63" i="34" s="1"/>
  <c r="E7" i="35"/>
  <c r="E6" i="35" s="1"/>
  <c r="E210" i="35" s="1"/>
  <c r="Q434" i="35"/>
  <c r="Q219" i="35" s="1"/>
  <c r="Q541" i="35" s="1"/>
  <c r="G19" i="31"/>
  <c r="G26" i="31"/>
  <c r="F126" i="31"/>
  <c r="E141" i="31"/>
  <c r="H220" i="31"/>
  <c r="H219" i="31" s="1"/>
  <c r="G221" i="31"/>
  <c r="K221" i="31"/>
  <c r="K220" i="31" s="1"/>
  <c r="K219" i="31" s="1"/>
  <c r="K541" i="31" s="1"/>
  <c r="J247" i="31"/>
  <c r="M262" i="31"/>
  <c r="G313" i="31"/>
  <c r="G355" i="31"/>
  <c r="G452" i="31"/>
  <c r="I471" i="31"/>
  <c r="G471" i="31" s="1"/>
  <c r="G479" i="31"/>
  <c r="G509" i="31"/>
  <c r="O8" i="32"/>
  <c r="O7" i="32" s="1"/>
  <c r="G66" i="32"/>
  <c r="G99" i="32"/>
  <c r="G86" i="32" s="1"/>
  <c r="Q221" i="32"/>
  <c r="Q220" i="32" s="1"/>
  <c r="M294" i="32"/>
  <c r="L394" i="32"/>
  <c r="N434" i="32"/>
  <c r="O434" i="32"/>
  <c r="G509" i="32"/>
  <c r="G539" i="32"/>
  <c r="E141" i="33"/>
  <c r="L151" i="33"/>
  <c r="G243" i="33"/>
  <c r="F264" i="33"/>
  <c r="F262" i="33" s="1"/>
  <c r="F275" i="33"/>
  <c r="G313" i="33"/>
  <c r="Q374" i="33"/>
  <c r="Q394" i="33"/>
  <c r="G394" i="33" s="1"/>
  <c r="M413" i="33"/>
  <c r="G432" i="33"/>
  <c r="I515" i="33"/>
  <c r="F10" i="34"/>
  <c r="F9" i="34" s="1"/>
  <c r="F211" i="34" s="1"/>
  <c r="K134" i="34"/>
  <c r="K9" i="34" s="1"/>
  <c r="J485" i="35"/>
  <c r="G435" i="35"/>
  <c r="G434" i="35" s="1"/>
  <c r="N89" i="38"/>
  <c r="I6" i="37"/>
  <c r="I210" i="37" s="1"/>
  <c r="Q219" i="37"/>
  <c r="Q541" i="37" s="1"/>
  <c r="Q6" i="37"/>
  <c r="J10" i="34"/>
  <c r="J9" i="34" s="1"/>
  <c r="J532" i="34" s="1"/>
  <c r="K538" i="34"/>
  <c r="I417" i="34"/>
  <c r="I220" i="34" s="1"/>
  <c r="I539" i="34"/>
  <c r="I134" i="34"/>
  <c r="I9" i="34" s="1"/>
  <c r="L538" i="34"/>
  <c r="F424" i="34"/>
  <c r="H163" i="34"/>
  <c r="G457" i="34"/>
  <c r="N457" i="34" s="1"/>
  <c r="D225" i="34"/>
  <c r="D222" i="34" s="1"/>
  <c r="D221" i="34" s="1"/>
  <c r="D220" i="34" s="1"/>
  <c r="F226" i="34"/>
  <c r="J221" i="34"/>
  <c r="J220" i="34" s="1"/>
  <c r="F123" i="33"/>
  <c r="F550" i="41"/>
  <c r="F544" i="41"/>
  <c r="M220" i="41"/>
  <c r="Z220" i="41" s="1"/>
  <c r="M541" i="39"/>
  <c r="G123" i="33"/>
  <c r="G122" i="33" s="1"/>
  <c r="G120" i="33" s="1"/>
  <c r="F123" i="32"/>
  <c r="M7" i="32"/>
  <c r="M303" i="32"/>
  <c r="M293" i="32" s="1"/>
  <c r="F303" i="32"/>
  <c r="E533" i="38"/>
  <c r="M524" i="38"/>
  <c r="M540" i="38" s="1"/>
  <c r="K533" i="38"/>
  <c r="L532" i="38"/>
  <c r="M535" i="38"/>
  <c r="N248" i="38"/>
  <c r="E211" i="38"/>
  <c r="E540" i="38" s="1"/>
  <c r="E532" i="38"/>
  <c r="M534" i="38"/>
  <c r="N223" i="38"/>
  <c r="I524" i="38"/>
  <c r="I541" i="38" s="1"/>
  <c r="I533" i="38"/>
  <c r="I535" i="38" s="1"/>
  <c r="F225" i="38"/>
  <c r="F222" i="38" s="1"/>
  <c r="F221" i="38" s="1"/>
  <c r="F220" i="38" s="1"/>
  <c r="F524" i="38" s="1"/>
  <c r="F541" i="38" s="1"/>
  <c r="N226" i="38"/>
  <c r="H537" i="38"/>
  <c r="G468" i="38"/>
  <c r="N468" i="38" s="1"/>
  <c r="D533" i="38"/>
  <c r="D534" i="38" s="1"/>
  <c r="D524" i="38"/>
  <c r="D541" i="38" s="1"/>
  <c r="H9" i="38"/>
  <c r="G10" i="38"/>
  <c r="N10" i="38" s="1"/>
  <c r="L533" i="38"/>
  <c r="L535" i="38" s="1"/>
  <c r="L524" i="38"/>
  <c r="L541" i="38" s="1"/>
  <c r="H536" i="38"/>
  <c r="G163" i="38"/>
  <c r="N163" i="38" s="1"/>
  <c r="K532" i="38"/>
  <c r="K211" i="38"/>
  <c r="K540" i="38" s="1"/>
  <c r="J524" i="38"/>
  <c r="J541" i="38" s="1"/>
  <c r="J533" i="38"/>
  <c r="J535" i="38" s="1"/>
  <c r="G221" i="38"/>
  <c r="H220" i="38"/>
  <c r="G162" i="37"/>
  <c r="L219" i="37"/>
  <c r="L541" i="37" s="1"/>
  <c r="E219" i="37"/>
  <c r="E541" i="37" s="1"/>
  <c r="E6" i="37"/>
  <c r="E210" i="37" s="1"/>
  <c r="J219" i="37"/>
  <c r="J541" i="37" s="1"/>
  <c r="O219" i="37"/>
  <c r="O541" i="37" s="1"/>
  <c r="G133" i="37"/>
  <c r="G434" i="37"/>
  <c r="J6" i="37"/>
  <c r="J210" i="37" s="1"/>
  <c r="Q210" i="37"/>
  <c r="N210" i="37"/>
  <c r="G7" i="37"/>
  <c r="I541" i="37"/>
  <c r="F122" i="37"/>
  <c r="F7" i="37" s="1"/>
  <c r="F6" i="37" s="1"/>
  <c r="F210" i="37" s="1"/>
  <c r="M7" i="37"/>
  <c r="M6" i="37" s="1"/>
  <c r="M210" i="37" s="1"/>
  <c r="F293" i="37"/>
  <c r="F286" i="37" s="1"/>
  <c r="F247" i="37" s="1"/>
  <c r="F220" i="37" s="1"/>
  <c r="G293" i="37"/>
  <c r="G286" i="37" s="1"/>
  <c r="G247" i="37" s="1"/>
  <c r="G220" i="37" s="1"/>
  <c r="M286" i="37"/>
  <c r="N546" i="35"/>
  <c r="P543" i="35"/>
  <c r="P547" i="35"/>
  <c r="K547" i="35"/>
  <c r="K543" i="35"/>
  <c r="G486" i="35"/>
  <c r="I485" i="35"/>
  <c r="G485" i="35" s="1"/>
  <c r="I133" i="35"/>
  <c r="J434" i="35"/>
  <c r="J219" i="35" s="1"/>
  <c r="J541" i="35" s="1"/>
  <c r="I7" i="35"/>
  <c r="G74" i="35"/>
  <c r="G7" i="35" s="1"/>
  <c r="G6" i="35" s="1"/>
  <c r="G210" i="35" s="1"/>
  <c r="Q7" i="35"/>
  <c r="Q6" i="35" s="1"/>
  <c r="Q210" i="35" s="1"/>
  <c r="F122" i="35"/>
  <c r="K120" i="35"/>
  <c r="F120" i="35" s="1"/>
  <c r="F86" i="35" s="1"/>
  <c r="J162" i="35"/>
  <c r="G162" i="35" s="1"/>
  <c r="M293" i="35"/>
  <c r="R293" i="35"/>
  <c r="S293" i="35" s="1"/>
  <c r="G133" i="35"/>
  <c r="G163" i="35"/>
  <c r="I220" i="35"/>
  <c r="I219" i="35" s="1"/>
  <c r="N424" i="34"/>
  <c r="N284" i="34"/>
  <c r="N263" i="34"/>
  <c r="M221" i="34"/>
  <c r="M220" i="34" s="1"/>
  <c r="M524" i="34" s="1"/>
  <c r="G135" i="34"/>
  <c r="N135" i="34" s="1"/>
  <c r="M9" i="34"/>
  <c r="M211" i="34" s="1"/>
  <c r="N287" i="34"/>
  <c r="G248" i="34"/>
  <c r="K221" i="34"/>
  <c r="K220" i="34" s="1"/>
  <c r="K533" i="34" s="1"/>
  <c r="E220" i="34"/>
  <c r="E533" i="34" s="1"/>
  <c r="N295" i="34"/>
  <c r="L532" i="34"/>
  <c r="L211" i="34"/>
  <c r="J211" i="34"/>
  <c r="D10" i="34"/>
  <c r="D9" i="34" s="1"/>
  <c r="E532" i="34"/>
  <c r="E211" i="34"/>
  <c r="F248" i="34"/>
  <c r="G418" i="34"/>
  <c r="G357" i="34"/>
  <c r="N357" i="34" s="1"/>
  <c r="F418" i="34"/>
  <c r="F417" i="34" s="1"/>
  <c r="G77" i="34"/>
  <c r="N77" i="34" s="1"/>
  <c r="G417" i="34"/>
  <c r="J538" i="34"/>
  <c r="H468" i="34"/>
  <c r="G469" i="34"/>
  <c r="N469" i="34" s="1"/>
  <c r="H221" i="34"/>
  <c r="G222" i="34"/>
  <c r="G11" i="34"/>
  <c r="N11" i="34" s="1"/>
  <c r="H10" i="34"/>
  <c r="L533" i="34"/>
  <c r="L535" i="34" s="1"/>
  <c r="L524" i="34"/>
  <c r="L541" i="34" s="1"/>
  <c r="D533" i="34"/>
  <c r="D524" i="34"/>
  <c r="G89" i="34"/>
  <c r="N89" i="34" s="1"/>
  <c r="H219" i="33"/>
  <c r="H541" i="33" s="1"/>
  <c r="F441" i="33"/>
  <c r="F435" i="33" s="1"/>
  <c r="F434" i="33" s="1"/>
  <c r="F283" i="33"/>
  <c r="P247" i="33"/>
  <c r="P220" i="33" s="1"/>
  <c r="P219" i="33" s="1"/>
  <c r="P541" i="33" s="1"/>
  <c r="F294" i="33"/>
  <c r="J485" i="33"/>
  <c r="G515" i="33"/>
  <c r="Q7" i="33"/>
  <c r="Q6" i="33" s="1"/>
  <c r="Q210" i="33" s="1"/>
  <c r="P7" i="33"/>
  <c r="P6" i="33" s="1"/>
  <c r="P210" i="33" s="1"/>
  <c r="G186" i="33"/>
  <c r="Q220" i="33"/>
  <c r="Q219" i="33" s="1"/>
  <c r="Q541" i="33" s="1"/>
  <c r="G314" i="33"/>
  <c r="G333" i="33"/>
  <c r="G435" i="33"/>
  <c r="N546" i="33"/>
  <c r="P546" i="33"/>
  <c r="L7" i="33"/>
  <c r="E133" i="33"/>
  <c r="L133" i="33"/>
  <c r="G141" i="33"/>
  <c r="G221" i="33"/>
  <c r="O220" i="33"/>
  <c r="O219" i="33" s="1"/>
  <c r="O541" i="33" s="1"/>
  <c r="N434" i="33"/>
  <c r="I7" i="33"/>
  <c r="G8" i="33"/>
  <c r="O547" i="33"/>
  <c r="O543" i="33"/>
  <c r="F303" i="33"/>
  <c r="G458" i="33"/>
  <c r="G327" i="33"/>
  <c r="G426" i="33"/>
  <c r="G413" i="33" s="1"/>
  <c r="M549" i="33"/>
  <c r="K126" i="33"/>
  <c r="K7" i="33" s="1"/>
  <c r="K6" i="33" s="1"/>
  <c r="K210" i="33" s="1"/>
  <c r="G251" i="33"/>
  <c r="G248" i="33" s="1"/>
  <c r="J115" i="33"/>
  <c r="G115" i="33" s="1"/>
  <c r="H122" i="33"/>
  <c r="H7" i="33" s="1"/>
  <c r="H6" i="33" s="1"/>
  <c r="H210" i="33" s="1"/>
  <c r="I134" i="33"/>
  <c r="I133" i="33" s="1"/>
  <c r="F251" i="33"/>
  <c r="F248" i="33" s="1"/>
  <c r="M275" i="33"/>
  <c r="G281" i="33"/>
  <c r="G275" i="33" s="1"/>
  <c r="G284" i="33"/>
  <c r="G283" i="33" s="1"/>
  <c r="G287" i="33"/>
  <c r="M300" i="33"/>
  <c r="F300" i="33" s="1"/>
  <c r="J374" i="33"/>
  <c r="J220" i="33" s="1"/>
  <c r="J474" i="33"/>
  <c r="J434" i="33" s="1"/>
  <c r="G479" i="33"/>
  <c r="I486" i="33"/>
  <c r="J151" i="33"/>
  <c r="G151" i="33" s="1"/>
  <c r="M248" i="33"/>
  <c r="F287" i="32"/>
  <c r="F283" i="32"/>
  <c r="P275" i="32"/>
  <c r="F275" i="32"/>
  <c r="G287" i="32"/>
  <c r="F313" i="32"/>
  <c r="M546" i="32"/>
  <c r="N546" i="32" s="1"/>
  <c r="P286" i="32"/>
  <c r="G313" i="32"/>
  <c r="F289" i="32"/>
  <c r="E7" i="32"/>
  <c r="E6" i="32" s="1"/>
  <c r="M6" i="32"/>
  <c r="M210" i="32" s="1"/>
  <c r="Q133" i="32"/>
  <c r="G151" i="32"/>
  <c r="O162" i="32"/>
  <c r="H220" i="32"/>
  <c r="H219" i="32" s="1"/>
  <c r="E220" i="32"/>
  <c r="E219" i="32" s="1"/>
  <c r="E541" i="32" s="1"/>
  <c r="K220" i="32"/>
  <c r="K219" i="32" s="1"/>
  <c r="K541" i="32" s="1"/>
  <c r="J220" i="32"/>
  <c r="G333" i="32"/>
  <c r="F441" i="32"/>
  <c r="F435" i="32" s="1"/>
  <c r="F434" i="32" s="1"/>
  <c r="G474" i="32"/>
  <c r="L7" i="32"/>
  <c r="L6" i="32" s="1"/>
  <c r="F133" i="32"/>
  <c r="E162" i="32"/>
  <c r="O220" i="32"/>
  <c r="O219" i="32" s="1"/>
  <c r="O541" i="32" s="1"/>
  <c r="F221" i="32"/>
  <c r="G435" i="32"/>
  <c r="G224" i="32"/>
  <c r="G8" i="32"/>
  <c r="G17" i="32"/>
  <c r="K126" i="32"/>
  <c r="F126" i="32" s="1"/>
  <c r="I163" i="32"/>
  <c r="I186" i="32"/>
  <c r="G186" i="32" s="1"/>
  <c r="G223" i="32"/>
  <c r="G222" i="32" s="1"/>
  <c r="N224" i="32"/>
  <c r="N221" i="32" s="1"/>
  <c r="N220" i="32" s="1"/>
  <c r="N219" i="32" s="1"/>
  <c r="N541" i="32" s="1"/>
  <c r="G251" i="32"/>
  <c r="G248" i="32" s="1"/>
  <c r="M283" i="32"/>
  <c r="G285" i="32"/>
  <c r="G283" i="32" s="1"/>
  <c r="I314" i="32"/>
  <c r="G314" i="32" s="1"/>
  <c r="I394" i="32"/>
  <c r="G394" i="32" s="1"/>
  <c r="J458" i="32"/>
  <c r="J434" i="32" s="1"/>
  <c r="M549" i="32"/>
  <c r="I115" i="32"/>
  <c r="G115" i="32" s="1"/>
  <c r="K122" i="32"/>
  <c r="J141" i="32"/>
  <c r="J133" i="32" s="1"/>
  <c r="J6" i="32" s="1"/>
  <c r="J210" i="32" s="1"/>
  <c r="M248" i="32"/>
  <c r="I486" i="32"/>
  <c r="J515" i="32"/>
  <c r="J485" i="32" s="1"/>
  <c r="Q7" i="31"/>
  <c r="Q6" i="31" s="1"/>
  <c r="Q210" i="31" s="1"/>
  <c r="G333" i="31"/>
  <c r="H541" i="31"/>
  <c r="O220" i="31"/>
  <c r="F303" i="31"/>
  <c r="E434" i="31"/>
  <c r="K547" i="31"/>
  <c r="K543" i="31"/>
  <c r="N546" i="31"/>
  <c r="Q546" i="31"/>
  <c r="G8" i="31"/>
  <c r="E133" i="31"/>
  <c r="L133" i="31"/>
  <c r="G314" i="31"/>
  <c r="G361" i="31"/>
  <c r="G394" i="31"/>
  <c r="I485" i="31"/>
  <c r="G86" i="31"/>
  <c r="G163" i="31"/>
  <c r="M549" i="31"/>
  <c r="I7" i="31"/>
  <c r="J115" i="31"/>
  <c r="G115" i="31" s="1"/>
  <c r="H122" i="31"/>
  <c r="H7" i="31" s="1"/>
  <c r="H6" i="31" s="1"/>
  <c r="H210" i="31" s="1"/>
  <c r="I134" i="31"/>
  <c r="I133" i="31" s="1"/>
  <c r="F251" i="31"/>
  <c r="F248" i="31" s="1"/>
  <c r="M275" i="31"/>
  <c r="G281" i="31"/>
  <c r="G275" i="31" s="1"/>
  <c r="M300" i="31"/>
  <c r="F300" i="31" s="1"/>
  <c r="G379" i="31"/>
  <c r="G374" i="31" s="1"/>
  <c r="I458" i="31"/>
  <c r="G458" i="31" s="1"/>
  <c r="L474" i="31"/>
  <c r="L434" i="31" s="1"/>
  <c r="J486" i="31"/>
  <c r="J485" i="31" s="1"/>
  <c r="G513" i="31"/>
  <c r="L515" i="31"/>
  <c r="J141" i="31"/>
  <c r="G141" i="31" s="1"/>
  <c r="J151" i="31"/>
  <c r="G151" i="31" s="1"/>
  <c r="G323" i="31"/>
  <c r="G399" i="31"/>
  <c r="J474" i="31"/>
  <c r="L413" i="31"/>
  <c r="L220" i="31" s="1"/>
  <c r="N210" i="31" l="1"/>
  <c r="N547" i="31" s="1"/>
  <c r="O547" i="35"/>
  <c r="O543" i="35"/>
  <c r="K532" i="34"/>
  <c r="K211" i="34"/>
  <c r="Q6" i="32"/>
  <c r="Q210" i="32" s="1"/>
  <c r="G134" i="33"/>
  <c r="G133" i="33" s="1"/>
  <c r="L210" i="32"/>
  <c r="L547" i="32" s="1"/>
  <c r="N210" i="35"/>
  <c r="N547" i="35" s="1"/>
  <c r="E7" i="33"/>
  <c r="E6" i="33" s="1"/>
  <c r="E210" i="33" s="1"/>
  <c r="R6" i="31"/>
  <c r="R210" i="31" s="1"/>
  <c r="G186" i="31"/>
  <c r="O6" i="31"/>
  <c r="O210" i="31" s="1"/>
  <c r="J220" i="31"/>
  <c r="L162" i="32"/>
  <c r="G474" i="31"/>
  <c r="G458" i="32"/>
  <c r="G134" i="34"/>
  <c r="N134" i="34" s="1"/>
  <c r="H7" i="35"/>
  <c r="H6" i="35" s="1"/>
  <c r="H210" i="35" s="1"/>
  <c r="F126" i="35"/>
  <c r="G162" i="31"/>
  <c r="O219" i="31"/>
  <c r="O541" i="31" s="1"/>
  <c r="O543" i="31" s="1"/>
  <c r="G134" i="31"/>
  <c r="F262" i="32"/>
  <c r="I434" i="33"/>
  <c r="I219" i="33" s="1"/>
  <c r="G133" i="31"/>
  <c r="Q219" i="32"/>
  <c r="Q541" i="32" s="1"/>
  <c r="N133" i="32"/>
  <c r="N6" i="32" s="1"/>
  <c r="N210" i="32" s="1"/>
  <c r="N547" i="32" s="1"/>
  <c r="L7" i="31"/>
  <c r="F134" i="32"/>
  <c r="L6" i="31"/>
  <c r="L210" i="31" s="1"/>
  <c r="G163" i="33"/>
  <c r="E220" i="33"/>
  <c r="E219" i="33" s="1"/>
  <c r="E541" i="33" s="1"/>
  <c r="G435" i="31"/>
  <c r="G434" i="31" s="1"/>
  <c r="I541" i="35"/>
  <c r="O6" i="32"/>
  <c r="O210" i="32" s="1"/>
  <c r="E220" i="31"/>
  <c r="E219" i="31" s="1"/>
  <c r="E541" i="31" s="1"/>
  <c r="I133" i="32"/>
  <c r="I533" i="34"/>
  <c r="I524" i="34"/>
  <c r="I211" i="34"/>
  <c r="I532" i="34"/>
  <c r="J540" i="34"/>
  <c r="F225" i="34"/>
  <c r="N226" i="34"/>
  <c r="J524" i="34"/>
  <c r="J541" i="34" s="1"/>
  <c r="J533" i="34"/>
  <c r="J535" i="34" s="1"/>
  <c r="G163" i="34"/>
  <c r="N163" i="34" s="1"/>
  <c r="H536" i="34"/>
  <c r="G536" i="34" s="1"/>
  <c r="E524" i="34"/>
  <c r="E540" i="34" s="1"/>
  <c r="M542" i="41"/>
  <c r="M548" i="41" s="1"/>
  <c r="R293" i="32"/>
  <c r="S293" i="32" s="1"/>
  <c r="E534" i="38"/>
  <c r="K534" i="38"/>
  <c r="I534" i="38"/>
  <c r="I540" i="38"/>
  <c r="J540" i="38"/>
  <c r="M541" i="38"/>
  <c r="K541" i="38"/>
  <c r="J534" i="38"/>
  <c r="N221" i="38"/>
  <c r="E541" i="38"/>
  <c r="H533" i="38"/>
  <c r="G220" i="38"/>
  <c r="N220" i="38" s="1"/>
  <c r="H524" i="38"/>
  <c r="D535" i="38"/>
  <c r="F533" i="38"/>
  <c r="N225" i="38"/>
  <c r="E535" i="38"/>
  <c r="H538" i="38"/>
  <c r="G536" i="38"/>
  <c r="H532" i="38"/>
  <c r="H211" i="38"/>
  <c r="G211" i="38" s="1"/>
  <c r="G9" i="38"/>
  <c r="N9" i="38" s="1"/>
  <c r="H539" i="38"/>
  <c r="G537" i="38"/>
  <c r="N222" i="38"/>
  <c r="K535" i="38"/>
  <c r="L540" i="38"/>
  <c r="L534" i="38"/>
  <c r="F532" i="38"/>
  <c r="F534" i="38" s="1"/>
  <c r="G219" i="37"/>
  <c r="G541" i="37" s="1"/>
  <c r="G6" i="37"/>
  <c r="G210" i="37" s="1"/>
  <c r="F219" i="37"/>
  <c r="F541" i="37" s="1"/>
  <c r="M247" i="37"/>
  <c r="M220" i="37" s="1"/>
  <c r="M219" i="37" s="1"/>
  <c r="F293" i="35"/>
  <c r="F286" i="35" s="1"/>
  <c r="F247" i="35" s="1"/>
  <c r="F220" i="35" s="1"/>
  <c r="G293" i="35"/>
  <c r="G286" i="35" s="1"/>
  <c r="G247" i="35" s="1"/>
  <c r="G220" i="35" s="1"/>
  <c r="G219" i="35" s="1"/>
  <c r="G541" i="35" s="1"/>
  <c r="G547" i="35" s="1"/>
  <c r="M286" i="35"/>
  <c r="F7" i="35"/>
  <c r="F6" i="35" s="1"/>
  <c r="F210" i="35" s="1"/>
  <c r="J210" i="35"/>
  <c r="I6" i="35"/>
  <c r="I210" i="35" s="1"/>
  <c r="I547" i="35" s="1"/>
  <c r="H547" i="35"/>
  <c r="H543" i="35"/>
  <c r="M540" i="34"/>
  <c r="M541" i="34"/>
  <c r="M532" i="34"/>
  <c r="M533" i="34"/>
  <c r="K524" i="34"/>
  <c r="K541" i="34" s="1"/>
  <c r="N248" i="34"/>
  <c r="K534" i="34"/>
  <c r="E534" i="34"/>
  <c r="E535" i="34"/>
  <c r="D532" i="34"/>
  <c r="D535" i="34" s="1"/>
  <c r="D211" i="34"/>
  <c r="D541" i="34" s="1"/>
  <c r="K535" i="34"/>
  <c r="H537" i="34"/>
  <c r="G468" i="34"/>
  <c r="N468" i="34" s="1"/>
  <c r="N417" i="34"/>
  <c r="N418" i="34"/>
  <c r="G10" i="34"/>
  <c r="N10" i="34" s="1"/>
  <c r="H9" i="34"/>
  <c r="E541" i="34"/>
  <c r="L534" i="34"/>
  <c r="F533" i="34"/>
  <c r="H220" i="34"/>
  <c r="G221" i="34"/>
  <c r="L540" i="34"/>
  <c r="H547" i="33"/>
  <c r="H543" i="33"/>
  <c r="J219" i="33"/>
  <c r="J541" i="33" s="1"/>
  <c r="K547" i="33"/>
  <c r="K543" i="33"/>
  <c r="G7" i="33"/>
  <c r="G6" i="33" s="1"/>
  <c r="G210" i="33" s="1"/>
  <c r="R293" i="33"/>
  <c r="S293" i="33" s="1"/>
  <c r="F126" i="33"/>
  <c r="G486" i="33"/>
  <c r="I485" i="33"/>
  <c r="P547" i="33"/>
  <c r="P543" i="33"/>
  <c r="F122" i="33"/>
  <c r="H120" i="33"/>
  <c r="F120" i="33" s="1"/>
  <c r="F86" i="33" s="1"/>
  <c r="M293" i="33"/>
  <c r="G474" i="33"/>
  <c r="I6" i="33"/>
  <c r="I210" i="33" s="1"/>
  <c r="L6" i="33"/>
  <c r="L210" i="33" s="1"/>
  <c r="L547" i="33" s="1"/>
  <c r="G434" i="33"/>
  <c r="J133" i="33"/>
  <c r="J7" i="33"/>
  <c r="P247" i="32"/>
  <c r="P220" i="32" s="1"/>
  <c r="P219" i="32" s="1"/>
  <c r="P541" i="32" s="1"/>
  <c r="P543" i="32" s="1"/>
  <c r="P546" i="32"/>
  <c r="F122" i="32"/>
  <c r="K120" i="32"/>
  <c r="F120" i="32" s="1"/>
  <c r="F86" i="32" s="1"/>
  <c r="F293" i="32"/>
  <c r="F286" i="32" s="1"/>
  <c r="F247" i="32" s="1"/>
  <c r="F220" i="32" s="1"/>
  <c r="M286" i="32"/>
  <c r="R286" i="32" s="1"/>
  <c r="G293" i="32"/>
  <c r="G286" i="32" s="1"/>
  <c r="G247" i="32" s="1"/>
  <c r="H541" i="32"/>
  <c r="G221" i="32"/>
  <c r="K7" i="32"/>
  <c r="K6" i="32" s="1"/>
  <c r="K210" i="32" s="1"/>
  <c r="G7" i="32"/>
  <c r="I220" i="32"/>
  <c r="I219" i="32" s="1"/>
  <c r="I541" i="32" s="1"/>
  <c r="J219" i="32"/>
  <c r="J541" i="32" s="1"/>
  <c r="J543" i="32" s="1"/>
  <c r="O547" i="32"/>
  <c r="O543" i="32"/>
  <c r="G486" i="32"/>
  <c r="I485" i="32"/>
  <c r="G485" i="32" s="1"/>
  <c r="G163" i="32"/>
  <c r="I162" i="32"/>
  <c r="G162" i="32" s="1"/>
  <c r="G515" i="32"/>
  <c r="E210" i="32"/>
  <c r="I7" i="32"/>
  <c r="I6" i="32" s="1"/>
  <c r="I210" i="32" s="1"/>
  <c r="I547" i="32" s="1"/>
  <c r="G434" i="32"/>
  <c r="G141" i="32"/>
  <c r="G133" i="32" s="1"/>
  <c r="H547" i="31"/>
  <c r="H543" i="31"/>
  <c r="L219" i="31"/>
  <c r="L541" i="31" s="1"/>
  <c r="L547" i="31" s="1"/>
  <c r="G486" i="31"/>
  <c r="I6" i="31"/>
  <c r="I210" i="31" s="1"/>
  <c r="G7" i="31"/>
  <c r="G6" i="31" s="1"/>
  <c r="G210" i="31" s="1"/>
  <c r="S293" i="31"/>
  <c r="T293" i="31" s="1"/>
  <c r="O547" i="31"/>
  <c r="G515" i="31"/>
  <c r="L485" i="31"/>
  <c r="G485" i="31" s="1"/>
  <c r="Q547" i="31"/>
  <c r="Q543" i="31"/>
  <c r="J434" i="31"/>
  <c r="J219" i="31" s="1"/>
  <c r="J541" i="31" s="1"/>
  <c r="M293" i="31"/>
  <c r="F122" i="31"/>
  <c r="H120" i="31"/>
  <c r="F120" i="31" s="1"/>
  <c r="F86" i="31" s="1"/>
  <c r="I434" i="31"/>
  <c r="I219" i="31" s="1"/>
  <c r="I541" i="31" s="1"/>
  <c r="J7" i="31"/>
  <c r="J133" i="31"/>
  <c r="J6" i="33" l="1"/>
  <c r="J210" i="33" s="1"/>
  <c r="G6" i="32"/>
  <c r="G210" i="32" s="1"/>
  <c r="I541" i="34"/>
  <c r="I535" i="34"/>
  <c r="G538" i="38"/>
  <c r="J534" i="34"/>
  <c r="I540" i="34"/>
  <c r="I534" i="34"/>
  <c r="F222" i="34"/>
  <c r="N225" i="34"/>
  <c r="F7" i="33"/>
  <c r="F6" i="33" s="1"/>
  <c r="F210" i="33" s="1"/>
  <c r="M544" i="41"/>
  <c r="H540" i="38"/>
  <c r="H535" i="38"/>
  <c r="G533" i="38"/>
  <c r="F535" i="38"/>
  <c r="G532" i="38"/>
  <c r="H534" i="38"/>
  <c r="H541" i="38"/>
  <c r="G524" i="38"/>
  <c r="G539" i="38"/>
  <c r="M541" i="37"/>
  <c r="R286" i="35"/>
  <c r="M247" i="35"/>
  <c r="M220" i="35" s="1"/>
  <c r="M219" i="35" s="1"/>
  <c r="J547" i="35"/>
  <c r="J543" i="35"/>
  <c r="F219" i="35"/>
  <c r="F541" i="35" s="1"/>
  <c r="F549" i="35" s="1"/>
  <c r="R220" i="35"/>
  <c r="M535" i="34"/>
  <c r="M534" i="34"/>
  <c r="K540" i="34"/>
  <c r="H533" i="34"/>
  <c r="G220" i="34"/>
  <c r="H524" i="34"/>
  <c r="H539" i="34"/>
  <c r="G537" i="34"/>
  <c r="H538" i="34"/>
  <c r="F532" i="34"/>
  <c r="F534" i="34" s="1"/>
  <c r="D534" i="34"/>
  <c r="H532" i="34"/>
  <c r="H211" i="34"/>
  <c r="G9" i="34"/>
  <c r="N9" i="34" s="1"/>
  <c r="J547" i="33"/>
  <c r="J543" i="33"/>
  <c r="G485" i="33"/>
  <c r="I541" i="33"/>
  <c r="I547" i="33" s="1"/>
  <c r="F293" i="33"/>
  <c r="F286" i="33" s="1"/>
  <c r="F247" i="33" s="1"/>
  <c r="F220" i="33" s="1"/>
  <c r="G293" i="33"/>
  <c r="G286" i="33" s="1"/>
  <c r="G247" i="33" s="1"/>
  <c r="G220" i="33" s="1"/>
  <c r="G219" i="33" s="1"/>
  <c r="G541" i="33" s="1"/>
  <c r="G547" i="33" s="1"/>
  <c r="M286" i="33"/>
  <c r="P547" i="32"/>
  <c r="M247" i="32"/>
  <c r="M220" i="32" s="1"/>
  <c r="M219" i="32" s="1"/>
  <c r="M541" i="32" s="1"/>
  <c r="M543" i="32" s="1"/>
  <c r="F219" i="32"/>
  <c r="F541" i="32" s="1"/>
  <c r="R220" i="32"/>
  <c r="K547" i="32"/>
  <c r="K543" i="32"/>
  <c r="H543" i="32"/>
  <c r="H547" i="32"/>
  <c r="F7" i="32"/>
  <c r="F6" i="32" s="1"/>
  <c r="F210" i="32" s="1"/>
  <c r="J547" i="32"/>
  <c r="G220" i="32"/>
  <c r="G219" i="32" s="1"/>
  <c r="G541" i="32" s="1"/>
  <c r="G547" i="32" s="1"/>
  <c r="F7" i="31"/>
  <c r="F6" i="31" s="1"/>
  <c r="F210" i="31" s="1"/>
  <c r="I547" i="31"/>
  <c r="F293" i="31"/>
  <c r="F286" i="31" s="1"/>
  <c r="F247" i="31" s="1"/>
  <c r="F220" i="31" s="1"/>
  <c r="M286" i="31"/>
  <c r="G293" i="31"/>
  <c r="G286" i="31" s="1"/>
  <c r="G247" i="31" s="1"/>
  <c r="G220" i="31" s="1"/>
  <c r="G219" i="31" s="1"/>
  <c r="G541" i="31" s="1"/>
  <c r="G547" i="31" s="1"/>
  <c r="J6" i="31"/>
  <c r="J210" i="31" s="1"/>
  <c r="M282" i="30"/>
  <c r="M313" i="30"/>
  <c r="G313" i="30" s="1"/>
  <c r="M285" i="30"/>
  <c r="F285" i="30" s="1"/>
  <c r="G540" i="30"/>
  <c r="Q539" i="30"/>
  <c r="Q515" i="30" s="1"/>
  <c r="O539" i="30"/>
  <c r="N539" i="30"/>
  <c r="L539" i="30"/>
  <c r="J539" i="30"/>
  <c r="I539" i="30"/>
  <c r="E539" i="30"/>
  <c r="G538" i="30"/>
  <c r="G537" i="30"/>
  <c r="G536" i="30"/>
  <c r="G535" i="30"/>
  <c r="G534" i="30"/>
  <c r="G533" i="30"/>
  <c r="G532" i="30"/>
  <c r="G531" i="30"/>
  <c r="Q530" i="30"/>
  <c r="O530" i="30"/>
  <c r="O515" i="30" s="1"/>
  <c r="N530" i="30"/>
  <c r="L530" i="30"/>
  <c r="J530" i="30"/>
  <c r="I530" i="30"/>
  <c r="E530" i="30"/>
  <c r="G529" i="30"/>
  <c r="G528" i="30"/>
  <c r="G527" i="30"/>
  <c r="G526" i="30"/>
  <c r="G525" i="30"/>
  <c r="G524" i="30"/>
  <c r="G523" i="30"/>
  <c r="G522" i="30"/>
  <c r="G517" i="30"/>
  <c r="Q516" i="30"/>
  <c r="O516" i="30"/>
  <c r="N516" i="30"/>
  <c r="L516" i="30"/>
  <c r="L515" i="30" s="1"/>
  <c r="J516" i="30"/>
  <c r="J515" i="30" s="1"/>
  <c r="I516" i="30"/>
  <c r="G516" i="30" s="1"/>
  <c r="E516" i="30"/>
  <c r="E515" i="30" s="1"/>
  <c r="G514" i="30"/>
  <c r="Q513" i="30"/>
  <c r="O513" i="30"/>
  <c r="N513" i="30"/>
  <c r="L513" i="30"/>
  <c r="J513" i="30"/>
  <c r="I513" i="30"/>
  <c r="E513" i="30"/>
  <c r="G512" i="30"/>
  <c r="Q511" i="30"/>
  <c r="O511" i="30"/>
  <c r="N511" i="30"/>
  <c r="L511" i="30"/>
  <c r="J511" i="30"/>
  <c r="I511" i="30"/>
  <c r="G511" i="30" s="1"/>
  <c r="E511" i="30"/>
  <c r="G510" i="30"/>
  <c r="Q509" i="30"/>
  <c r="O509" i="30"/>
  <c r="N509" i="30"/>
  <c r="L509" i="30"/>
  <c r="J509" i="30"/>
  <c r="I509" i="30"/>
  <c r="E509" i="30"/>
  <c r="G508" i="30"/>
  <c r="G507" i="30"/>
  <c r="G506" i="30"/>
  <c r="G505" i="30"/>
  <c r="G504" i="30"/>
  <c r="G503" i="30"/>
  <c r="G502" i="30"/>
  <c r="Q501" i="30"/>
  <c r="O501" i="30"/>
  <c r="N501" i="30"/>
  <c r="L501" i="30"/>
  <c r="J501" i="30"/>
  <c r="I501" i="30"/>
  <c r="E501" i="30"/>
  <c r="G500" i="30"/>
  <c r="G499" i="30"/>
  <c r="G498" i="30"/>
  <c r="G497" i="30"/>
  <c r="G496" i="30"/>
  <c r="G495" i="30"/>
  <c r="G490" i="30"/>
  <c r="G489" i="30"/>
  <c r="G488" i="30"/>
  <c r="Q487" i="30"/>
  <c r="O487" i="30"/>
  <c r="N487" i="30"/>
  <c r="L487" i="30"/>
  <c r="J487" i="30"/>
  <c r="I487" i="30"/>
  <c r="E487" i="30"/>
  <c r="O486" i="30"/>
  <c r="O485" i="30"/>
  <c r="G484" i="30"/>
  <c r="Q483" i="30"/>
  <c r="Q482" i="30" s="1"/>
  <c r="O483" i="30"/>
  <c r="N483" i="30"/>
  <c r="L483" i="30"/>
  <c r="J483" i="30"/>
  <c r="J482" i="30" s="1"/>
  <c r="I483" i="30"/>
  <c r="E483" i="30"/>
  <c r="E482" i="30" s="1"/>
  <c r="O482" i="30"/>
  <c r="N482" i="30"/>
  <c r="L482" i="30"/>
  <c r="I482" i="30"/>
  <c r="G481" i="30"/>
  <c r="G480" i="30"/>
  <c r="Q479" i="30"/>
  <c r="O479" i="30"/>
  <c r="N479" i="30"/>
  <c r="L479" i="30"/>
  <c r="G479" i="30" s="1"/>
  <c r="J479" i="30"/>
  <c r="I479" i="30"/>
  <c r="E479" i="30"/>
  <c r="G478" i="30"/>
  <c r="Q477" i="30"/>
  <c r="O477" i="30"/>
  <c r="N477" i="30"/>
  <c r="L477" i="30"/>
  <c r="J477" i="30"/>
  <c r="I477" i="30"/>
  <c r="E477" i="30"/>
  <c r="E474" i="30" s="1"/>
  <c r="G476" i="30"/>
  <c r="Q475" i="30"/>
  <c r="Q474" i="30" s="1"/>
  <c r="O475" i="30"/>
  <c r="N475" i="30"/>
  <c r="L475" i="30"/>
  <c r="L474" i="30" s="1"/>
  <c r="J475" i="30"/>
  <c r="J474" i="30" s="1"/>
  <c r="I475" i="30"/>
  <c r="E475" i="30"/>
  <c r="G473" i="30"/>
  <c r="Q472" i="30"/>
  <c r="Q471" i="30" s="1"/>
  <c r="O472" i="30"/>
  <c r="O471" i="30" s="1"/>
  <c r="N472" i="30"/>
  <c r="N471" i="30" s="1"/>
  <c r="L472" i="30"/>
  <c r="J472" i="30"/>
  <c r="J471" i="30" s="1"/>
  <c r="I472" i="30"/>
  <c r="I471" i="30" s="1"/>
  <c r="E472" i="30"/>
  <c r="E471" i="30"/>
  <c r="G470" i="30"/>
  <c r="Q469" i="30"/>
  <c r="O469" i="30"/>
  <c r="N469" i="30"/>
  <c r="G469" i="30" s="1"/>
  <c r="L469" i="30"/>
  <c r="J469" i="30"/>
  <c r="I469" i="30"/>
  <c r="E469" i="30"/>
  <c r="G468" i="30"/>
  <c r="G467" i="30"/>
  <c r="G462" i="30"/>
  <c r="Q461" i="30"/>
  <c r="O461" i="30"/>
  <c r="N461" i="30"/>
  <c r="L461" i="30"/>
  <c r="L458" i="30" s="1"/>
  <c r="J461" i="30"/>
  <c r="I461" i="30"/>
  <c r="E461" i="30"/>
  <c r="G460" i="30"/>
  <c r="Q459" i="30"/>
  <c r="O459" i="30"/>
  <c r="O458" i="30" s="1"/>
  <c r="N459" i="30"/>
  <c r="L459" i="30"/>
  <c r="J459" i="30"/>
  <c r="I459" i="30"/>
  <c r="I458" i="30" s="1"/>
  <c r="G459" i="30"/>
  <c r="E459" i="30"/>
  <c r="G457" i="30"/>
  <c r="F457" i="30"/>
  <c r="Q456" i="30"/>
  <c r="P456" i="30"/>
  <c r="O456" i="30"/>
  <c r="N456" i="30"/>
  <c r="M456" i="30"/>
  <c r="L456" i="30"/>
  <c r="K456" i="30"/>
  <c r="J456" i="30"/>
  <c r="I456" i="30"/>
  <c r="H456" i="30"/>
  <c r="G456" i="30"/>
  <c r="F456" i="30"/>
  <c r="E456" i="30"/>
  <c r="G455" i="30"/>
  <c r="Q454" i="30"/>
  <c r="O454" i="30"/>
  <c r="N454" i="30"/>
  <c r="L454" i="30"/>
  <c r="J454" i="30"/>
  <c r="I454" i="30"/>
  <c r="G454" i="30" s="1"/>
  <c r="E454" i="30"/>
  <c r="G453" i="30"/>
  <c r="Q452" i="30"/>
  <c r="O452" i="30"/>
  <c r="N452" i="30"/>
  <c r="L452" i="30"/>
  <c r="J452" i="30"/>
  <c r="I452" i="30"/>
  <c r="E452" i="30"/>
  <c r="G451" i="30"/>
  <c r="G450" i="30"/>
  <c r="G449" i="30"/>
  <c r="G448" i="30"/>
  <c r="G447" i="30"/>
  <c r="F447" i="30"/>
  <c r="G446" i="30"/>
  <c r="G445" i="30"/>
  <c r="T444" i="30"/>
  <c r="P444" i="30"/>
  <c r="F443" i="30"/>
  <c r="G442" i="30"/>
  <c r="Q441" i="30"/>
  <c r="O441" i="30"/>
  <c r="N441" i="30"/>
  <c r="M441" i="30"/>
  <c r="L441" i="30"/>
  <c r="K441" i="30"/>
  <c r="J441" i="30"/>
  <c r="I441" i="30"/>
  <c r="H441" i="30"/>
  <c r="E441" i="30"/>
  <c r="G440" i="30"/>
  <c r="G439" i="30"/>
  <c r="F439" i="30"/>
  <c r="F436" i="30" s="1"/>
  <c r="G438" i="30"/>
  <c r="G437" i="30"/>
  <c r="Q436" i="30"/>
  <c r="P436" i="30"/>
  <c r="O436" i="30"/>
  <c r="N436" i="30"/>
  <c r="M436" i="30"/>
  <c r="M435" i="30" s="1"/>
  <c r="M434" i="30" s="1"/>
  <c r="L436" i="30"/>
  <c r="K436" i="30"/>
  <c r="J436" i="30"/>
  <c r="I436" i="30"/>
  <c r="H436" i="30"/>
  <c r="H435" i="30" s="1"/>
  <c r="H434" i="30" s="1"/>
  <c r="E436" i="30"/>
  <c r="E435" i="30" s="1"/>
  <c r="G433" i="30"/>
  <c r="Q432" i="30"/>
  <c r="O432" i="30"/>
  <c r="N432" i="30"/>
  <c r="L432" i="30"/>
  <c r="J432" i="30"/>
  <c r="I432" i="30"/>
  <c r="E432" i="30"/>
  <c r="G427" i="30"/>
  <c r="Q426" i="30"/>
  <c r="O426" i="30"/>
  <c r="N426" i="30"/>
  <c r="L426" i="30"/>
  <c r="J426" i="30"/>
  <c r="I426" i="30"/>
  <c r="E426" i="30"/>
  <c r="G425" i="30"/>
  <c r="G424" i="30"/>
  <c r="Q423" i="30"/>
  <c r="O423" i="30"/>
  <c r="N423" i="30"/>
  <c r="L423" i="30"/>
  <c r="J423" i="30"/>
  <c r="I423" i="30"/>
  <c r="E423" i="30"/>
  <c r="G422" i="30"/>
  <c r="F422" i="30"/>
  <c r="Q421" i="30"/>
  <c r="P421" i="30"/>
  <c r="O421" i="30"/>
  <c r="N421" i="30"/>
  <c r="M421" i="30"/>
  <c r="L421" i="30"/>
  <c r="K421" i="30"/>
  <c r="J421" i="30"/>
  <c r="I421" i="30"/>
  <c r="H421" i="30"/>
  <c r="G421" i="30"/>
  <c r="F421" i="30"/>
  <c r="E421" i="30"/>
  <c r="G420" i="30"/>
  <c r="F420" i="30"/>
  <c r="G419" i="30"/>
  <c r="F419" i="30"/>
  <c r="G418" i="30"/>
  <c r="F418" i="30"/>
  <c r="Q417" i="30"/>
  <c r="P417" i="30"/>
  <c r="O417" i="30"/>
  <c r="N417" i="30"/>
  <c r="M417" i="30"/>
  <c r="L417" i="30"/>
  <c r="K417" i="30"/>
  <c r="J417" i="30"/>
  <c r="I417" i="30"/>
  <c r="H417" i="30"/>
  <c r="E417" i="30"/>
  <c r="G416" i="30"/>
  <c r="G414" i="30" s="1"/>
  <c r="F416" i="30"/>
  <c r="F414" i="30" s="1"/>
  <c r="G415" i="30"/>
  <c r="Q414" i="30"/>
  <c r="P414" i="30"/>
  <c r="O414" i="30"/>
  <c r="N414" i="30"/>
  <c r="N413" i="30" s="1"/>
  <c r="M414" i="30"/>
  <c r="L414" i="30"/>
  <c r="K414" i="30"/>
  <c r="J414" i="30"/>
  <c r="I414" i="30"/>
  <c r="I413" i="30" s="1"/>
  <c r="H414" i="30"/>
  <c r="E414" i="30"/>
  <c r="G412" i="30"/>
  <c r="G411" i="30"/>
  <c r="G410" i="30"/>
  <c r="G409" i="30"/>
  <c r="G408" i="30"/>
  <c r="G407" i="30"/>
  <c r="G406" i="30"/>
  <c r="G405" i="30"/>
  <c r="G404" i="30"/>
  <c r="Q399" i="30"/>
  <c r="O399" i="30"/>
  <c r="N399" i="30"/>
  <c r="L399" i="30"/>
  <c r="J399" i="30"/>
  <c r="I399" i="30"/>
  <c r="I394" i="30" s="1"/>
  <c r="E399" i="30"/>
  <c r="G398" i="30"/>
  <c r="G397" i="30"/>
  <c r="G396" i="30"/>
  <c r="Q395" i="30"/>
  <c r="Q394" i="30" s="1"/>
  <c r="O395" i="30"/>
  <c r="N395" i="30"/>
  <c r="N394" i="30" s="1"/>
  <c r="L395" i="30"/>
  <c r="L394" i="30" s="1"/>
  <c r="J395" i="30"/>
  <c r="I395" i="30"/>
  <c r="G395" i="30" s="1"/>
  <c r="E395" i="30"/>
  <c r="J394" i="30"/>
  <c r="E394" i="30"/>
  <c r="G393" i="30"/>
  <c r="G392" i="30"/>
  <c r="F392" i="30"/>
  <c r="F391" i="30" s="1"/>
  <c r="F374" i="30" s="1"/>
  <c r="Q391" i="30"/>
  <c r="P391" i="30"/>
  <c r="P374" i="30" s="1"/>
  <c r="O391" i="30"/>
  <c r="N391" i="30"/>
  <c r="M391" i="30"/>
  <c r="M374" i="30" s="1"/>
  <c r="L391" i="30"/>
  <c r="K391" i="30"/>
  <c r="J391" i="30"/>
  <c r="I391" i="30"/>
  <c r="H391" i="30"/>
  <c r="H374" i="30" s="1"/>
  <c r="E391" i="30"/>
  <c r="G390" i="30"/>
  <c r="G389" i="30"/>
  <c r="Q388" i="30"/>
  <c r="O388" i="30"/>
  <c r="N388" i="30"/>
  <c r="L388" i="30"/>
  <c r="J388" i="30"/>
  <c r="I388" i="30"/>
  <c r="E388" i="30"/>
  <c r="G387" i="30"/>
  <c r="G386" i="30"/>
  <c r="Q385" i="30"/>
  <c r="G385" i="30" s="1"/>
  <c r="O385" i="30"/>
  <c r="N385" i="30"/>
  <c r="L385" i="30"/>
  <c r="J385" i="30"/>
  <c r="I385" i="30"/>
  <c r="E385" i="30"/>
  <c r="G384" i="30"/>
  <c r="G383" i="30"/>
  <c r="Q382" i="30"/>
  <c r="O382" i="30"/>
  <c r="N382" i="30"/>
  <c r="L382" i="30"/>
  <c r="J382" i="30"/>
  <c r="I382" i="30"/>
  <c r="E382" i="30"/>
  <c r="G381" i="30"/>
  <c r="G380" i="30"/>
  <c r="Q379" i="30"/>
  <c r="O379" i="30"/>
  <c r="N379" i="30"/>
  <c r="L379" i="30"/>
  <c r="L374" i="30" s="1"/>
  <c r="J379" i="30"/>
  <c r="J374" i="30" s="1"/>
  <c r="I379" i="30"/>
  <c r="E379" i="30"/>
  <c r="K374" i="30"/>
  <c r="G373" i="30"/>
  <c r="G372" i="30"/>
  <c r="Q371" i="30"/>
  <c r="O371" i="30"/>
  <c r="N371" i="30"/>
  <c r="L371" i="30"/>
  <c r="J371" i="30"/>
  <c r="I371" i="30"/>
  <c r="E371" i="30"/>
  <c r="G370" i="30"/>
  <c r="G369" i="30"/>
  <c r="Q368" i="30"/>
  <c r="O368" i="30"/>
  <c r="N368" i="30"/>
  <c r="L368" i="30"/>
  <c r="G368" i="30" s="1"/>
  <c r="J368" i="30"/>
  <c r="I368" i="30"/>
  <c r="E368" i="30"/>
  <c r="G367" i="30"/>
  <c r="G366" i="30"/>
  <c r="Q365" i="30"/>
  <c r="O365" i="30"/>
  <c r="N365" i="30"/>
  <c r="L365" i="30"/>
  <c r="J365" i="30"/>
  <c r="I365" i="30"/>
  <c r="E365" i="30"/>
  <c r="G364" i="30"/>
  <c r="G363" i="30"/>
  <c r="Q362" i="30"/>
  <c r="O362" i="30"/>
  <c r="O361" i="30" s="1"/>
  <c r="N362" i="30"/>
  <c r="L362" i="30"/>
  <c r="J362" i="30"/>
  <c r="I362" i="30"/>
  <c r="E362" i="30"/>
  <c r="G360" i="30"/>
  <c r="G359" i="30"/>
  <c r="G358" i="30"/>
  <c r="Q357" i="30"/>
  <c r="O357" i="30"/>
  <c r="N357" i="30"/>
  <c r="L357" i="30"/>
  <c r="J357" i="30"/>
  <c r="I357" i="30"/>
  <c r="G357" i="30" s="1"/>
  <c r="E357" i="30"/>
  <c r="G356" i="30"/>
  <c r="Q355" i="30"/>
  <c r="O355" i="30"/>
  <c r="N355" i="30"/>
  <c r="L355" i="30"/>
  <c r="J355" i="30"/>
  <c r="I355" i="30"/>
  <c r="G355" i="30" s="1"/>
  <c r="E355" i="30"/>
  <c r="G354" i="30"/>
  <c r="G353" i="30"/>
  <c r="G348" i="30"/>
  <c r="G347" i="30"/>
  <c r="G346" i="30"/>
  <c r="G345" i="30"/>
  <c r="Q344" i="30"/>
  <c r="O344" i="30"/>
  <c r="N344" i="30"/>
  <c r="L344" i="30"/>
  <c r="J344" i="30"/>
  <c r="I344" i="30"/>
  <c r="G344" i="30" s="1"/>
  <c r="E344" i="30"/>
  <c r="G343" i="30"/>
  <c r="G342" i="30"/>
  <c r="G341" i="30"/>
  <c r="G340" i="30"/>
  <c r="G339" i="30"/>
  <c r="F339" i="30"/>
  <c r="G338" i="30"/>
  <c r="G337" i="30"/>
  <c r="G336" i="30"/>
  <c r="G335" i="30"/>
  <c r="G334" i="30" s="1"/>
  <c r="Q334" i="30"/>
  <c r="P334" i="30"/>
  <c r="O334" i="30"/>
  <c r="N334" i="30"/>
  <c r="M334" i="30"/>
  <c r="L334" i="30"/>
  <c r="L333" i="30" s="1"/>
  <c r="K334" i="30"/>
  <c r="K333" i="30" s="1"/>
  <c r="J334" i="30"/>
  <c r="I334" i="30"/>
  <c r="H334" i="30"/>
  <c r="F334" i="30"/>
  <c r="F333" i="30" s="1"/>
  <c r="E334" i="30"/>
  <c r="E333" i="30" s="1"/>
  <c r="P333" i="30"/>
  <c r="M333" i="30"/>
  <c r="H333" i="30"/>
  <c r="G332" i="30"/>
  <c r="Q331" i="30"/>
  <c r="O331" i="30"/>
  <c r="N331" i="30"/>
  <c r="L331" i="30"/>
  <c r="J331" i="30"/>
  <c r="I331" i="30"/>
  <c r="E331" i="30"/>
  <c r="G330" i="30"/>
  <c r="G329" i="30"/>
  <c r="G328" i="30"/>
  <c r="Q327" i="30"/>
  <c r="O327" i="30"/>
  <c r="N327" i="30"/>
  <c r="L327" i="30"/>
  <c r="J327" i="30"/>
  <c r="I327" i="30"/>
  <c r="E327" i="30"/>
  <c r="G326" i="30"/>
  <c r="Q325" i="30"/>
  <c r="G325" i="30" s="1"/>
  <c r="O325" i="30"/>
  <c r="N325" i="30"/>
  <c r="L325" i="30"/>
  <c r="J325" i="30"/>
  <c r="I325" i="30"/>
  <c r="E325" i="30"/>
  <c r="G324" i="30"/>
  <c r="Q323" i="30"/>
  <c r="O323" i="30"/>
  <c r="O314" i="30" s="1"/>
  <c r="N323" i="30"/>
  <c r="L323" i="30"/>
  <c r="J323" i="30"/>
  <c r="I323" i="30"/>
  <c r="E323" i="30"/>
  <c r="G318" i="30"/>
  <c r="G317" i="30"/>
  <c r="G316" i="30"/>
  <c r="Q315" i="30"/>
  <c r="O315" i="30"/>
  <c r="N315" i="30"/>
  <c r="N314" i="30" s="1"/>
  <c r="L315" i="30"/>
  <c r="J315" i="30"/>
  <c r="I315" i="30"/>
  <c r="G315" i="30" s="1"/>
  <c r="E315" i="30"/>
  <c r="N312" i="30"/>
  <c r="M312" i="30"/>
  <c r="F312" i="30"/>
  <c r="G311" i="30"/>
  <c r="F311" i="30"/>
  <c r="F310" i="30"/>
  <c r="F309" i="30"/>
  <c r="F308" i="30"/>
  <c r="F307" i="30"/>
  <c r="M306" i="30"/>
  <c r="F306" i="30" s="1"/>
  <c r="F303" i="30" s="1"/>
  <c r="F305" i="30"/>
  <c r="F304" i="30"/>
  <c r="M303" i="30"/>
  <c r="P302" i="30"/>
  <c r="F302" i="30"/>
  <c r="M301" i="30"/>
  <c r="M300" i="30" s="1"/>
  <c r="F300" i="30" s="1"/>
  <c r="F301" i="30"/>
  <c r="P300" i="30"/>
  <c r="P293" i="30" s="1"/>
  <c r="P286" i="30" s="1"/>
  <c r="O300" i="30"/>
  <c r="O293" i="30" s="1"/>
  <c r="O286" i="30" s="1"/>
  <c r="N300" i="30"/>
  <c r="F299" i="30"/>
  <c r="F298" i="30"/>
  <c r="F297" i="30"/>
  <c r="F296" i="30"/>
  <c r="F294" i="30" s="1"/>
  <c r="M295" i="30"/>
  <c r="F295" i="30" s="1"/>
  <c r="N293" i="30"/>
  <c r="N286" i="30" s="1"/>
  <c r="G292" i="30"/>
  <c r="G291" i="30"/>
  <c r="G290" i="30"/>
  <c r="F290" i="30"/>
  <c r="G289" i="30"/>
  <c r="F289" i="30"/>
  <c r="G288" i="30"/>
  <c r="M287" i="30"/>
  <c r="Q286" i="30"/>
  <c r="L286" i="30"/>
  <c r="K286" i="30"/>
  <c r="J286" i="30"/>
  <c r="I286" i="30"/>
  <c r="H286" i="30"/>
  <c r="E286" i="30"/>
  <c r="G284" i="30"/>
  <c r="F284" i="30"/>
  <c r="Q283" i="30"/>
  <c r="P283" i="30"/>
  <c r="O283" i="30"/>
  <c r="N283" i="30"/>
  <c r="L283" i="30"/>
  <c r="K283" i="30"/>
  <c r="J283" i="30"/>
  <c r="I283" i="30"/>
  <c r="H283" i="30"/>
  <c r="E283" i="30"/>
  <c r="G282" i="30"/>
  <c r="F282" i="30"/>
  <c r="M281" i="30"/>
  <c r="G281" i="30" s="1"/>
  <c r="G280" i="30"/>
  <c r="G279" i="30"/>
  <c r="G278" i="30"/>
  <c r="F278" i="30"/>
  <c r="G277" i="30"/>
  <c r="G276" i="30"/>
  <c r="Q275" i="30"/>
  <c r="P275" i="30"/>
  <c r="O275" i="30"/>
  <c r="N275" i="30"/>
  <c r="L275" i="30"/>
  <c r="K275" i="30"/>
  <c r="J275" i="30"/>
  <c r="I275" i="30"/>
  <c r="H275" i="30"/>
  <c r="E275" i="30"/>
  <c r="F274" i="30"/>
  <c r="F269" i="30"/>
  <c r="F267" i="30"/>
  <c r="F266" i="30"/>
  <c r="P265" i="30"/>
  <c r="M265" i="30"/>
  <c r="M264" i="30"/>
  <c r="G264" i="30" s="1"/>
  <c r="G263" i="30"/>
  <c r="Q262" i="30"/>
  <c r="P262" i="30"/>
  <c r="O262" i="30"/>
  <c r="N262" i="30"/>
  <c r="L262" i="30"/>
  <c r="K262" i="30"/>
  <c r="J262" i="30"/>
  <c r="I262" i="30"/>
  <c r="H262" i="30"/>
  <c r="E262" i="30"/>
  <c r="G261" i="30"/>
  <c r="G260" i="30"/>
  <c r="G259" i="30"/>
  <c r="G258" i="30"/>
  <c r="G256" i="30" s="1"/>
  <c r="G257" i="30"/>
  <c r="F257" i="30"/>
  <c r="Q256" i="30"/>
  <c r="P256" i="30"/>
  <c r="O256" i="30"/>
  <c r="N256" i="30"/>
  <c r="M256" i="30"/>
  <c r="L256" i="30"/>
  <c r="K256" i="30"/>
  <c r="J256" i="30"/>
  <c r="I256" i="30"/>
  <c r="H256" i="30"/>
  <c r="F256" i="30"/>
  <c r="E256" i="30"/>
  <c r="G255" i="30"/>
  <c r="G254" i="30"/>
  <c r="G253" i="30"/>
  <c r="F253" i="30"/>
  <c r="G252" i="30"/>
  <c r="F252" i="30"/>
  <c r="M251" i="30"/>
  <c r="M248" i="30" s="1"/>
  <c r="G250" i="30"/>
  <c r="F250" i="30"/>
  <c r="G249" i="30"/>
  <c r="F249" i="30"/>
  <c r="Q248" i="30"/>
  <c r="P248" i="30"/>
  <c r="O248" i="30"/>
  <c r="N248" i="30"/>
  <c r="L248" i="30"/>
  <c r="K248" i="30"/>
  <c r="J248" i="30"/>
  <c r="I248" i="30"/>
  <c r="I247" i="30" s="1"/>
  <c r="H248" i="30"/>
  <c r="E248" i="30"/>
  <c r="G246" i="30"/>
  <c r="Q245" i="30"/>
  <c r="O245" i="30"/>
  <c r="N245" i="30"/>
  <c r="L245" i="30"/>
  <c r="J245" i="30"/>
  <c r="I245" i="30"/>
  <c r="G245" i="30" s="1"/>
  <c r="E245" i="30"/>
  <c r="G244" i="30"/>
  <c r="Q243" i="30"/>
  <c r="O243" i="30"/>
  <c r="N243" i="30"/>
  <c r="L243" i="30"/>
  <c r="J243" i="30"/>
  <c r="I243" i="30"/>
  <c r="E243" i="30"/>
  <c r="G242" i="30"/>
  <c r="F242" i="30"/>
  <c r="Q241" i="30"/>
  <c r="P241" i="30"/>
  <c r="O241" i="30"/>
  <c r="N241" i="30"/>
  <c r="M241" i="30"/>
  <c r="L241" i="30"/>
  <c r="K241" i="30"/>
  <c r="J241" i="30"/>
  <c r="I241" i="30"/>
  <c r="H241" i="30"/>
  <c r="G241" i="30"/>
  <c r="F241" i="30"/>
  <c r="E241" i="30"/>
  <c r="G240" i="30"/>
  <c r="F240" i="30"/>
  <c r="Q239" i="30"/>
  <c r="P239" i="30"/>
  <c r="O239" i="30"/>
  <c r="N239" i="30"/>
  <c r="M239" i="30"/>
  <c r="L239" i="30"/>
  <c r="K239" i="30"/>
  <c r="J239" i="30"/>
  <c r="I239" i="30"/>
  <c r="H239" i="30"/>
  <c r="G239" i="30"/>
  <c r="F239" i="30"/>
  <c r="E239" i="30"/>
  <c r="G238" i="30"/>
  <c r="F238" i="30"/>
  <c r="G233" i="30"/>
  <c r="G230" i="30" s="1"/>
  <c r="F233" i="30"/>
  <c r="F230" i="30" s="1"/>
  <c r="G232" i="30"/>
  <c r="G231" i="30"/>
  <c r="Q230" i="30"/>
  <c r="P230" i="30"/>
  <c r="O230" i="30"/>
  <c r="N230" i="30"/>
  <c r="M230" i="30"/>
  <c r="L230" i="30"/>
  <c r="K230" i="30"/>
  <c r="J230" i="30"/>
  <c r="I230" i="30"/>
  <c r="H230" i="30"/>
  <c r="E230" i="30"/>
  <c r="G229" i="30"/>
  <c r="Q228" i="30"/>
  <c r="O228" i="30"/>
  <c r="N228" i="30"/>
  <c r="L228" i="30"/>
  <c r="J228" i="30"/>
  <c r="I228" i="30"/>
  <c r="E228" i="30"/>
  <c r="G227" i="30"/>
  <c r="N226" i="30"/>
  <c r="N224" i="30" s="1"/>
  <c r="G226" i="30"/>
  <c r="F226" i="30"/>
  <c r="E226" i="30"/>
  <c r="N225" i="30"/>
  <c r="G225" i="30"/>
  <c r="F225" i="30"/>
  <c r="F224" i="30" s="1"/>
  <c r="E225" i="30"/>
  <c r="E224" i="30" s="1"/>
  <c r="Q224" i="30"/>
  <c r="P224" i="30"/>
  <c r="O224" i="30"/>
  <c r="M224" i="30"/>
  <c r="L224" i="30"/>
  <c r="K224" i="30"/>
  <c r="K221" i="30" s="1"/>
  <c r="J224" i="30"/>
  <c r="I224" i="30"/>
  <c r="H224" i="30"/>
  <c r="G224" i="30"/>
  <c r="R223" i="30"/>
  <c r="N223" i="30"/>
  <c r="G223" i="30" s="1"/>
  <c r="G222" i="30" s="1"/>
  <c r="F223" i="30"/>
  <c r="E223" i="30"/>
  <c r="Q222" i="30"/>
  <c r="P222" i="30"/>
  <c r="O222" i="30"/>
  <c r="M222" i="30"/>
  <c r="L222" i="30"/>
  <c r="K222" i="30"/>
  <c r="J222" i="30"/>
  <c r="I222" i="30"/>
  <c r="H222" i="30"/>
  <c r="F222" i="30"/>
  <c r="F221" i="30" s="1"/>
  <c r="E222" i="30"/>
  <c r="G209" i="30"/>
  <c r="G208" i="30"/>
  <c r="G207" i="30"/>
  <c r="G202" i="30"/>
  <c r="G201" i="30"/>
  <c r="G200" i="30"/>
  <c r="G199" i="30"/>
  <c r="G198" i="30"/>
  <c r="Q197" i="30"/>
  <c r="Q186" i="30" s="1"/>
  <c r="O197" i="30"/>
  <c r="O186" i="30" s="1"/>
  <c r="N197" i="30"/>
  <c r="L197" i="30"/>
  <c r="J197" i="30"/>
  <c r="I197" i="30"/>
  <c r="E197" i="30"/>
  <c r="G196" i="30"/>
  <c r="G195" i="30"/>
  <c r="G194" i="30"/>
  <c r="G193" i="30"/>
  <c r="G192" i="30"/>
  <c r="G191" i="30"/>
  <c r="G190" i="30"/>
  <c r="G189" i="30"/>
  <c r="G188" i="30"/>
  <c r="Q187" i="30"/>
  <c r="O187" i="30"/>
  <c r="N187" i="30"/>
  <c r="L187" i="30"/>
  <c r="L186" i="30" s="1"/>
  <c r="J187" i="30"/>
  <c r="I187" i="30"/>
  <c r="E187" i="30"/>
  <c r="J186" i="30"/>
  <c r="E186" i="30"/>
  <c r="G185" i="30"/>
  <c r="G180" i="30"/>
  <c r="G179" i="30"/>
  <c r="G178" i="30"/>
  <c r="G177" i="30"/>
  <c r="G176" i="30"/>
  <c r="G175" i="30"/>
  <c r="Q174" i="30"/>
  <c r="O174" i="30"/>
  <c r="N174" i="30"/>
  <c r="N163" i="30" s="1"/>
  <c r="L174" i="30"/>
  <c r="J174" i="30"/>
  <c r="I174" i="30"/>
  <c r="E174" i="30"/>
  <c r="G173" i="30"/>
  <c r="G172" i="30"/>
  <c r="G171" i="30"/>
  <c r="G170" i="30"/>
  <c r="G169" i="30"/>
  <c r="G168" i="30"/>
  <c r="G167" i="30"/>
  <c r="G166" i="30"/>
  <c r="G165" i="30"/>
  <c r="Q164" i="30"/>
  <c r="Q163" i="30" s="1"/>
  <c r="O164" i="30"/>
  <c r="N164" i="30"/>
  <c r="L164" i="30"/>
  <c r="J164" i="30"/>
  <c r="J163" i="30" s="1"/>
  <c r="J162" i="30" s="1"/>
  <c r="I164" i="30"/>
  <c r="E164" i="30"/>
  <c r="E163" i="30" s="1"/>
  <c r="E162" i="30" s="1"/>
  <c r="G161" i="30"/>
  <c r="Q160" i="30"/>
  <c r="O160" i="30"/>
  <c r="N160" i="30"/>
  <c r="L160" i="30"/>
  <c r="J160" i="30"/>
  <c r="I160" i="30"/>
  <c r="E160" i="30"/>
  <c r="G159" i="30"/>
  <c r="Q154" i="30"/>
  <c r="O154" i="30"/>
  <c r="N154" i="30"/>
  <c r="N151" i="30" s="1"/>
  <c r="L154" i="30"/>
  <c r="G154" i="30" s="1"/>
  <c r="J154" i="30"/>
  <c r="I154" i="30"/>
  <c r="E154" i="30"/>
  <c r="G153" i="30"/>
  <c r="Q152" i="30"/>
  <c r="Q151" i="30" s="1"/>
  <c r="O152" i="30"/>
  <c r="N152" i="30"/>
  <c r="L152" i="30"/>
  <c r="J152" i="30"/>
  <c r="J151" i="30" s="1"/>
  <c r="I152" i="30"/>
  <c r="G152" i="30" s="1"/>
  <c r="E152" i="30"/>
  <c r="G150" i="30"/>
  <c r="Q149" i="30"/>
  <c r="O149" i="30"/>
  <c r="N149" i="30"/>
  <c r="N148" i="30" s="1"/>
  <c r="L149" i="30"/>
  <c r="L148" i="30" s="1"/>
  <c r="J149" i="30"/>
  <c r="J148" i="30" s="1"/>
  <c r="I149" i="30"/>
  <c r="E149" i="30"/>
  <c r="E148" i="30" s="1"/>
  <c r="Q148" i="30"/>
  <c r="O148" i="30"/>
  <c r="I148" i="30"/>
  <c r="G147" i="30"/>
  <c r="Q146" i="30"/>
  <c r="O146" i="30"/>
  <c r="N146" i="30"/>
  <c r="L146" i="30"/>
  <c r="J146" i="30"/>
  <c r="I146" i="30"/>
  <c r="G146" i="30"/>
  <c r="E146" i="30"/>
  <c r="G145" i="30"/>
  <c r="Q144" i="30"/>
  <c r="O144" i="30"/>
  <c r="N144" i="30"/>
  <c r="L144" i="30"/>
  <c r="L141" i="30" s="1"/>
  <c r="J144" i="30"/>
  <c r="I144" i="30"/>
  <c r="E144" i="30"/>
  <c r="G143" i="30"/>
  <c r="Q142" i="30"/>
  <c r="Q141" i="30" s="1"/>
  <c r="O142" i="30"/>
  <c r="O141" i="30" s="1"/>
  <c r="N142" i="30"/>
  <c r="L142" i="30"/>
  <c r="J142" i="30"/>
  <c r="I142" i="30"/>
  <c r="I141" i="30" s="1"/>
  <c r="E142" i="30"/>
  <c r="G140" i="30"/>
  <c r="Q139" i="30"/>
  <c r="O139" i="30"/>
  <c r="O134" i="30" s="1"/>
  <c r="N139" i="30"/>
  <c r="L139" i="30"/>
  <c r="J139" i="30"/>
  <c r="I139" i="30"/>
  <c r="E139" i="30"/>
  <c r="G138" i="30"/>
  <c r="F138" i="30"/>
  <c r="Q137" i="30"/>
  <c r="P137" i="30"/>
  <c r="P134" i="30" s="1"/>
  <c r="P133" i="30" s="1"/>
  <c r="O137" i="30"/>
  <c r="N137" i="30"/>
  <c r="M137" i="30"/>
  <c r="M134" i="30" s="1"/>
  <c r="M133" i="30" s="1"/>
  <c r="L137" i="30"/>
  <c r="K137" i="30"/>
  <c r="K134" i="30" s="1"/>
  <c r="K133" i="30" s="1"/>
  <c r="J137" i="30"/>
  <c r="I137" i="30"/>
  <c r="H137" i="30"/>
  <c r="G137" i="30"/>
  <c r="E137" i="30"/>
  <c r="G136" i="30"/>
  <c r="F136" i="30"/>
  <c r="Q135" i="30"/>
  <c r="O135" i="30"/>
  <c r="N135" i="30"/>
  <c r="L135" i="30"/>
  <c r="J135" i="30"/>
  <c r="I135" i="30"/>
  <c r="F135" i="30"/>
  <c r="E135" i="30"/>
  <c r="G132" i="30"/>
  <c r="F132" i="30"/>
  <c r="F131" i="30"/>
  <c r="F130" i="30"/>
  <c r="F129" i="30"/>
  <c r="F128" i="30"/>
  <c r="Q127" i="30"/>
  <c r="P127" i="30"/>
  <c r="O127" i="30"/>
  <c r="O126" i="30" s="1"/>
  <c r="N127" i="30"/>
  <c r="N126" i="30" s="1"/>
  <c r="M127" i="30"/>
  <c r="L127" i="30"/>
  <c r="L126" i="30" s="1"/>
  <c r="K127" i="30"/>
  <c r="K126" i="30" s="1"/>
  <c r="J127" i="30"/>
  <c r="J126" i="30" s="1"/>
  <c r="I127" i="30"/>
  <c r="I126" i="30" s="1"/>
  <c r="H127" i="30"/>
  <c r="H126" i="30" s="1"/>
  <c r="G127" i="30"/>
  <c r="G126" i="30" s="1"/>
  <c r="E127" i="30"/>
  <c r="Q126" i="30"/>
  <c r="P126" i="30"/>
  <c r="M126" i="30"/>
  <c r="E126" i="30"/>
  <c r="G125" i="30"/>
  <c r="F125" i="30"/>
  <c r="G124" i="30"/>
  <c r="F124" i="30"/>
  <c r="Q123" i="30"/>
  <c r="Q122" i="30" s="1"/>
  <c r="P123" i="30"/>
  <c r="P122" i="30" s="1"/>
  <c r="O123" i="30"/>
  <c r="N123" i="30"/>
  <c r="N122" i="30" s="1"/>
  <c r="M123" i="30"/>
  <c r="M122" i="30" s="1"/>
  <c r="L123" i="30"/>
  <c r="L122" i="30" s="1"/>
  <c r="L120" i="30" s="1"/>
  <c r="K123" i="30"/>
  <c r="J123" i="30"/>
  <c r="J122" i="30" s="1"/>
  <c r="J120" i="30" s="1"/>
  <c r="I123" i="30"/>
  <c r="I122" i="30" s="1"/>
  <c r="I120" i="30" s="1"/>
  <c r="H123" i="30"/>
  <c r="H122" i="30" s="1"/>
  <c r="H120" i="30" s="1"/>
  <c r="F123" i="30"/>
  <c r="E123" i="30"/>
  <c r="E122" i="30" s="1"/>
  <c r="E120" i="30" s="1"/>
  <c r="O122" i="30"/>
  <c r="K122" i="30"/>
  <c r="K120" i="30" s="1"/>
  <c r="F122" i="30"/>
  <c r="F121" i="30"/>
  <c r="P120" i="30"/>
  <c r="G119" i="30"/>
  <c r="F119" i="30"/>
  <c r="Q118" i="30"/>
  <c r="O118" i="30"/>
  <c r="O115" i="30" s="1"/>
  <c r="N118" i="30"/>
  <c r="L118" i="30"/>
  <c r="J118" i="30"/>
  <c r="I118" i="30"/>
  <c r="F118" i="30"/>
  <c r="E118" i="30"/>
  <c r="G117" i="30"/>
  <c r="F117" i="30"/>
  <c r="Q116" i="30"/>
  <c r="O116" i="30"/>
  <c r="N116" i="30"/>
  <c r="N115" i="30" s="1"/>
  <c r="L116" i="30"/>
  <c r="L115" i="30" s="1"/>
  <c r="J116" i="30"/>
  <c r="J115" i="30" s="1"/>
  <c r="I116" i="30"/>
  <c r="F116" i="30"/>
  <c r="E116" i="30"/>
  <c r="E115" i="30" s="1"/>
  <c r="F115" i="30"/>
  <c r="G114" i="30"/>
  <c r="F114" i="30"/>
  <c r="Q113" i="30"/>
  <c r="O113" i="30"/>
  <c r="O86" i="30" s="1"/>
  <c r="N113" i="30"/>
  <c r="G113" i="30" s="1"/>
  <c r="L113" i="30"/>
  <c r="J113" i="30"/>
  <c r="I113" i="30"/>
  <c r="F113" i="30"/>
  <c r="E113" i="30"/>
  <c r="G112" i="30"/>
  <c r="F112" i="30"/>
  <c r="G111" i="30"/>
  <c r="F111" i="30"/>
  <c r="Q110" i="30"/>
  <c r="P110" i="30"/>
  <c r="O110" i="30"/>
  <c r="N110" i="30"/>
  <c r="M110" i="30"/>
  <c r="L110" i="30"/>
  <c r="K110" i="30"/>
  <c r="J110" i="30"/>
  <c r="I110" i="30"/>
  <c r="H110" i="30"/>
  <c r="G110" i="30"/>
  <c r="E110" i="30"/>
  <c r="G109" i="30"/>
  <c r="F109" i="30"/>
  <c r="G108" i="30"/>
  <c r="F108" i="30"/>
  <c r="G107" i="30"/>
  <c r="F107" i="30"/>
  <c r="G106" i="30"/>
  <c r="F106" i="30"/>
  <c r="G105" i="30"/>
  <c r="F105" i="30"/>
  <c r="G104" i="30"/>
  <c r="F104" i="30"/>
  <c r="F103" i="30"/>
  <c r="F102" i="30"/>
  <c r="F101" i="30"/>
  <c r="F100" i="30"/>
  <c r="Q99" i="30"/>
  <c r="O99" i="30"/>
  <c r="N99" i="30"/>
  <c r="L99" i="30"/>
  <c r="J99" i="30"/>
  <c r="I99" i="30"/>
  <c r="G99" i="30" s="1"/>
  <c r="F99" i="30"/>
  <c r="E99" i="30"/>
  <c r="G98" i="30"/>
  <c r="F98" i="30"/>
  <c r="F94" i="30" s="1"/>
  <c r="G97" i="30"/>
  <c r="F97" i="30"/>
  <c r="G96" i="30"/>
  <c r="F96" i="30"/>
  <c r="G95" i="30"/>
  <c r="F95" i="30"/>
  <c r="Q94" i="30"/>
  <c r="P94" i="30"/>
  <c r="O94" i="30"/>
  <c r="N94" i="30"/>
  <c r="M94" i="30"/>
  <c r="M86" i="30" s="1"/>
  <c r="M7" i="30" s="1"/>
  <c r="L94" i="30"/>
  <c r="K94" i="30"/>
  <c r="J94" i="30"/>
  <c r="I94" i="30"/>
  <c r="H94" i="30"/>
  <c r="E94" i="30"/>
  <c r="G93" i="30"/>
  <c r="F93" i="30"/>
  <c r="G92" i="30"/>
  <c r="F92" i="30"/>
  <c r="G91" i="30"/>
  <c r="F91" i="30"/>
  <c r="F87" i="30" s="1"/>
  <c r="G90" i="30"/>
  <c r="G89" i="30"/>
  <c r="G88" i="30"/>
  <c r="Q87" i="30"/>
  <c r="P87" i="30"/>
  <c r="O87" i="30"/>
  <c r="N87" i="30"/>
  <c r="M87" i="30"/>
  <c r="L87" i="30"/>
  <c r="K87" i="30"/>
  <c r="J87" i="30"/>
  <c r="J86" i="30" s="1"/>
  <c r="I87" i="30"/>
  <c r="I86" i="30" s="1"/>
  <c r="H87" i="30"/>
  <c r="H86" i="30" s="1"/>
  <c r="E87" i="30"/>
  <c r="K86" i="30"/>
  <c r="E86" i="30"/>
  <c r="G85" i="30"/>
  <c r="G84" i="30"/>
  <c r="Q83" i="30"/>
  <c r="O83" i="30"/>
  <c r="N83" i="30"/>
  <c r="L83" i="30"/>
  <c r="G83" i="30" s="1"/>
  <c r="J83" i="30"/>
  <c r="I83" i="30"/>
  <c r="E83" i="30"/>
  <c r="G82" i="30"/>
  <c r="G81" i="30"/>
  <c r="G80" i="30"/>
  <c r="G79" i="30"/>
  <c r="Q78" i="30"/>
  <c r="O78" i="30"/>
  <c r="O74" i="30" s="1"/>
  <c r="N78" i="30"/>
  <c r="N74" i="30" s="1"/>
  <c r="L78" i="30"/>
  <c r="G78" i="30" s="1"/>
  <c r="J78" i="30"/>
  <c r="I78" i="30"/>
  <c r="E78" i="30"/>
  <c r="G77" i="30"/>
  <c r="G76" i="30"/>
  <c r="Q75" i="30"/>
  <c r="Q74" i="30" s="1"/>
  <c r="O75" i="30"/>
  <c r="N75" i="30"/>
  <c r="L75" i="30"/>
  <c r="L74" i="30" s="1"/>
  <c r="J75" i="30"/>
  <c r="J74" i="30" s="1"/>
  <c r="I75" i="30"/>
  <c r="I74" i="30" s="1"/>
  <c r="E75" i="30"/>
  <c r="E74" i="30" s="1"/>
  <c r="G69" i="30"/>
  <c r="G68" i="30"/>
  <c r="G67" i="30"/>
  <c r="Q66" i="30"/>
  <c r="Q60" i="30" s="1"/>
  <c r="O66" i="30"/>
  <c r="O60" i="30" s="1"/>
  <c r="N66" i="30"/>
  <c r="L66" i="30"/>
  <c r="J66" i="30"/>
  <c r="I66" i="30"/>
  <c r="E66" i="30"/>
  <c r="G65" i="30"/>
  <c r="G64" i="30"/>
  <c r="G63" i="30"/>
  <c r="G62" i="30"/>
  <c r="Q61" i="30"/>
  <c r="O61" i="30"/>
  <c r="N61" i="30"/>
  <c r="N60" i="30" s="1"/>
  <c r="L61" i="30"/>
  <c r="L60" i="30" s="1"/>
  <c r="J61" i="30"/>
  <c r="I61" i="30"/>
  <c r="I60" i="30" s="1"/>
  <c r="E61" i="30"/>
  <c r="J60" i="30"/>
  <c r="E60" i="30"/>
  <c r="G59" i="30"/>
  <c r="G58" i="30"/>
  <c r="G57" i="30"/>
  <c r="G56" i="30"/>
  <c r="G55" i="30"/>
  <c r="G54" i="30"/>
  <c r="Q53" i="30"/>
  <c r="O53" i="30"/>
  <c r="N53" i="30"/>
  <c r="L53" i="30"/>
  <c r="J53" i="30"/>
  <c r="I53" i="30"/>
  <c r="G53" i="30"/>
  <c r="E53" i="30"/>
  <c r="G52" i="30"/>
  <c r="G51" i="30"/>
  <c r="G50" i="30"/>
  <c r="G49" i="30"/>
  <c r="G48" i="30"/>
  <c r="G47" i="30"/>
  <c r="Q42" i="30"/>
  <c r="O42" i="30"/>
  <c r="N42" i="30"/>
  <c r="L42" i="30"/>
  <c r="J42" i="30"/>
  <c r="I42" i="30"/>
  <c r="E42" i="30"/>
  <c r="G41" i="30"/>
  <c r="G40" i="30"/>
  <c r="Q39" i="30"/>
  <c r="O39" i="30"/>
  <c r="N39" i="30"/>
  <c r="L39" i="30"/>
  <c r="J39" i="30"/>
  <c r="G39" i="30" s="1"/>
  <c r="I39" i="30"/>
  <c r="E39" i="30"/>
  <c r="G38" i="30"/>
  <c r="G37" i="30"/>
  <c r="G36" i="30"/>
  <c r="G35" i="30"/>
  <c r="G34" i="30"/>
  <c r="G33" i="30"/>
  <c r="Q32" i="30"/>
  <c r="O32" i="30"/>
  <c r="N32" i="30"/>
  <c r="L32" i="30"/>
  <c r="J32" i="30"/>
  <c r="I32" i="30"/>
  <c r="E32" i="30"/>
  <c r="G31" i="30"/>
  <c r="G30" i="30"/>
  <c r="G29" i="30"/>
  <c r="G28" i="30"/>
  <c r="G27" i="30"/>
  <c r="Q26" i="30"/>
  <c r="O26" i="30"/>
  <c r="N26" i="30"/>
  <c r="L26" i="30"/>
  <c r="J26" i="30"/>
  <c r="I26" i="30"/>
  <c r="E26" i="30"/>
  <c r="G25" i="30"/>
  <c r="G24" i="30"/>
  <c r="G23" i="30"/>
  <c r="G22" i="30"/>
  <c r="G21" i="30"/>
  <c r="G20" i="30"/>
  <c r="Q19" i="30"/>
  <c r="O19" i="30"/>
  <c r="N19" i="30"/>
  <c r="L19" i="30"/>
  <c r="J19" i="30"/>
  <c r="I19" i="30"/>
  <c r="G19" i="30" s="1"/>
  <c r="E19" i="30"/>
  <c r="G18" i="30"/>
  <c r="Q17" i="30"/>
  <c r="O17" i="30"/>
  <c r="N17" i="30"/>
  <c r="L17" i="30"/>
  <c r="J17" i="30"/>
  <c r="I17" i="30"/>
  <c r="E17" i="30"/>
  <c r="G16" i="30"/>
  <c r="G15" i="30"/>
  <c r="G10" i="30"/>
  <c r="Q9" i="30"/>
  <c r="O9" i="30"/>
  <c r="N9" i="30"/>
  <c r="L9" i="30"/>
  <c r="L8" i="30" s="1"/>
  <c r="J9" i="30"/>
  <c r="I9" i="30"/>
  <c r="E9" i="30"/>
  <c r="K7" i="30"/>
  <c r="D430" i="29"/>
  <c r="D424" i="29" s="1"/>
  <c r="D294" i="29"/>
  <c r="F125" i="29"/>
  <c r="D224" i="29"/>
  <c r="F224" i="29" s="1"/>
  <c r="G94" i="29"/>
  <c r="F279" i="29"/>
  <c r="F280" i="29"/>
  <c r="F281" i="29"/>
  <c r="F282" i="29"/>
  <c r="G523" i="29"/>
  <c r="N523" i="29" s="1"/>
  <c r="M522" i="29"/>
  <c r="L522" i="29"/>
  <c r="K522" i="29"/>
  <c r="J522" i="29"/>
  <c r="I522" i="29"/>
  <c r="H522" i="29"/>
  <c r="F522" i="29"/>
  <c r="E522" i="29"/>
  <c r="D522" i="29"/>
  <c r="G521" i="29"/>
  <c r="N521" i="29" s="1"/>
  <c r="G520" i="29"/>
  <c r="N520" i="29" s="1"/>
  <c r="G519" i="29"/>
  <c r="N519" i="29" s="1"/>
  <c r="G518" i="29"/>
  <c r="N518" i="29" s="1"/>
  <c r="G517" i="29"/>
  <c r="N517" i="29" s="1"/>
  <c r="G516" i="29"/>
  <c r="N516" i="29" s="1"/>
  <c r="G515" i="29"/>
  <c r="N515" i="29" s="1"/>
  <c r="G514" i="29"/>
  <c r="N514" i="29" s="1"/>
  <c r="M513" i="29"/>
  <c r="L513" i="29"/>
  <c r="K513" i="29"/>
  <c r="J513" i="29"/>
  <c r="I513" i="29"/>
  <c r="H513" i="29"/>
  <c r="F513" i="29"/>
  <c r="E513" i="29"/>
  <c r="D513" i="29"/>
  <c r="G512" i="29"/>
  <c r="N512" i="29" s="1"/>
  <c r="G511" i="29"/>
  <c r="N511" i="29" s="1"/>
  <c r="G510" i="29"/>
  <c r="N510" i="29" s="1"/>
  <c r="G509" i="29"/>
  <c r="N509" i="29" s="1"/>
  <c r="G508" i="29"/>
  <c r="N508" i="29" s="1"/>
  <c r="G507" i="29"/>
  <c r="N507" i="29" s="1"/>
  <c r="G506" i="29"/>
  <c r="N506" i="29" s="1"/>
  <c r="G505" i="29"/>
  <c r="N505" i="29" s="1"/>
  <c r="N504" i="29"/>
  <c r="N503" i="29"/>
  <c r="N502" i="29"/>
  <c r="N501" i="29"/>
  <c r="G500" i="29"/>
  <c r="N500" i="29" s="1"/>
  <c r="M499" i="29"/>
  <c r="L499" i="29"/>
  <c r="K499" i="29"/>
  <c r="K498" i="29" s="1"/>
  <c r="J499" i="29"/>
  <c r="J498" i="29" s="1"/>
  <c r="I499" i="29"/>
  <c r="H499" i="29"/>
  <c r="H498" i="29" s="1"/>
  <c r="F499" i="29"/>
  <c r="F498" i="29" s="1"/>
  <c r="E499" i="29"/>
  <c r="E498" i="29" s="1"/>
  <c r="D499" i="29"/>
  <c r="D498" i="29" s="1"/>
  <c r="L498" i="29"/>
  <c r="I498" i="29"/>
  <c r="G497" i="29"/>
  <c r="N497" i="29" s="1"/>
  <c r="M496" i="29"/>
  <c r="L496" i="29"/>
  <c r="K496" i="29"/>
  <c r="J496" i="29"/>
  <c r="I496" i="29"/>
  <c r="H496" i="29"/>
  <c r="F496" i="29"/>
  <c r="E496" i="29"/>
  <c r="D496" i="29"/>
  <c r="G495" i="29"/>
  <c r="N495" i="29" s="1"/>
  <c r="M494" i="29"/>
  <c r="L494" i="29"/>
  <c r="K494" i="29"/>
  <c r="J494" i="29"/>
  <c r="I494" i="29"/>
  <c r="H494" i="29"/>
  <c r="F494" i="29"/>
  <c r="E494" i="29"/>
  <c r="D494" i="29"/>
  <c r="N493" i="29"/>
  <c r="G493" i="29"/>
  <c r="M492" i="29"/>
  <c r="L492" i="29"/>
  <c r="K492" i="29"/>
  <c r="J492" i="29"/>
  <c r="I492" i="29"/>
  <c r="H492" i="29"/>
  <c r="F492" i="29"/>
  <c r="E492" i="29"/>
  <c r="D492" i="29"/>
  <c r="G491" i="29"/>
  <c r="N491" i="29" s="1"/>
  <c r="G490" i="29"/>
  <c r="N490" i="29" s="1"/>
  <c r="G489" i="29"/>
  <c r="N489" i="29" s="1"/>
  <c r="G488" i="29"/>
  <c r="N488" i="29" s="1"/>
  <c r="G487" i="29"/>
  <c r="N487" i="29" s="1"/>
  <c r="G486" i="29"/>
  <c r="N486" i="29" s="1"/>
  <c r="G485" i="29"/>
  <c r="N485" i="29" s="1"/>
  <c r="M484" i="29"/>
  <c r="L484" i="29"/>
  <c r="K484" i="29"/>
  <c r="J484" i="29"/>
  <c r="I484" i="29"/>
  <c r="H484" i="29"/>
  <c r="F484" i="29"/>
  <c r="E484" i="29"/>
  <c r="D484" i="29"/>
  <c r="G483" i="29"/>
  <c r="N483" i="29" s="1"/>
  <c r="G482" i="29"/>
  <c r="N482" i="29" s="1"/>
  <c r="N481" i="29"/>
  <c r="G481" i="29"/>
  <c r="G480" i="29"/>
  <c r="N480" i="29" s="1"/>
  <c r="G479" i="29"/>
  <c r="N479" i="29" s="1"/>
  <c r="G478" i="29"/>
  <c r="N478" i="29" s="1"/>
  <c r="N477" i="29"/>
  <c r="N476" i="29"/>
  <c r="N475" i="29"/>
  <c r="N474" i="29"/>
  <c r="G473" i="29"/>
  <c r="N473" i="29" s="1"/>
  <c r="G472" i="29"/>
  <c r="N472" i="29" s="1"/>
  <c r="N471" i="29"/>
  <c r="G471" i="29"/>
  <c r="M470" i="29"/>
  <c r="M469" i="29" s="1"/>
  <c r="L470" i="29"/>
  <c r="K470" i="29"/>
  <c r="J470" i="29"/>
  <c r="I470" i="29"/>
  <c r="H470" i="29"/>
  <c r="F470" i="29"/>
  <c r="E470" i="29"/>
  <c r="D470" i="29"/>
  <c r="G467" i="29"/>
  <c r="N467" i="29" s="1"/>
  <c r="M466" i="29"/>
  <c r="M465" i="29" s="1"/>
  <c r="L466" i="29"/>
  <c r="K466" i="29"/>
  <c r="K465" i="29" s="1"/>
  <c r="J466" i="29"/>
  <c r="J465" i="29" s="1"/>
  <c r="I466" i="29"/>
  <c r="I465" i="29" s="1"/>
  <c r="H466" i="29"/>
  <c r="H465" i="29" s="1"/>
  <c r="F466" i="29"/>
  <c r="E466" i="29"/>
  <c r="E465" i="29" s="1"/>
  <c r="D466" i="29"/>
  <c r="D465" i="29" s="1"/>
  <c r="L465" i="29"/>
  <c r="F465" i="29"/>
  <c r="G464" i="29"/>
  <c r="N464" i="29" s="1"/>
  <c r="G463" i="29"/>
  <c r="N463" i="29" s="1"/>
  <c r="M462" i="29"/>
  <c r="L462" i="29"/>
  <c r="K462" i="29"/>
  <c r="J462" i="29"/>
  <c r="I462" i="29"/>
  <c r="H462" i="29"/>
  <c r="F462" i="29"/>
  <c r="E462" i="29"/>
  <c r="D462" i="29"/>
  <c r="G461" i="29"/>
  <c r="N461" i="29" s="1"/>
  <c r="M460" i="29"/>
  <c r="L460" i="29"/>
  <c r="L457" i="29" s="1"/>
  <c r="K460" i="29"/>
  <c r="J460" i="29"/>
  <c r="I460" i="29"/>
  <c r="H460" i="29"/>
  <c r="F460" i="29"/>
  <c r="F457" i="29" s="1"/>
  <c r="E460" i="29"/>
  <c r="D460" i="29"/>
  <c r="G459" i="29"/>
  <c r="N459" i="29" s="1"/>
  <c r="M458" i="29"/>
  <c r="L458" i="29"/>
  <c r="K458" i="29"/>
  <c r="J458" i="29"/>
  <c r="J457" i="29" s="1"/>
  <c r="I458" i="29"/>
  <c r="H458" i="29"/>
  <c r="F458" i="29"/>
  <c r="E458" i="29"/>
  <c r="E457" i="29" s="1"/>
  <c r="D458" i="29"/>
  <c r="D457" i="29" s="1"/>
  <c r="G456" i="29"/>
  <c r="N456" i="29" s="1"/>
  <c r="M455" i="29"/>
  <c r="M454" i="29" s="1"/>
  <c r="L455" i="29"/>
  <c r="K455" i="29"/>
  <c r="J455" i="29"/>
  <c r="J454" i="29" s="1"/>
  <c r="I455" i="29"/>
  <c r="I454" i="29" s="1"/>
  <c r="H455" i="29"/>
  <c r="F455" i="29"/>
  <c r="F454" i="29" s="1"/>
  <c r="E455" i="29"/>
  <c r="E454" i="29" s="1"/>
  <c r="D455" i="29"/>
  <c r="D454" i="29" s="1"/>
  <c r="L454" i="29"/>
  <c r="K454" i="29"/>
  <c r="H454" i="29"/>
  <c r="G453" i="29"/>
  <c r="N453" i="29" s="1"/>
  <c r="M452" i="29"/>
  <c r="L452" i="29"/>
  <c r="K452" i="29"/>
  <c r="J452" i="29"/>
  <c r="I452" i="29"/>
  <c r="H452" i="29"/>
  <c r="F452" i="29"/>
  <c r="E452" i="29"/>
  <c r="D452" i="29"/>
  <c r="G451" i="29"/>
  <c r="N451" i="29" s="1"/>
  <c r="G450" i="29"/>
  <c r="N450" i="29" s="1"/>
  <c r="N449" i="29"/>
  <c r="N448" i="29"/>
  <c r="N447" i="29"/>
  <c r="N446" i="29"/>
  <c r="G445" i="29"/>
  <c r="N445" i="29" s="1"/>
  <c r="M444" i="29"/>
  <c r="L444" i="29"/>
  <c r="K444" i="29"/>
  <c r="J444" i="29"/>
  <c r="I444" i="29"/>
  <c r="H444" i="29"/>
  <c r="F444" i="29"/>
  <c r="E444" i="29"/>
  <c r="D444" i="29"/>
  <c r="G443" i="29"/>
  <c r="N443" i="29" s="1"/>
  <c r="M442" i="29"/>
  <c r="L442" i="29"/>
  <c r="K442" i="29"/>
  <c r="J442" i="29"/>
  <c r="I442" i="29"/>
  <c r="H442" i="29"/>
  <c r="F442" i="29"/>
  <c r="E442" i="29"/>
  <c r="D442" i="29"/>
  <c r="L441" i="29"/>
  <c r="J441" i="29"/>
  <c r="G440" i="29"/>
  <c r="F440" i="29"/>
  <c r="F439" i="29" s="1"/>
  <c r="M439" i="29"/>
  <c r="L439" i="29"/>
  <c r="K439" i="29"/>
  <c r="J439" i="29"/>
  <c r="I439" i="29"/>
  <c r="H439" i="29"/>
  <c r="E439" i="29"/>
  <c r="D439" i="29"/>
  <c r="G438" i="29"/>
  <c r="N438" i="29" s="1"/>
  <c r="M437" i="29"/>
  <c r="L437" i="29"/>
  <c r="K437" i="29"/>
  <c r="J437" i="29"/>
  <c r="I437" i="29"/>
  <c r="H437" i="29"/>
  <c r="F437" i="29"/>
  <c r="E437" i="29"/>
  <c r="D437" i="29"/>
  <c r="G436" i="29"/>
  <c r="N436" i="29" s="1"/>
  <c r="M435" i="29"/>
  <c r="L435" i="29"/>
  <c r="K435" i="29"/>
  <c r="J435" i="29"/>
  <c r="I435" i="29"/>
  <c r="H435" i="29"/>
  <c r="F435" i="29"/>
  <c r="E435" i="29"/>
  <c r="D435" i="29"/>
  <c r="G434" i="29"/>
  <c r="N434" i="29" s="1"/>
  <c r="G433" i="29"/>
  <c r="N433" i="29" s="1"/>
  <c r="G432" i="29"/>
  <c r="N432" i="29" s="1"/>
  <c r="G431" i="29"/>
  <c r="N431" i="29" s="1"/>
  <c r="G430" i="29"/>
  <c r="G429" i="29"/>
  <c r="F429" i="29"/>
  <c r="G428" i="29"/>
  <c r="F428" i="29"/>
  <c r="G427" i="29"/>
  <c r="F427" i="29"/>
  <c r="G426" i="29"/>
  <c r="F426" i="29"/>
  <c r="G425" i="29"/>
  <c r="N425" i="29" s="1"/>
  <c r="M424" i="29"/>
  <c r="L424" i="29"/>
  <c r="K424" i="29"/>
  <c r="J424" i="29"/>
  <c r="I424" i="29"/>
  <c r="H424" i="29"/>
  <c r="E424" i="29"/>
  <c r="G423" i="29"/>
  <c r="N423" i="29" s="1"/>
  <c r="G422" i="29"/>
  <c r="F422" i="29"/>
  <c r="F419" i="29" s="1"/>
  <c r="G421" i="29"/>
  <c r="N421" i="29" s="1"/>
  <c r="G420" i="29"/>
  <c r="N420" i="29" s="1"/>
  <c r="M419" i="29"/>
  <c r="L419" i="29"/>
  <c r="K419" i="29"/>
  <c r="J419" i="29"/>
  <c r="I419" i="29"/>
  <c r="I418" i="29" s="1"/>
  <c r="H419" i="29"/>
  <c r="E419" i="29"/>
  <c r="D419" i="29"/>
  <c r="G416" i="29"/>
  <c r="N416" i="29" s="1"/>
  <c r="M415" i="29"/>
  <c r="L415" i="29"/>
  <c r="K415" i="29"/>
  <c r="J415" i="29"/>
  <c r="I415" i="29"/>
  <c r="H415" i="29"/>
  <c r="F415" i="29"/>
  <c r="E415" i="29"/>
  <c r="D415" i="29"/>
  <c r="N414" i="29"/>
  <c r="N413" i="29"/>
  <c r="N412" i="29"/>
  <c r="N411" i="29"/>
  <c r="N410" i="29"/>
  <c r="G410" i="29"/>
  <c r="M409" i="29"/>
  <c r="L409" i="29"/>
  <c r="K409" i="29"/>
  <c r="J409" i="29"/>
  <c r="I409" i="29"/>
  <c r="H409" i="29"/>
  <c r="F409" i="29"/>
  <c r="E409" i="29"/>
  <c r="D409" i="29"/>
  <c r="G408" i="29"/>
  <c r="N408" i="29" s="1"/>
  <c r="G407" i="29"/>
  <c r="N407" i="29" s="1"/>
  <c r="M406" i="29"/>
  <c r="L406" i="29"/>
  <c r="K406" i="29"/>
  <c r="J406" i="29"/>
  <c r="I406" i="29"/>
  <c r="H406" i="29"/>
  <c r="F406" i="29"/>
  <c r="E406" i="29"/>
  <c r="D406" i="29"/>
  <c r="G405" i="29"/>
  <c r="F405" i="29"/>
  <c r="E404" i="29"/>
  <c r="M404" i="29"/>
  <c r="L404" i="29"/>
  <c r="K404" i="29"/>
  <c r="J404" i="29"/>
  <c r="I404" i="29"/>
  <c r="H404" i="29"/>
  <c r="D404" i="29"/>
  <c r="G403" i="29"/>
  <c r="N403" i="29" s="1"/>
  <c r="F403" i="29"/>
  <c r="G402" i="29"/>
  <c r="F402" i="29"/>
  <c r="G401" i="29"/>
  <c r="F401" i="29"/>
  <c r="M400" i="29"/>
  <c r="L400" i="29"/>
  <c r="K400" i="29"/>
  <c r="J400" i="29"/>
  <c r="I400" i="29"/>
  <c r="H400" i="29"/>
  <c r="E400" i="29"/>
  <c r="D400" i="29"/>
  <c r="G399" i="29"/>
  <c r="F399" i="29"/>
  <c r="F397" i="29" s="1"/>
  <c r="G398" i="29"/>
  <c r="N398" i="29" s="1"/>
  <c r="M397" i="29"/>
  <c r="L397" i="29"/>
  <c r="K397" i="29"/>
  <c r="J397" i="29"/>
  <c r="I397" i="29"/>
  <c r="H397" i="29"/>
  <c r="H396" i="29" s="1"/>
  <c r="E397" i="29"/>
  <c r="D397" i="29"/>
  <c r="G395" i="29"/>
  <c r="N395" i="29" s="1"/>
  <c r="G394" i="29"/>
  <c r="N394" i="29" s="1"/>
  <c r="G393" i="29"/>
  <c r="N393" i="29" s="1"/>
  <c r="G392" i="29"/>
  <c r="N392" i="29" s="1"/>
  <c r="G391" i="29"/>
  <c r="N391" i="29" s="1"/>
  <c r="G390" i="29"/>
  <c r="N390" i="29" s="1"/>
  <c r="G389" i="29"/>
  <c r="N389" i="29" s="1"/>
  <c r="G388" i="29"/>
  <c r="N388" i="29" s="1"/>
  <c r="G387" i="29"/>
  <c r="N387" i="29" s="1"/>
  <c r="N386" i="29"/>
  <c r="N385" i="29"/>
  <c r="N384" i="29"/>
  <c r="N383" i="29"/>
  <c r="M382" i="29"/>
  <c r="L382" i="29"/>
  <c r="K382" i="29"/>
  <c r="J382" i="29"/>
  <c r="I382" i="29"/>
  <c r="H382" i="29"/>
  <c r="F382" i="29"/>
  <c r="E382" i="29"/>
  <c r="D382" i="29"/>
  <c r="G381" i="29"/>
  <c r="N381" i="29" s="1"/>
  <c r="G380" i="29"/>
  <c r="N380" i="29" s="1"/>
  <c r="G379" i="29"/>
  <c r="N379" i="29" s="1"/>
  <c r="M378" i="29"/>
  <c r="M377" i="29" s="1"/>
  <c r="L378" i="29"/>
  <c r="K378" i="29"/>
  <c r="J378" i="29"/>
  <c r="I378" i="29"/>
  <c r="H378" i="29"/>
  <c r="F378" i="29"/>
  <c r="F377" i="29" s="1"/>
  <c r="E378" i="29"/>
  <c r="E377" i="29" s="1"/>
  <c r="D378" i="29"/>
  <c r="K377" i="29"/>
  <c r="G376" i="29"/>
  <c r="N376" i="29" s="1"/>
  <c r="G375" i="29"/>
  <c r="F375" i="29"/>
  <c r="F374" i="29" s="1"/>
  <c r="M374" i="29"/>
  <c r="L374" i="29"/>
  <c r="K374" i="29"/>
  <c r="J374" i="29"/>
  <c r="I374" i="29"/>
  <c r="H374" i="29"/>
  <c r="E374" i="29"/>
  <c r="D374" i="29"/>
  <c r="G373" i="29"/>
  <c r="N373" i="29" s="1"/>
  <c r="G372" i="29"/>
  <c r="N372" i="29" s="1"/>
  <c r="M371" i="29"/>
  <c r="L371" i="29"/>
  <c r="K371" i="29"/>
  <c r="J371" i="29"/>
  <c r="I371" i="29"/>
  <c r="H371" i="29"/>
  <c r="F371" i="29"/>
  <c r="E371" i="29"/>
  <c r="D371" i="29"/>
  <c r="G370" i="29"/>
  <c r="N370" i="29" s="1"/>
  <c r="G369" i="29"/>
  <c r="N369" i="29" s="1"/>
  <c r="M368" i="29"/>
  <c r="L368" i="29"/>
  <c r="K368" i="29"/>
  <c r="J368" i="29"/>
  <c r="G368" i="29" s="1"/>
  <c r="N368" i="29" s="1"/>
  <c r="I368" i="29"/>
  <c r="H368" i="29"/>
  <c r="F368" i="29"/>
  <c r="E368" i="29"/>
  <c r="D368" i="29"/>
  <c r="G367" i="29"/>
  <c r="N367" i="29" s="1"/>
  <c r="G366" i="29"/>
  <c r="N366" i="29" s="1"/>
  <c r="M365" i="29"/>
  <c r="L365" i="29"/>
  <c r="L357" i="29" s="1"/>
  <c r="K365" i="29"/>
  <c r="J365" i="29"/>
  <c r="I365" i="29"/>
  <c r="H365" i="29"/>
  <c r="F365" i="29"/>
  <c r="E365" i="29"/>
  <c r="D365" i="29"/>
  <c r="G364" i="29"/>
  <c r="N364" i="29" s="1"/>
  <c r="G363" i="29"/>
  <c r="N363" i="29" s="1"/>
  <c r="M362" i="29"/>
  <c r="L362" i="29"/>
  <c r="K362" i="29"/>
  <c r="J362" i="29"/>
  <c r="I362" i="29"/>
  <c r="H362" i="29"/>
  <c r="F362" i="29"/>
  <c r="E362" i="29"/>
  <c r="D362" i="29"/>
  <c r="N361" i="29"/>
  <c r="N360" i="29"/>
  <c r="N359" i="29"/>
  <c r="N358" i="29"/>
  <c r="G356" i="29"/>
  <c r="N356" i="29" s="1"/>
  <c r="G355" i="29"/>
  <c r="N355" i="29" s="1"/>
  <c r="M354" i="29"/>
  <c r="L354" i="29"/>
  <c r="K354" i="29"/>
  <c r="J354" i="29"/>
  <c r="I354" i="29"/>
  <c r="H354" i="29"/>
  <c r="F354" i="29"/>
  <c r="E354" i="29"/>
  <c r="D354" i="29"/>
  <c r="G353" i="29"/>
  <c r="N353" i="29" s="1"/>
  <c r="G352" i="29"/>
  <c r="N352" i="29" s="1"/>
  <c r="M351" i="29"/>
  <c r="L351" i="29"/>
  <c r="K351" i="29"/>
  <c r="J351" i="29"/>
  <c r="I351" i="29"/>
  <c r="H351" i="29"/>
  <c r="F351" i="29"/>
  <c r="E351" i="29"/>
  <c r="D351" i="29"/>
  <c r="G350" i="29"/>
  <c r="N350" i="29" s="1"/>
  <c r="G349" i="29"/>
  <c r="N349" i="29" s="1"/>
  <c r="M348" i="29"/>
  <c r="L348" i="29"/>
  <c r="K348" i="29"/>
  <c r="J348" i="29"/>
  <c r="I348" i="29"/>
  <c r="H348" i="29"/>
  <c r="F348" i="29"/>
  <c r="E348" i="29"/>
  <c r="D348" i="29"/>
  <c r="G347" i="29"/>
  <c r="N347" i="29" s="1"/>
  <c r="G346" i="29"/>
  <c r="N346" i="29" s="1"/>
  <c r="M345" i="29"/>
  <c r="L345" i="29"/>
  <c r="L344" i="29" s="1"/>
  <c r="K345" i="29"/>
  <c r="J345" i="29"/>
  <c r="I345" i="29"/>
  <c r="H345" i="29"/>
  <c r="F345" i="29"/>
  <c r="E345" i="29"/>
  <c r="D345" i="29"/>
  <c r="D344" i="29" s="1"/>
  <c r="K344" i="29"/>
  <c r="G343" i="29"/>
  <c r="N343" i="29" s="1"/>
  <c r="G342" i="29"/>
  <c r="N342" i="29" s="1"/>
  <c r="N341" i="29"/>
  <c r="G341" i="29"/>
  <c r="M340" i="29"/>
  <c r="L340" i="29"/>
  <c r="K340" i="29"/>
  <c r="J340" i="29"/>
  <c r="I340" i="29"/>
  <c r="H340" i="29"/>
  <c r="F340" i="29"/>
  <c r="E340" i="29"/>
  <c r="D340" i="29"/>
  <c r="G339" i="29"/>
  <c r="N339" i="29" s="1"/>
  <c r="M338" i="29"/>
  <c r="L338" i="29"/>
  <c r="K338" i="29"/>
  <c r="J338" i="29"/>
  <c r="I338" i="29"/>
  <c r="G338" i="29" s="1"/>
  <c r="H338" i="29"/>
  <c r="F338" i="29"/>
  <c r="E338" i="29"/>
  <c r="D338" i="29"/>
  <c r="G337" i="29"/>
  <c r="N337" i="29" s="1"/>
  <c r="G336" i="29"/>
  <c r="N336" i="29" s="1"/>
  <c r="N335" i="29"/>
  <c r="N334" i="29"/>
  <c r="N333" i="29"/>
  <c r="N332" i="29"/>
  <c r="G331" i="29"/>
  <c r="N331" i="29" s="1"/>
  <c r="G330" i="29"/>
  <c r="N330" i="29" s="1"/>
  <c r="G329" i="29"/>
  <c r="N329" i="29" s="1"/>
  <c r="N328" i="29"/>
  <c r="G328" i="29"/>
  <c r="M327" i="29"/>
  <c r="L327" i="29"/>
  <c r="K327" i="29"/>
  <c r="J327" i="29"/>
  <c r="I327" i="29"/>
  <c r="H327" i="29"/>
  <c r="F327" i="29"/>
  <c r="E327" i="29"/>
  <c r="D327" i="29"/>
  <c r="G326" i="29"/>
  <c r="N326" i="29" s="1"/>
  <c r="G325" i="29"/>
  <c r="N325" i="29" s="1"/>
  <c r="G324" i="29"/>
  <c r="N324" i="29" s="1"/>
  <c r="G323" i="29"/>
  <c r="N323" i="29" s="1"/>
  <c r="G322" i="29"/>
  <c r="F322" i="29"/>
  <c r="F317" i="29" s="1"/>
  <c r="G321" i="29"/>
  <c r="N321" i="29" s="1"/>
  <c r="G320" i="29"/>
  <c r="N320" i="29" s="1"/>
  <c r="G319" i="29"/>
  <c r="N319" i="29" s="1"/>
  <c r="G318" i="29"/>
  <c r="N318" i="29" s="1"/>
  <c r="M317" i="29"/>
  <c r="M316" i="29" s="1"/>
  <c r="L317" i="29"/>
  <c r="K317" i="29"/>
  <c r="J317" i="29"/>
  <c r="I317" i="29"/>
  <c r="H317" i="29"/>
  <c r="E317" i="29"/>
  <c r="D317" i="29"/>
  <c r="D316" i="29" s="1"/>
  <c r="G315" i="29"/>
  <c r="N315" i="29" s="1"/>
  <c r="M314" i="29"/>
  <c r="L314" i="29"/>
  <c r="K314" i="29"/>
  <c r="J314" i="29"/>
  <c r="I314" i="29"/>
  <c r="H314" i="29"/>
  <c r="F314" i="29"/>
  <c r="E314" i="29"/>
  <c r="G313" i="29"/>
  <c r="N313" i="29" s="1"/>
  <c r="N312" i="29"/>
  <c r="G312" i="29"/>
  <c r="G311" i="29"/>
  <c r="N311" i="29" s="1"/>
  <c r="M310" i="29"/>
  <c r="L310" i="29"/>
  <c r="K310" i="29"/>
  <c r="J310" i="29"/>
  <c r="I310" i="29"/>
  <c r="H310" i="29"/>
  <c r="F310" i="29"/>
  <c r="E310" i="29"/>
  <c r="G309" i="29"/>
  <c r="N309" i="29" s="1"/>
  <c r="M308" i="29"/>
  <c r="L308" i="29"/>
  <c r="K308" i="29"/>
  <c r="J308" i="29"/>
  <c r="I308" i="29"/>
  <c r="H308" i="29"/>
  <c r="F308" i="29"/>
  <c r="E308" i="29"/>
  <c r="G307" i="29"/>
  <c r="N307" i="29" s="1"/>
  <c r="M306" i="29"/>
  <c r="L306" i="29"/>
  <c r="K306" i="29"/>
  <c r="J306" i="29"/>
  <c r="I306" i="29"/>
  <c r="H306" i="29"/>
  <c r="F306" i="29"/>
  <c r="E306" i="29"/>
  <c r="N305" i="29"/>
  <c r="N304" i="29"/>
  <c r="N303" i="29"/>
  <c r="N302" i="29"/>
  <c r="G301" i="29"/>
  <c r="N301" i="29" s="1"/>
  <c r="N300" i="29"/>
  <c r="G300" i="29"/>
  <c r="G299" i="29"/>
  <c r="N299" i="29" s="1"/>
  <c r="M298" i="29"/>
  <c r="L298" i="29"/>
  <c r="K298" i="29"/>
  <c r="K297" i="29" s="1"/>
  <c r="J298" i="29"/>
  <c r="I298" i="29"/>
  <c r="H298" i="29"/>
  <c r="F298" i="29"/>
  <c r="E298" i="29"/>
  <c r="G296" i="29"/>
  <c r="N296" i="29" s="1"/>
  <c r="F296" i="29"/>
  <c r="G295" i="29"/>
  <c r="G294" i="29"/>
  <c r="E287" i="29"/>
  <c r="F294" i="29"/>
  <c r="G293" i="29"/>
  <c r="F293" i="29"/>
  <c r="G292" i="29"/>
  <c r="F292" i="29"/>
  <c r="G291" i="29"/>
  <c r="F291" i="29"/>
  <c r="G290" i="29"/>
  <c r="F290" i="29"/>
  <c r="G289" i="29"/>
  <c r="F289" i="29"/>
  <c r="G288" i="29"/>
  <c r="F288" i="29"/>
  <c r="M287" i="29"/>
  <c r="L287" i="29"/>
  <c r="K287" i="29"/>
  <c r="J287" i="29"/>
  <c r="I287" i="29"/>
  <c r="H287" i="29"/>
  <c r="G286" i="29"/>
  <c r="F286" i="29"/>
  <c r="G285" i="29"/>
  <c r="F285" i="29"/>
  <c r="M284" i="29"/>
  <c r="L284" i="29"/>
  <c r="K284" i="29"/>
  <c r="J284" i="29"/>
  <c r="I284" i="29"/>
  <c r="H284" i="29"/>
  <c r="E284" i="29"/>
  <c r="G283" i="29"/>
  <c r="F283" i="29"/>
  <c r="G282" i="29"/>
  <c r="G281" i="29"/>
  <c r="N281" i="29" s="1"/>
  <c r="G280" i="29"/>
  <c r="G279" i="29"/>
  <c r="G278" i="29"/>
  <c r="N278" i="29" s="1"/>
  <c r="G277" i="29"/>
  <c r="N277" i="29" s="1"/>
  <c r="M276" i="29"/>
  <c r="L276" i="29"/>
  <c r="K276" i="29"/>
  <c r="J276" i="29"/>
  <c r="I276" i="29"/>
  <c r="H276" i="29"/>
  <c r="E276" i="29"/>
  <c r="D276" i="29"/>
  <c r="G275" i="29"/>
  <c r="F275" i="29"/>
  <c r="F274" i="29"/>
  <c r="N274" i="29" s="1"/>
  <c r="F273" i="29"/>
  <c r="N273" i="29" s="1"/>
  <c r="F272" i="29"/>
  <c r="N272" i="29" s="1"/>
  <c r="F271" i="29"/>
  <c r="N271" i="29" s="1"/>
  <c r="G270" i="29"/>
  <c r="F270" i="29"/>
  <c r="G269" i="29"/>
  <c r="F269" i="29"/>
  <c r="G268" i="29"/>
  <c r="F268" i="29"/>
  <c r="G267" i="29"/>
  <c r="F267" i="29"/>
  <c r="G266" i="29"/>
  <c r="F266" i="29"/>
  <c r="G265" i="29"/>
  <c r="F265" i="29"/>
  <c r="G264" i="29"/>
  <c r="N264" i="29" s="1"/>
  <c r="M263" i="29"/>
  <c r="L263" i="29"/>
  <c r="K263" i="29"/>
  <c r="J263" i="29"/>
  <c r="I263" i="29"/>
  <c r="H263" i="29"/>
  <c r="E263" i="29"/>
  <c r="D263" i="29"/>
  <c r="G262" i="29"/>
  <c r="N262" i="29" s="1"/>
  <c r="N261" i="29"/>
  <c r="G261" i="29"/>
  <c r="G260" i="29"/>
  <c r="N260" i="29" s="1"/>
  <c r="G259" i="29"/>
  <c r="N259" i="29" s="1"/>
  <c r="G258" i="29"/>
  <c r="F258" i="29"/>
  <c r="F257" i="29" s="1"/>
  <c r="M257" i="29"/>
  <c r="L257" i="29"/>
  <c r="K257" i="29"/>
  <c r="J257" i="29"/>
  <c r="I257" i="29"/>
  <c r="H257" i="29"/>
  <c r="E257" i="29"/>
  <c r="D257" i="29"/>
  <c r="G256" i="29"/>
  <c r="F256" i="29"/>
  <c r="G255" i="29"/>
  <c r="F255" i="29"/>
  <c r="G254" i="29"/>
  <c r="F254" i="29"/>
  <c r="G253" i="29"/>
  <c r="F253" i="29"/>
  <c r="G252" i="29"/>
  <c r="F252" i="29"/>
  <c r="G251" i="29"/>
  <c r="E249" i="29"/>
  <c r="G250" i="29"/>
  <c r="F250" i="29"/>
  <c r="M249" i="29"/>
  <c r="L249" i="29"/>
  <c r="L248" i="29" s="1"/>
  <c r="K249" i="29"/>
  <c r="J249" i="29"/>
  <c r="I249" i="29"/>
  <c r="H249" i="29"/>
  <c r="D249" i="29"/>
  <c r="N247" i="29"/>
  <c r="G247" i="29"/>
  <c r="M246" i="29"/>
  <c r="L246" i="29"/>
  <c r="K246" i="29"/>
  <c r="J246" i="29"/>
  <c r="I246" i="29"/>
  <c r="H246" i="29"/>
  <c r="F246" i="29"/>
  <c r="E246" i="29"/>
  <c r="G245" i="29"/>
  <c r="N245" i="29" s="1"/>
  <c r="M244" i="29"/>
  <c r="L244" i="29"/>
  <c r="K244" i="29"/>
  <c r="J244" i="29"/>
  <c r="I244" i="29"/>
  <c r="H244" i="29"/>
  <c r="F244" i="29"/>
  <c r="E244" i="29"/>
  <c r="G243" i="29"/>
  <c r="F243" i="29"/>
  <c r="F242" i="29" s="1"/>
  <c r="M242" i="29"/>
  <c r="L242" i="29"/>
  <c r="K242" i="29"/>
  <c r="J242" i="29"/>
  <c r="I242" i="29"/>
  <c r="H242" i="29"/>
  <c r="E242" i="29"/>
  <c r="D242" i="29"/>
  <c r="G241" i="29"/>
  <c r="F241" i="29"/>
  <c r="M240" i="29"/>
  <c r="L240" i="29"/>
  <c r="K240" i="29"/>
  <c r="J240" i="29"/>
  <c r="I240" i="29"/>
  <c r="H240" i="29"/>
  <c r="E240" i="29"/>
  <c r="D240" i="29"/>
  <c r="G239" i="29"/>
  <c r="F239" i="29"/>
  <c r="F238" i="29"/>
  <c r="N238" i="29" s="1"/>
  <c r="F237" i="29"/>
  <c r="N237" i="29" s="1"/>
  <c r="F236" i="29"/>
  <c r="N236" i="29" s="1"/>
  <c r="F235" i="29"/>
  <c r="N235" i="29" s="1"/>
  <c r="G234" i="29"/>
  <c r="F234" i="29"/>
  <c r="G233" i="29"/>
  <c r="N233" i="29" s="1"/>
  <c r="N232" i="29"/>
  <c r="G232" i="29"/>
  <c r="M231" i="29"/>
  <c r="L231" i="29"/>
  <c r="K231" i="29"/>
  <c r="J231" i="29"/>
  <c r="I231" i="29"/>
  <c r="H231" i="29"/>
  <c r="E231" i="29"/>
  <c r="D231" i="29"/>
  <c r="G230" i="29"/>
  <c r="F230" i="29"/>
  <c r="M229" i="29"/>
  <c r="L229" i="29"/>
  <c r="K229" i="29"/>
  <c r="J229" i="29"/>
  <c r="I229" i="29"/>
  <c r="H229" i="29"/>
  <c r="E229" i="29"/>
  <c r="F229" i="29" s="1"/>
  <c r="G228" i="29"/>
  <c r="F228" i="29"/>
  <c r="G227" i="29"/>
  <c r="G226" i="29"/>
  <c r="M225" i="29"/>
  <c r="L225" i="29"/>
  <c r="K225" i="29"/>
  <c r="J225" i="29"/>
  <c r="I225" i="29"/>
  <c r="H225" i="29"/>
  <c r="E225" i="29"/>
  <c r="G224" i="29"/>
  <c r="M223" i="29"/>
  <c r="L223" i="29"/>
  <c r="K223" i="29"/>
  <c r="J223" i="29"/>
  <c r="I223" i="29"/>
  <c r="I222" i="29" s="1"/>
  <c r="H223" i="29"/>
  <c r="E223" i="29"/>
  <c r="G210" i="29"/>
  <c r="N210" i="29" s="1"/>
  <c r="G209" i="29"/>
  <c r="N209" i="29" s="1"/>
  <c r="G208" i="29"/>
  <c r="N208" i="29" s="1"/>
  <c r="N207" i="29"/>
  <c r="N206" i="29"/>
  <c r="N205" i="29"/>
  <c r="N204" i="29"/>
  <c r="G203" i="29"/>
  <c r="N203" i="29" s="1"/>
  <c r="G202" i="29"/>
  <c r="N202" i="29" s="1"/>
  <c r="G201" i="29"/>
  <c r="N201" i="29" s="1"/>
  <c r="G200" i="29"/>
  <c r="N200" i="29" s="1"/>
  <c r="G199" i="29"/>
  <c r="N199" i="29" s="1"/>
  <c r="M198" i="29"/>
  <c r="L198" i="29"/>
  <c r="K198" i="29"/>
  <c r="J198" i="29"/>
  <c r="I198" i="29"/>
  <c r="H198" i="29"/>
  <c r="H187" i="29" s="1"/>
  <c r="F198" i="29"/>
  <c r="E198" i="29"/>
  <c r="G197" i="29"/>
  <c r="N197" i="29" s="1"/>
  <c r="G196" i="29"/>
  <c r="N196" i="29" s="1"/>
  <c r="G195" i="29"/>
  <c r="N195" i="29" s="1"/>
  <c r="G194" i="29"/>
  <c r="N194" i="29" s="1"/>
  <c r="G193" i="29"/>
  <c r="N193" i="29" s="1"/>
  <c r="G192" i="29"/>
  <c r="N192" i="29" s="1"/>
  <c r="G191" i="29"/>
  <c r="N191" i="29" s="1"/>
  <c r="G190" i="29"/>
  <c r="N190" i="29" s="1"/>
  <c r="G189" i="29"/>
  <c r="N189" i="29" s="1"/>
  <c r="M188" i="29"/>
  <c r="M187" i="29" s="1"/>
  <c r="L188" i="29"/>
  <c r="L187" i="29" s="1"/>
  <c r="K188" i="29"/>
  <c r="J188" i="29"/>
  <c r="I188" i="29"/>
  <c r="H188" i="29"/>
  <c r="F188" i="29"/>
  <c r="E188" i="29"/>
  <c r="G186" i="29"/>
  <c r="N186" i="29" s="1"/>
  <c r="N185" i="29"/>
  <c r="N184" i="29"/>
  <c r="N183" i="29"/>
  <c r="N182" i="29"/>
  <c r="G181" i="29"/>
  <c r="N181" i="29" s="1"/>
  <c r="G180" i="29"/>
  <c r="N180" i="29" s="1"/>
  <c r="N179" i="29"/>
  <c r="G179" i="29"/>
  <c r="G178" i="29"/>
  <c r="N178" i="29" s="1"/>
  <c r="N177" i="29"/>
  <c r="G177" i="29"/>
  <c r="G176" i="29"/>
  <c r="N176" i="29" s="1"/>
  <c r="M175" i="29"/>
  <c r="M164" i="29" s="1"/>
  <c r="L175" i="29"/>
  <c r="K175" i="29"/>
  <c r="J175" i="29"/>
  <c r="I175" i="29"/>
  <c r="H175" i="29"/>
  <c r="G175" i="29" s="1"/>
  <c r="N175" i="29" s="1"/>
  <c r="F175" i="29"/>
  <c r="E175" i="29"/>
  <c r="G174" i="29"/>
  <c r="N174" i="29" s="1"/>
  <c r="N173" i="29"/>
  <c r="G173" i="29"/>
  <c r="G172" i="29"/>
  <c r="N172" i="29" s="1"/>
  <c r="N171" i="29"/>
  <c r="G171" i="29"/>
  <c r="G170" i="29"/>
  <c r="N170" i="29" s="1"/>
  <c r="G169" i="29"/>
  <c r="N169" i="29" s="1"/>
  <c r="G168" i="29"/>
  <c r="N168" i="29" s="1"/>
  <c r="G167" i="29"/>
  <c r="N167" i="29" s="1"/>
  <c r="G166" i="29"/>
  <c r="N166" i="29" s="1"/>
  <c r="M165" i="29"/>
  <c r="L165" i="29"/>
  <c r="K165" i="29"/>
  <c r="J165" i="29"/>
  <c r="I165" i="29"/>
  <c r="I164" i="29" s="1"/>
  <c r="H165" i="29"/>
  <c r="F165" i="29"/>
  <c r="E165" i="29"/>
  <c r="E164" i="29" s="1"/>
  <c r="F164" i="29"/>
  <c r="G162" i="29"/>
  <c r="N162" i="29" s="1"/>
  <c r="M161" i="29"/>
  <c r="L161" i="29"/>
  <c r="K161" i="29"/>
  <c r="J161" i="29"/>
  <c r="I161" i="29"/>
  <c r="H161" i="29"/>
  <c r="F161" i="29"/>
  <c r="F152" i="29" s="1"/>
  <c r="E161" i="29"/>
  <c r="G160" i="29"/>
  <c r="N160" i="29" s="1"/>
  <c r="N159" i="29"/>
  <c r="N158" i="29"/>
  <c r="N157" i="29"/>
  <c r="N156" i="29"/>
  <c r="M155" i="29"/>
  <c r="L155" i="29"/>
  <c r="K155" i="29"/>
  <c r="J155" i="29"/>
  <c r="I155" i="29"/>
  <c r="H155" i="29"/>
  <c r="F155" i="29"/>
  <c r="E155" i="29"/>
  <c r="E152" i="29" s="1"/>
  <c r="G154" i="29"/>
  <c r="N154" i="29" s="1"/>
  <c r="M153" i="29"/>
  <c r="L153" i="29"/>
  <c r="K153" i="29"/>
  <c r="J153" i="29"/>
  <c r="I153" i="29"/>
  <c r="I152" i="29" s="1"/>
  <c r="H153" i="29"/>
  <c r="F153" i="29"/>
  <c r="E153" i="29"/>
  <c r="G151" i="29"/>
  <c r="N151" i="29" s="1"/>
  <c r="M150" i="29"/>
  <c r="M149" i="29" s="1"/>
  <c r="L150" i="29"/>
  <c r="K150" i="29"/>
  <c r="K149" i="29" s="1"/>
  <c r="J150" i="29"/>
  <c r="J149" i="29" s="1"/>
  <c r="I150" i="29"/>
  <c r="H150" i="29"/>
  <c r="H149" i="29" s="1"/>
  <c r="F150" i="29"/>
  <c r="F149" i="29" s="1"/>
  <c r="E150" i="29"/>
  <c r="E149" i="29" s="1"/>
  <c r="L149" i="29"/>
  <c r="G148" i="29"/>
  <c r="N148" i="29" s="1"/>
  <c r="M147" i="29"/>
  <c r="L147" i="29"/>
  <c r="K147" i="29"/>
  <c r="J147" i="29"/>
  <c r="I147" i="29"/>
  <c r="G147" i="29" s="1"/>
  <c r="N147" i="29" s="1"/>
  <c r="H147" i="29"/>
  <c r="F147" i="29"/>
  <c r="E147" i="29"/>
  <c r="G146" i="29"/>
  <c r="N146" i="29" s="1"/>
  <c r="M145" i="29"/>
  <c r="L145" i="29"/>
  <c r="K145" i="29"/>
  <c r="J145" i="29"/>
  <c r="I145" i="29"/>
  <c r="G145" i="29" s="1"/>
  <c r="N145" i="29" s="1"/>
  <c r="H145" i="29"/>
  <c r="F145" i="29"/>
  <c r="E145" i="29"/>
  <c r="G144" i="29"/>
  <c r="N144" i="29" s="1"/>
  <c r="M143" i="29"/>
  <c r="M142" i="29" s="1"/>
  <c r="L143" i="29"/>
  <c r="K143" i="29"/>
  <c r="J143" i="29"/>
  <c r="J142" i="29" s="1"/>
  <c r="I143" i="29"/>
  <c r="H143" i="29"/>
  <c r="F143" i="29"/>
  <c r="F142" i="29" s="1"/>
  <c r="E143" i="29"/>
  <c r="G141" i="29"/>
  <c r="N141" i="29" s="1"/>
  <c r="M140" i="29"/>
  <c r="L140" i="29"/>
  <c r="K140" i="29"/>
  <c r="J140" i="29"/>
  <c r="I140" i="29"/>
  <c r="H140" i="29"/>
  <c r="F140" i="29"/>
  <c r="E140" i="29"/>
  <c r="G139" i="29"/>
  <c r="F139" i="29"/>
  <c r="F138" i="29" s="1"/>
  <c r="M138" i="29"/>
  <c r="L138" i="29"/>
  <c r="K138" i="29"/>
  <c r="J138" i="29"/>
  <c r="I138" i="29"/>
  <c r="H138" i="29"/>
  <c r="E138" i="29"/>
  <c r="D138" i="29"/>
  <c r="G137" i="29"/>
  <c r="N137" i="29" s="1"/>
  <c r="M136" i="29"/>
  <c r="L136" i="29"/>
  <c r="K136" i="29"/>
  <c r="J136" i="29"/>
  <c r="I136" i="29"/>
  <c r="H136" i="29"/>
  <c r="F136" i="29"/>
  <c r="E136" i="29"/>
  <c r="D136" i="29"/>
  <c r="G133" i="29"/>
  <c r="F133" i="29"/>
  <c r="F128" i="29" s="1"/>
  <c r="F127" i="29" s="1"/>
  <c r="N132" i="29"/>
  <c r="N131" i="29"/>
  <c r="N130" i="29"/>
  <c r="D130" i="29"/>
  <c r="D129" i="29" s="1"/>
  <c r="N129" i="29"/>
  <c r="M128" i="29"/>
  <c r="L128" i="29"/>
  <c r="K128" i="29"/>
  <c r="K127" i="29" s="1"/>
  <c r="J128" i="29"/>
  <c r="J127" i="29" s="1"/>
  <c r="I128" i="29"/>
  <c r="I127" i="29" s="1"/>
  <c r="H128" i="29"/>
  <c r="H127" i="29" s="1"/>
  <c r="E128" i="29"/>
  <c r="E127" i="29" s="1"/>
  <c r="D128" i="29"/>
  <c r="D127" i="29" s="1"/>
  <c r="M127" i="29"/>
  <c r="L127" i="29"/>
  <c r="G126" i="29"/>
  <c r="N126" i="29" s="1"/>
  <c r="D126" i="29"/>
  <c r="G125" i="29"/>
  <c r="M124" i="29"/>
  <c r="L124" i="29"/>
  <c r="L123" i="29" s="1"/>
  <c r="K124" i="29"/>
  <c r="K123" i="29" s="1"/>
  <c r="J124" i="29"/>
  <c r="J123" i="29" s="1"/>
  <c r="I124" i="29"/>
  <c r="H124" i="29"/>
  <c r="E124" i="29"/>
  <c r="E123" i="29" s="1"/>
  <c r="M123" i="29"/>
  <c r="I123" i="29"/>
  <c r="H123" i="29"/>
  <c r="G122" i="29"/>
  <c r="N122" i="29" s="1"/>
  <c r="M121" i="29"/>
  <c r="L121" i="29"/>
  <c r="K121" i="29"/>
  <c r="J121" i="29"/>
  <c r="I121" i="29"/>
  <c r="H121" i="29"/>
  <c r="F121" i="29"/>
  <c r="E121" i="29"/>
  <c r="G120" i="29"/>
  <c r="N120" i="29" s="1"/>
  <c r="M119" i="29"/>
  <c r="M118" i="29" s="1"/>
  <c r="L119" i="29"/>
  <c r="K119" i="29"/>
  <c r="K118" i="29" s="1"/>
  <c r="J119" i="29"/>
  <c r="I119" i="29"/>
  <c r="I118" i="29" s="1"/>
  <c r="H119" i="29"/>
  <c r="F119" i="29"/>
  <c r="E119" i="29"/>
  <c r="E118" i="29"/>
  <c r="N117" i="29"/>
  <c r="G117" i="29"/>
  <c r="M116" i="29"/>
  <c r="L116" i="29"/>
  <c r="K116" i="29"/>
  <c r="J116" i="29"/>
  <c r="I116" i="29"/>
  <c r="H116" i="29"/>
  <c r="F116" i="29"/>
  <c r="E116" i="29"/>
  <c r="G115" i="29"/>
  <c r="N115" i="29" s="1"/>
  <c r="G114" i="29"/>
  <c r="F114" i="29"/>
  <c r="F113" i="29" s="1"/>
  <c r="M113" i="29"/>
  <c r="L113" i="29"/>
  <c r="K113" i="29"/>
  <c r="J113" i="29"/>
  <c r="I113" i="29"/>
  <c r="H113" i="29"/>
  <c r="E113" i="29"/>
  <c r="D113" i="29"/>
  <c r="G112" i="29"/>
  <c r="F112" i="29"/>
  <c r="G111" i="29"/>
  <c r="F111" i="29"/>
  <c r="G110" i="29"/>
  <c r="F110" i="29"/>
  <c r="G109" i="29"/>
  <c r="F109" i="29"/>
  <c r="N108" i="29"/>
  <c r="G108" i="29"/>
  <c r="F108" i="29"/>
  <c r="G107" i="29"/>
  <c r="N107" i="29" s="1"/>
  <c r="F107" i="29"/>
  <c r="F106" i="29"/>
  <c r="N106" i="29" s="1"/>
  <c r="F105" i="29"/>
  <c r="N105" i="29" s="1"/>
  <c r="F104" i="29"/>
  <c r="N104" i="29" s="1"/>
  <c r="F103" i="29"/>
  <c r="N103" i="29" s="1"/>
  <c r="M102" i="29"/>
  <c r="L102" i="29"/>
  <c r="K102" i="29"/>
  <c r="J102" i="29"/>
  <c r="I102" i="29"/>
  <c r="H102" i="29"/>
  <c r="E102" i="29"/>
  <c r="F102" i="29" s="1"/>
  <c r="G101" i="29"/>
  <c r="F101" i="29"/>
  <c r="G100" i="29"/>
  <c r="F100" i="29"/>
  <c r="G99" i="29"/>
  <c r="F99" i="29"/>
  <c r="G98" i="29"/>
  <c r="F98" i="29"/>
  <c r="M97" i="29"/>
  <c r="L97" i="29"/>
  <c r="K97" i="29"/>
  <c r="J97" i="29"/>
  <c r="I97" i="29"/>
  <c r="H97" i="29"/>
  <c r="E97" i="29"/>
  <c r="D97" i="29"/>
  <c r="G96" i="29"/>
  <c r="N96" i="29" s="1"/>
  <c r="G95" i="29"/>
  <c r="N95" i="29" s="1"/>
  <c r="F94" i="29"/>
  <c r="N94" i="29" s="1"/>
  <c r="G93" i="29"/>
  <c r="N93" i="29" s="1"/>
  <c r="N92" i="29"/>
  <c r="G92" i="29"/>
  <c r="G91" i="29"/>
  <c r="N91" i="29" s="1"/>
  <c r="M90" i="29"/>
  <c r="L90" i="29"/>
  <c r="K90" i="29"/>
  <c r="J90" i="29"/>
  <c r="I90" i="29"/>
  <c r="I89" i="29" s="1"/>
  <c r="H90" i="29"/>
  <c r="E90" i="29"/>
  <c r="D90" i="29"/>
  <c r="G88" i="29"/>
  <c r="N88" i="29" s="1"/>
  <c r="G87" i="29"/>
  <c r="N87" i="29" s="1"/>
  <c r="M86" i="29"/>
  <c r="L86" i="29"/>
  <c r="K86" i="29"/>
  <c r="J86" i="29"/>
  <c r="I86" i="29"/>
  <c r="H86" i="29"/>
  <c r="F86" i="29"/>
  <c r="E86" i="29"/>
  <c r="D86" i="29"/>
  <c r="N85" i="29"/>
  <c r="G85" i="29"/>
  <c r="G84" i="29"/>
  <c r="N84" i="29" s="1"/>
  <c r="N83" i="29"/>
  <c r="G83" i="29"/>
  <c r="G82" i="29"/>
  <c r="N82" i="29" s="1"/>
  <c r="M81" i="29"/>
  <c r="L81" i="29"/>
  <c r="K81" i="29"/>
  <c r="J81" i="29"/>
  <c r="I81" i="29"/>
  <c r="H81" i="29"/>
  <c r="F81" i="29"/>
  <c r="E81" i="29"/>
  <c r="D81" i="29"/>
  <c r="N80" i="29"/>
  <c r="G80" i="29"/>
  <c r="G79" i="29"/>
  <c r="N79" i="29" s="1"/>
  <c r="M78" i="29"/>
  <c r="M77" i="29" s="1"/>
  <c r="L78" i="29"/>
  <c r="K78" i="29"/>
  <c r="J78" i="29"/>
  <c r="I78" i="29"/>
  <c r="H78" i="29"/>
  <c r="F78" i="29"/>
  <c r="E78" i="29"/>
  <c r="D78" i="29"/>
  <c r="E77" i="29"/>
  <c r="N76" i="29"/>
  <c r="N75" i="29"/>
  <c r="N74" i="29"/>
  <c r="N73" i="29"/>
  <c r="G72" i="29"/>
  <c r="N72" i="29" s="1"/>
  <c r="G71" i="29"/>
  <c r="N71" i="29" s="1"/>
  <c r="G70" i="29"/>
  <c r="N70" i="29" s="1"/>
  <c r="M69" i="29"/>
  <c r="L69" i="29"/>
  <c r="L63" i="29" s="1"/>
  <c r="K69" i="29"/>
  <c r="J69" i="29"/>
  <c r="I69" i="29"/>
  <c r="H69" i="29"/>
  <c r="F69" i="29"/>
  <c r="E69" i="29"/>
  <c r="D69" i="29"/>
  <c r="G68" i="29"/>
  <c r="N68" i="29" s="1"/>
  <c r="N67" i="29"/>
  <c r="G67" i="29"/>
  <c r="G66" i="29"/>
  <c r="N66" i="29" s="1"/>
  <c r="G65" i="29"/>
  <c r="N65" i="29" s="1"/>
  <c r="M64" i="29"/>
  <c r="L64" i="29"/>
  <c r="K64" i="29"/>
  <c r="K63" i="29" s="1"/>
  <c r="J64" i="29"/>
  <c r="J63" i="29" s="1"/>
  <c r="I64" i="29"/>
  <c r="H64" i="29"/>
  <c r="H63" i="29" s="1"/>
  <c r="F64" i="29"/>
  <c r="E64" i="29"/>
  <c r="D64" i="29"/>
  <c r="D63" i="29" s="1"/>
  <c r="N62" i="29"/>
  <c r="G62" i="29"/>
  <c r="G61" i="29"/>
  <c r="N61" i="29" s="1"/>
  <c r="G60" i="29"/>
  <c r="N60" i="29" s="1"/>
  <c r="G59" i="29"/>
  <c r="N59" i="29" s="1"/>
  <c r="G58" i="29"/>
  <c r="N58" i="29" s="1"/>
  <c r="G57" i="29"/>
  <c r="N57" i="29" s="1"/>
  <c r="M56" i="29"/>
  <c r="L56" i="29"/>
  <c r="K56" i="29"/>
  <c r="J56" i="29"/>
  <c r="I56" i="29"/>
  <c r="H56" i="29"/>
  <c r="F56" i="29"/>
  <c r="E56" i="29"/>
  <c r="D56" i="29"/>
  <c r="G55" i="29"/>
  <c r="N55" i="29" s="1"/>
  <c r="G54" i="29"/>
  <c r="N54" i="29" s="1"/>
  <c r="N53" i="29"/>
  <c r="G53" i="29"/>
  <c r="G52" i="29"/>
  <c r="N52" i="29" s="1"/>
  <c r="G51" i="29"/>
  <c r="N51" i="29" s="1"/>
  <c r="G50" i="29"/>
  <c r="N50" i="29" s="1"/>
  <c r="N49" i="29"/>
  <c r="N48" i="29"/>
  <c r="N47" i="29"/>
  <c r="N46" i="29"/>
  <c r="M45" i="29"/>
  <c r="L45" i="29"/>
  <c r="K45" i="29"/>
  <c r="J45" i="29"/>
  <c r="I45" i="29"/>
  <c r="H45" i="29"/>
  <c r="F45" i="29"/>
  <c r="E45" i="29"/>
  <c r="D45" i="29"/>
  <c r="G44" i="29"/>
  <c r="N44" i="29" s="1"/>
  <c r="G43" i="29"/>
  <c r="N43" i="29" s="1"/>
  <c r="M42" i="29"/>
  <c r="L42" i="29"/>
  <c r="K42" i="29"/>
  <c r="J42" i="29"/>
  <c r="I42" i="29"/>
  <c r="H42" i="29"/>
  <c r="F42" i="29"/>
  <c r="E42" i="29"/>
  <c r="D42" i="29"/>
  <c r="G41" i="29"/>
  <c r="N41" i="29" s="1"/>
  <c r="G40" i="29"/>
  <c r="N40" i="29" s="1"/>
  <c r="G39" i="29"/>
  <c r="N39" i="29" s="1"/>
  <c r="G38" i="29"/>
  <c r="N38" i="29" s="1"/>
  <c r="G37" i="29"/>
  <c r="N37" i="29" s="1"/>
  <c r="G36" i="29"/>
  <c r="N36" i="29" s="1"/>
  <c r="M35" i="29"/>
  <c r="L35" i="29"/>
  <c r="K35" i="29"/>
  <c r="J35" i="29"/>
  <c r="I35" i="29"/>
  <c r="H35" i="29"/>
  <c r="F35" i="29"/>
  <c r="E35" i="29"/>
  <c r="D35" i="29"/>
  <c r="G34" i="29"/>
  <c r="N34" i="29" s="1"/>
  <c r="G33" i="29"/>
  <c r="N33" i="29" s="1"/>
  <c r="G32" i="29"/>
  <c r="N32" i="29" s="1"/>
  <c r="G31" i="29"/>
  <c r="N31" i="29" s="1"/>
  <c r="G30" i="29"/>
  <c r="N30" i="29" s="1"/>
  <c r="M29" i="29"/>
  <c r="L29" i="29"/>
  <c r="K29" i="29"/>
  <c r="J29" i="29"/>
  <c r="I29" i="29"/>
  <c r="H29" i="29"/>
  <c r="F29" i="29"/>
  <c r="E29" i="29"/>
  <c r="D29" i="29"/>
  <c r="G28" i="29"/>
  <c r="N28" i="29" s="1"/>
  <c r="G27" i="29"/>
  <c r="N27" i="29" s="1"/>
  <c r="G26" i="29"/>
  <c r="N26" i="29" s="1"/>
  <c r="G25" i="29"/>
  <c r="N25" i="29" s="1"/>
  <c r="G24" i="29"/>
  <c r="N24" i="29" s="1"/>
  <c r="G23" i="29"/>
  <c r="N23" i="29" s="1"/>
  <c r="M22" i="29"/>
  <c r="L22" i="29"/>
  <c r="K22" i="29"/>
  <c r="J22" i="29"/>
  <c r="I22" i="29"/>
  <c r="H22" i="29"/>
  <c r="F22" i="29"/>
  <c r="E22" i="29"/>
  <c r="D22" i="29"/>
  <c r="G21" i="29"/>
  <c r="N21" i="29" s="1"/>
  <c r="M20" i="29"/>
  <c r="L20" i="29"/>
  <c r="K20" i="29"/>
  <c r="J20" i="29"/>
  <c r="I20" i="29"/>
  <c r="H20" i="29"/>
  <c r="F20" i="29"/>
  <c r="E20" i="29"/>
  <c r="D20" i="29"/>
  <c r="G19" i="29"/>
  <c r="N19" i="29" s="1"/>
  <c r="G18" i="29"/>
  <c r="N18" i="29" s="1"/>
  <c r="N17" i="29"/>
  <c r="N16" i="29"/>
  <c r="N15" i="29"/>
  <c r="N14" i="29"/>
  <c r="G13" i="29"/>
  <c r="N13" i="29" s="1"/>
  <c r="M12" i="29"/>
  <c r="L12" i="29"/>
  <c r="K12" i="29"/>
  <c r="K11" i="29" s="1"/>
  <c r="J12" i="29"/>
  <c r="I12" i="29"/>
  <c r="H12" i="29"/>
  <c r="F12" i="29"/>
  <c r="E12" i="29"/>
  <c r="D12" i="29"/>
  <c r="P265" i="28"/>
  <c r="P262" i="28" s="1"/>
  <c r="P444" i="28"/>
  <c r="F444" i="28" s="1"/>
  <c r="P302" i="28"/>
  <c r="P300" i="28" s="1"/>
  <c r="P293" i="28" s="1"/>
  <c r="P286" i="28" s="1"/>
  <c r="M265" i="28"/>
  <c r="M281" i="28"/>
  <c r="F281" i="28" s="1"/>
  <c r="M251" i="28"/>
  <c r="M248" i="28" s="1"/>
  <c r="M313" i="28"/>
  <c r="G540" i="28"/>
  <c r="Q539" i="28"/>
  <c r="O539" i="28"/>
  <c r="N539" i="28"/>
  <c r="L539" i="28"/>
  <c r="J539" i="28"/>
  <c r="I539" i="28"/>
  <c r="E539" i="28"/>
  <c r="G538" i="28"/>
  <c r="G537" i="28"/>
  <c r="G536" i="28"/>
  <c r="G535" i="28"/>
  <c r="G534" i="28"/>
  <c r="G533" i="28"/>
  <c r="G532" i="28"/>
  <c r="G531" i="28"/>
  <c r="Q530" i="28"/>
  <c r="O530" i="28"/>
  <c r="N530" i="28"/>
  <c r="L530" i="28"/>
  <c r="J530" i="28"/>
  <c r="I530" i="28"/>
  <c r="E530" i="28"/>
  <c r="G529" i="28"/>
  <c r="G528" i="28"/>
  <c r="G527" i="28"/>
  <c r="G526" i="28"/>
  <c r="G525" i="28"/>
  <c r="G524" i="28"/>
  <c r="G523" i="28"/>
  <c r="G522" i="28"/>
  <c r="G517" i="28"/>
  <c r="Q516" i="28"/>
  <c r="O516" i="28"/>
  <c r="N516" i="28"/>
  <c r="L516" i="28"/>
  <c r="J516" i="28"/>
  <c r="I516" i="28"/>
  <c r="E516" i="28"/>
  <c r="I515" i="28"/>
  <c r="G514" i="28"/>
  <c r="Q513" i="28"/>
  <c r="O513" i="28"/>
  <c r="N513" i="28"/>
  <c r="L513" i="28"/>
  <c r="J513" i="28"/>
  <c r="I513" i="28"/>
  <c r="E513" i="28"/>
  <c r="G512" i="28"/>
  <c r="Q511" i="28"/>
  <c r="O511" i="28"/>
  <c r="N511" i="28"/>
  <c r="L511" i="28"/>
  <c r="J511" i="28"/>
  <c r="I511" i="28"/>
  <c r="E511" i="28"/>
  <c r="G510" i="28"/>
  <c r="Q509" i="28"/>
  <c r="O509" i="28"/>
  <c r="N509" i="28"/>
  <c r="L509" i="28"/>
  <c r="J509" i="28"/>
  <c r="I509" i="28"/>
  <c r="E509" i="28"/>
  <c r="G508" i="28"/>
  <c r="G507" i="28"/>
  <c r="G506" i="28"/>
  <c r="G505" i="28"/>
  <c r="G504" i="28"/>
  <c r="G503" i="28"/>
  <c r="G502" i="28"/>
  <c r="Q501" i="28"/>
  <c r="O501" i="28"/>
  <c r="N501" i="28"/>
  <c r="L501" i="28"/>
  <c r="J501" i="28"/>
  <c r="I501" i="28"/>
  <c r="E501" i="28"/>
  <c r="G500" i="28"/>
  <c r="G499" i="28"/>
  <c r="G498" i="28"/>
  <c r="G497" i="28"/>
  <c r="G496" i="28"/>
  <c r="G495" i="28"/>
  <c r="G490" i="28"/>
  <c r="G489" i="28"/>
  <c r="G488" i="28"/>
  <c r="Q487" i="28"/>
  <c r="O487" i="28"/>
  <c r="N487" i="28"/>
  <c r="L487" i="28"/>
  <c r="J487" i="28"/>
  <c r="I487" i="28"/>
  <c r="E487" i="28"/>
  <c r="G484" i="28"/>
  <c r="Q483" i="28"/>
  <c r="Q482" i="28" s="1"/>
  <c r="O483" i="28"/>
  <c r="O482" i="28" s="1"/>
  <c r="N483" i="28"/>
  <c r="N482" i="28" s="1"/>
  <c r="L483" i="28"/>
  <c r="J483" i="28"/>
  <c r="G483" i="28" s="1"/>
  <c r="I483" i="28"/>
  <c r="E483" i="28"/>
  <c r="E482" i="28" s="1"/>
  <c r="L482" i="28"/>
  <c r="I482" i="28"/>
  <c r="G481" i="28"/>
  <c r="G480" i="28"/>
  <c r="Q479" i="28"/>
  <c r="O479" i="28"/>
  <c r="N479" i="28"/>
  <c r="L479" i="28"/>
  <c r="J479" i="28"/>
  <c r="I479" i="28"/>
  <c r="E479" i="28"/>
  <c r="G478" i="28"/>
  <c r="Q477" i="28"/>
  <c r="O477" i="28"/>
  <c r="N477" i="28"/>
  <c r="L477" i="28"/>
  <c r="J477" i="28"/>
  <c r="I477" i="28"/>
  <c r="E477" i="28"/>
  <c r="G476" i="28"/>
  <c r="Q475" i="28"/>
  <c r="O475" i="28"/>
  <c r="N475" i="28"/>
  <c r="L475" i="28"/>
  <c r="J475" i="28"/>
  <c r="I475" i="28"/>
  <c r="E475" i="28"/>
  <c r="L474" i="28"/>
  <c r="G473" i="28"/>
  <c r="Q472" i="28"/>
  <c r="Q471" i="28" s="1"/>
  <c r="O472" i="28"/>
  <c r="O471" i="28" s="1"/>
  <c r="N472" i="28"/>
  <c r="L472" i="28"/>
  <c r="L471" i="28" s="1"/>
  <c r="J472" i="28"/>
  <c r="I472" i="28"/>
  <c r="E472" i="28"/>
  <c r="E471" i="28" s="1"/>
  <c r="N471" i="28"/>
  <c r="J471" i="28"/>
  <c r="G470" i="28"/>
  <c r="Q469" i="28"/>
  <c r="O469" i="28"/>
  <c r="N469" i="28"/>
  <c r="L469" i="28"/>
  <c r="J469" i="28"/>
  <c r="I469" i="28"/>
  <c r="E469" i="28"/>
  <c r="G468" i="28"/>
  <c r="G467" i="28"/>
  <c r="G462" i="28"/>
  <c r="Q461" i="28"/>
  <c r="O461" i="28"/>
  <c r="N461" i="28"/>
  <c r="L461" i="28"/>
  <c r="J461" i="28"/>
  <c r="I461" i="28"/>
  <c r="E461" i="28"/>
  <c r="E458" i="28" s="1"/>
  <c r="G460" i="28"/>
  <c r="Q459" i="28"/>
  <c r="O459" i="28"/>
  <c r="N459" i="28"/>
  <c r="L459" i="28"/>
  <c r="J459" i="28"/>
  <c r="I459" i="28"/>
  <c r="I458" i="28" s="1"/>
  <c r="E459" i="28"/>
  <c r="Q458" i="28"/>
  <c r="G457" i="28"/>
  <c r="F457" i="28"/>
  <c r="Q456" i="28"/>
  <c r="P456" i="28"/>
  <c r="O456" i="28"/>
  <c r="N456" i="28"/>
  <c r="M456" i="28"/>
  <c r="L456" i="28"/>
  <c r="K456" i="28"/>
  <c r="J456" i="28"/>
  <c r="I456" i="28"/>
  <c r="H456" i="28"/>
  <c r="G456" i="28"/>
  <c r="F456" i="28"/>
  <c r="E456" i="28"/>
  <c r="G455" i="28"/>
  <c r="Q454" i="28"/>
  <c r="O454" i="28"/>
  <c r="N454" i="28"/>
  <c r="L454" i="28"/>
  <c r="J454" i="28"/>
  <c r="I454" i="28"/>
  <c r="E454" i="28"/>
  <c r="G453" i="28"/>
  <c r="Q452" i="28"/>
  <c r="O452" i="28"/>
  <c r="N452" i="28"/>
  <c r="L452" i="28"/>
  <c r="J452" i="28"/>
  <c r="I452" i="28"/>
  <c r="E452" i="28"/>
  <c r="G451" i="28"/>
  <c r="G450" i="28"/>
  <c r="G449" i="28"/>
  <c r="G448" i="28"/>
  <c r="G447" i="28"/>
  <c r="F447" i="28"/>
  <c r="G446" i="28"/>
  <c r="G445" i="28"/>
  <c r="T444" i="28"/>
  <c r="F443" i="28"/>
  <c r="G442" i="28"/>
  <c r="Q441" i="28"/>
  <c r="O441" i="28"/>
  <c r="N441" i="28"/>
  <c r="M441" i="28"/>
  <c r="L441" i="28"/>
  <c r="K441" i="28"/>
  <c r="J441" i="28"/>
  <c r="I441" i="28"/>
  <c r="H441" i="28"/>
  <c r="E441" i="28"/>
  <c r="G440" i="28"/>
  <c r="G439" i="28"/>
  <c r="F439" i="28"/>
  <c r="F436" i="28" s="1"/>
  <c r="G438" i="28"/>
  <c r="G437" i="28"/>
  <c r="Q436" i="28"/>
  <c r="Q435" i="28" s="1"/>
  <c r="P436" i="28"/>
  <c r="O436" i="28"/>
  <c r="N436" i="28"/>
  <c r="M436" i="28"/>
  <c r="M435" i="28" s="1"/>
  <c r="M434" i="28" s="1"/>
  <c r="L436" i="28"/>
  <c r="K436" i="28"/>
  <c r="J436" i="28"/>
  <c r="I436" i="28"/>
  <c r="H436" i="28"/>
  <c r="E436" i="28"/>
  <c r="E435" i="28" s="1"/>
  <c r="G433" i="28"/>
  <c r="Q432" i="28"/>
  <c r="O432" i="28"/>
  <c r="N432" i="28"/>
  <c r="L432" i="28"/>
  <c r="J432" i="28"/>
  <c r="I432" i="28"/>
  <c r="E432" i="28"/>
  <c r="G427" i="28"/>
  <c r="Q426" i="28"/>
  <c r="O426" i="28"/>
  <c r="N426" i="28"/>
  <c r="L426" i="28"/>
  <c r="J426" i="28"/>
  <c r="I426" i="28"/>
  <c r="E426" i="28"/>
  <c r="G425" i="28"/>
  <c r="G424" i="28"/>
  <c r="Q423" i="28"/>
  <c r="O423" i="28"/>
  <c r="N423" i="28"/>
  <c r="L423" i="28"/>
  <c r="J423" i="28"/>
  <c r="I423" i="28"/>
  <c r="E423" i="28"/>
  <c r="G422" i="28"/>
  <c r="F422" i="28"/>
  <c r="Q421" i="28"/>
  <c r="P421" i="28"/>
  <c r="O421" i="28"/>
  <c r="N421" i="28"/>
  <c r="M421" i="28"/>
  <c r="L421" i="28"/>
  <c r="K421" i="28"/>
  <c r="J421" i="28"/>
  <c r="I421" i="28"/>
  <c r="H421" i="28"/>
  <c r="G421" i="28"/>
  <c r="F421" i="28"/>
  <c r="E421" i="28"/>
  <c r="G420" i="28"/>
  <c r="F420" i="28"/>
  <c r="G419" i="28"/>
  <c r="F419" i="28"/>
  <c r="G418" i="28"/>
  <c r="F418" i="28"/>
  <c r="Q417" i="28"/>
  <c r="P417" i="28"/>
  <c r="O417" i="28"/>
  <c r="N417" i="28"/>
  <c r="M417" i="28"/>
  <c r="L417" i="28"/>
  <c r="K417" i="28"/>
  <c r="J417" i="28"/>
  <c r="I417" i="28"/>
  <c r="H417" i="28"/>
  <c r="E417" i="28"/>
  <c r="G416" i="28"/>
  <c r="F416" i="28"/>
  <c r="G415" i="28"/>
  <c r="Q414" i="28"/>
  <c r="P414" i="28"/>
  <c r="O414" i="28"/>
  <c r="N414" i="28"/>
  <c r="M414" i="28"/>
  <c r="L414" i="28"/>
  <c r="K414" i="28"/>
  <c r="J414" i="28"/>
  <c r="I414" i="28"/>
  <c r="H414" i="28"/>
  <c r="F414" i="28"/>
  <c r="E414" i="28"/>
  <c r="E413" i="28" s="1"/>
  <c r="G412" i="28"/>
  <c r="G411" i="28"/>
  <c r="G410" i="28"/>
  <c r="G409" i="28"/>
  <c r="G408" i="28"/>
  <c r="G407" i="28"/>
  <c r="G406" i="28"/>
  <c r="G405" i="28"/>
  <c r="G404" i="28"/>
  <c r="Q399" i="28"/>
  <c r="O399" i="28"/>
  <c r="N399" i="28"/>
  <c r="L399" i="28"/>
  <c r="J399" i="28"/>
  <c r="I399" i="28"/>
  <c r="E399" i="28"/>
  <c r="G398" i="28"/>
  <c r="G397" i="28"/>
  <c r="G396" i="28"/>
  <c r="Q395" i="28"/>
  <c r="Q394" i="28" s="1"/>
  <c r="O395" i="28"/>
  <c r="N395" i="28"/>
  <c r="L395" i="28"/>
  <c r="J395" i="28"/>
  <c r="I395" i="28"/>
  <c r="E395" i="28"/>
  <c r="E394" i="28" s="1"/>
  <c r="G393" i="28"/>
  <c r="G392" i="28"/>
  <c r="F392" i="28"/>
  <c r="F391" i="28" s="1"/>
  <c r="F374" i="28" s="1"/>
  <c r="Q391" i="28"/>
  <c r="P391" i="28"/>
  <c r="P374" i="28" s="1"/>
  <c r="O391" i="28"/>
  <c r="N391" i="28"/>
  <c r="M391" i="28"/>
  <c r="M374" i="28" s="1"/>
  <c r="L391" i="28"/>
  <c r="K391" i="28"/>
  <c r="K374" i="28" s="1"/>
  <c r="J391" i="28"/>
  <c r="I391" i="28"/>
  <c r="H391" i="28"/>
  <c r="H374" i="28" s="1"/>
  <c r="E391" i="28"/>
  <c r="G390" i="28"/>
  <c r="G389" i="28"/>
  <c r="Q388" i="28"/>
  <c r="O388" i="28"/>
  <c r="N388" i="28"/>
  <c r="L388" i="28"/>
  <c r="J388" i="28"/>
  <c r="I388" i="28"/>
  <c r="E388" i="28"/>
  <c r="G387" i="28"/>
  <c r="G386" i="28"/>
  <c r="Q385" i="28"/>
  <c r="O385" i="28"/>
  <c r="N385" i="28"/>
  <c r="L385" i="28"/>
  <c r="J385" i="28"/>
  <c r="I385" i="28"/>
  <c r="E385" i="28"/>
  <c r="G384" i="28"/>
  <c r="G383" i="28"/>
  <c r="Q382" i="28"/>
  <c r="O382" i="28"/>
  <c r="N382" i="28"/>
  <c r="L382" i="28"/>
  <c r="J382" i="28"/>
  <c r="I382" i="28"/>
  <c r="E382" i="28"/>
  <c r="G381" i="28"/>
  <c r="G380" i="28"/>
  <c r="Q379" i="28"/>
  <c r="O379" i="28"/>
  <c r="N379" i="28"/>
  <c r="L379" i="28"/>
  <c r="J379" i="28"/>
  <c r="I379" i="28"/>
  <c r="E379" i="28"/>
  <c r="G373" i="28"/>
  <c r="G372" i="28"/>
  <c r="Q371" i="28"/>
  <c r="O371" i="28"/>
  <c r="N371" i="28"/>
  <c r="L371" i="28"/>
  <c r="J371" i="28"/>
  <c r="I371" i="28"/>
  <c r="E371" i="28"/>
  <c r="G370" i="28"/>
  <c r="G369" i="28"/>
  <c r="Q368" i="28"/>
  <c r="O368" i="28"/>
  <c r="N368" i="28"/>
  <c r="L368" i="28"/>
  <c r="J368" i="28"/>
  <c r="I368" i="28"/>
  <c r="E368" i="28"/>
  <c r="G367" i="28"/>
  <c r="G366" i="28"/>
  <c r="Q365" i="28"/>
  <c r="O365" i="28"/>
  <c r="N365" i="28"/>
  <c r="N361" i="28" s="1"/>
  <c r="L365" i="28"/>
  <c r="J365" i="28"/>
  <c r="I365" i="28"/>
  <c r="E365" i="28"/>
  <c r="G364" i="28"/>
  <c r="G363" i="28"/>
  <c r="Q362" i="28"/>
  <c r="O362" i="28"/>
  <c r="O361" i="28" s="1"/>
  <c r="N362" i="28"/>
  <c r="L362" i="28"/>
  <c r="J362" i="28"/>
  <c r="I362" i="28"/>
  <c r="G362" i="28" s="1"/>
  <c r="E362" i="28"/>
  <c r="G360" i="28"/>
  <c r="G359" i="28"/>
  <c r="G358" i="28"/>
  <c r="Q357" i="28"/>
  <c r="O357" i="28"/>
  <c r="N357" i="28"/>
  <c r="L357" i="28"/>
  <c r="J357" i="28"/>
  <c r="I357" i="28"/>
  <c r="E357" i="28"/>
  <c r="G356" i="28"/>
  <c r="Q355" i="28"/>
  <c r="O355" i="28"/>
  <c r="N355" i="28"/>
  <c r="L355" i="28"/>
  <c r="J355" i="28"/>
  <c r="I355" i="28"/>
  <c r="G355" i="28" s="1"/>
  <c r="E355" i="28"/>
  <c r="G354" i="28"/>
  <c r="G353" i="28"/>
  <c r="G348" i="28"/>
  <c r="G347" i="28"/>
  <c r="G346" i="28"/>
  <c r="G345" i="28"/>
  <c r="Q344" i="28"/>
  <c r="O344" i="28"/>
  <c r="N344" i="28"/>
  <c r="L344" i="28"/>
  <c r="J344" i="28"/>
  <c r="I344" i="28"/>
  <c r="E344" i="28"/>
  <c r="G343" i="28"/>
  <c r="G342" i="28"/>
  <c r="G341" i="28"/>
  <c r="G340" i="28"/>
  <c r="G339" i="28"/>
  <c r="F339" i="28"/>
  <c r="F334" i="28" s="1"/>
  <c r="F333" i="28" s="1"/>
  <c r="G338" i="28"/>
  <c r="G337" i="28"/>
  <c r="G336" i="28"/>
  <c r="G335" i="28"/>
  <c r="Q334" i="28"/>
  <c r="Q333" i="28" s="1"/>
  <c r="P334" i="28"/>
  <c r="O334" i="28"/>
  <c r="N334" i="28"/>
  <c r="M334" i="28"/>
  <c r="M333" i="28" s="1"/>
  <c r="L334" i="28"/>
  <c r="L333" i="28" s="1"/>
  <c r="K334" i="28"/>
  <c r="K333" i="28" s="1"/>
  <c r="J334" i="28"/>
  <c r="I334" i="28"/>
  <c r="H334" i="28"/>
  <c r="E334" i="28"/>
  <c r="P333" i="28"/>
  <c r="H333" i="28"/>
  <c r="G332" i="28"/>
  <c r="Q331" i="28"/>
  <c r="O331" i="28"/>
  <c r="N331" i="28"/>
  <c r="L331" i="28"/>
  <c r="J331" i="28"/>
  <c r="I331" i="28"/>
  <c r="E331" i="28"/>
  <c r="G330" i="28"/>
  <c r="G329" i="28"/>
  <c r="G328" i="28"/>
  <c r="Q327" i="28"/>
  <c r="O327" i="28"/>
  <c r="N327" i="28"/>
  <c r="L327" i="28"/>
  <c r="J327" i="28"/>
  <c r="I327" i="28"/>
  <c r="E327" i="28"/>
  <c r="G326" i="28"/>
  <c r="Q325" i="28"/>
  <c r="O325" i="28"/>
  <c r="N325" i="28"/>
  <c r="L325" i="28"/>
  <c r="J325" i="28"/>
  <c r="I325" i="28"/>
  <c r="E325" i="28"/>
  <c r="G324" i="28"/>
  <c r="Q323" i="28"/>
  <c r="O323" i="28"/>
  <c r="N323" i="28"/>
  <c r="L323" i="28"/>
  <c r="J323" i="28"/>
  <c r="I323" i="28"/>
  <c r="G323" i="28" s="1"/>
  <c r="E323" i="28"/>
  <c r="G318" i="28"/>
  <c r="G317" i="28"/>
  <c r="G316" i="28"/>
  <c r="Q315" i="28"/>
  <c r="O315" i="28"/>
  <c r="N315" i="28"/>
  <c r="L315" i="28"/>
  <c r="J315" i="28"/>
  <c r="I315" i="28"/>
  <c r="E315" i="28"/>
  <c r="G313" i="28"/>
  <c r="N312" i="28"/>
  <c r="M312" i="28"/>
  <c r="F312" i="28" s="1"/>
  <c r="G311" i="28"/>
  <c r="F311" i="28"/>
  <c r="F310" i="28"/>
  <c r="F309" i="28"/>
  <c r="F308" i="28"/>
  <c r="F307" i="28"/>
  <c r="M306" i="28"/>
  <c r="F306" i="28" s="1"/>
  <c r="F305" i="28"/>
  <c r="F304" i="28"/>
  <c r="M303" i="28"/>
  <c r="F302" i="28"/>
  <c r="M301" i="28"/>
  <c r="F301" i="28" s="1"/>
  <c r="O300" i="28"/>
  <c r="N300" i="28"/>
  <c r="N293" i="28" s="1"/>
  <c r="N286" i="28" s="1"/>
  <c r="F299" i="28"/>
  <c r="F298" i="28"/>
  <c r="F297" i="28"/>
  <c r="F296" i="28"/>
  <c r="M295" i="28"/>
  <c r="M294" i="28" s="1"/>
  <c r="O293" i="28"/>
  <c r="O286" i="28" s="1"/>
  <c r="G292" i="28"/>
  <c r="G291" i="28"/>
  <c r="G290" i="28"/>
  <c r="F290" i="28"/>
  <c r="G289" i="28"/>
  <c r="F289" i="28"/>
  <c r="G288" i="28"/>
  <c r="M287" i="28"/>
  <c r="F287" i="28" s="1"/>
  <c r="Q286" i="28"/>
  <c r="L286" i="28"/>
  <c r="K286" i="28"/>
  <c r="J286" i="28"/>
  <c r="I286" i="28"/>
  <c r="H286" i="28"/>
  <c r="E286" i="28"/>
  <c r="M285" i="28"/>
  <c r="F285" i="28" s="1"/>
  <c r="F283" i="28" s="1"/>
  <c r="G284" i="28"/>
  <c r="F284" i="28"/>
  <c r="Q283" i="28"/>
  <c r="P283" i="28"/>
  <c r="O283" i="28"/>
  <c r="N283" i="28"/>
  <c r="L283" i="28"/>
  <c r="K283" i="28"/>
  <c r="J283" i="28"/>
  <c r="I283" i="28"/>
  <c r="H283" i="28"/>
  <c r="E283" i="28"/>
  <c r="G282" i="28"/>
  <c r="F282" i="28"/>
  <c r="G281" i="28"/>
  <c r="G280" i="28"/>
  <c r="G279" i="28"/>
  <c r="G278" i="28"/>
  <c r="F278" i="28"/>
  <c r="G277" i="28"/>
  <c r="G276" i="28"/>
  <c r="Q275" i="28"/>
  <c r="P275" i="28"/>
  <c r="O275" i="28"/>
  <c r="N275" i="28"/>
  <c r="M275" i="28"/>
  <c r="L275" i="28"/>
  <c r="K275" i="28"/>
  <c r="J275" i="28"/>
  <c r="I275" i="28"/>
  <c r="H275" i="28"/>
  <c r="E275" i="28"/>
  <c r="F274" i="28"/>
  <c r="F269" i="28"/>
  <c r="F267" i="28"/>
  <c r="F266" i="28"/>
  <c r="M264" i="28"/>
  <c r="F264" i="28" s="1"/>
  <c r="G263" i="28"/>
  <c r="Q262" i="28"/>
  <c r="O262" i="28"/>
  <c r="N262" i="28"/>
  <c r="L262" i="28"/>
  <c r="K262" i="28"/>
  <c r="J262" i="28"/>
  <c r="I262" i="28"/>
  <c r="H262" i="28"/>
  <c r="E262" i="28"/>
  <c r="E247" i="28" s="1"/>
  <c r="G261" i="28"/>
  <c r="G260" i="28"/>
  <c r="G259" i="28"/>
  <c r="G258" i="28"/>
  <c r="G257" i="28"/>
  <c r="F257" i="28"/>
  <c r="Q256" i="28"/>
  <c r="P256" i="28"/>
  <c r="O256" i="28"/>
  <c r="N256" i="28"/>
  <c r="M256" i="28"/>
  <c r="L256" i="28"/>
  <c r="K256" i="28"/>
  <c r="J256" i="28"/>
  <c r="I256" i="28"/>
  <c r="H256" i="28"/>
  <c r="F256" i="28"/>
  <c r="E256" i="28"/>
  <c r="G255" i="28"/>
  <c r="G254" i="28"/>
  <c r="G253" i="28"/>
  <c r="F253" i="28"/>
  <c r="G252" i="28"/>
  <c r="F252" i="28"/>
  <c r="G251" i="28"/>
  <c r="G250" i="28"/>
  <c r="F250" i="28"/>
  <c r="G249" i="28"/>
  <c r="F249" i="28"/>
  <c r="Q248" i="28"/>
  <c r="P248" i="28"/>
  <c r="O248" i="28"/>
  <c r="N248" i="28"/>
  <c r="L248" i="28"/>
  <c r="K248" i="28"/>
  <c r="J248" i="28"/>
  <c r="I248" i="28"/>
  <c r="H248" i="28"/>
  <c r="E248" i="28"/>
  <c r="G246" i="28"/>
  <c r="Q245" i="28"/>
  <c r="O245" i="28"/>
  <c r="N245" i="28"/>
  <c r="L245" i="28"/>
  <c r="J245" i="28"/>
  <c r="I245" i="28"/>
  <c r="E245" i="28"/>
  <c r="G244" i="28"/>
  <c r="Q243" i="28"/>
  <c r="G243" i="28" s="1"/>
  <c r="O243" i="28"/>
  <c r="N243" i="28"/>
  <c r="L243" i="28"/>
  <c r="J243" i="28"/>
  <c r="I243" i="28"/>
  <c r="E243" i="28"/>
  <c r="G242" i="28"/>
  <c r="F242" i="28"/>
  <c r="Q241" i="28"/>
  <c r="P241" i="28"/>
  <c r="O241" i="28"/>
  <c r="N241" i="28"/>
  <c r="M241" i="28"/>
  <c r="L241" i="28"/>
  <c r="K241" i="28"/>
  <c r="J241" i="28"/>
  <c r="I241" i="28"/>
  <c r="H241" i="28"/>
  <c r="G241" i="28"/>
  <c r="F241" i="28"/>
  <c r="E241" i="28"/>
  <c r="G240" i="28"/>
  <c r="F240" i="28"/>
  <c r="Q239" i="28"/>
  <c r="P239" i="28"/>
  <c r="O239" i="28"/>
  <c r="N239" i="28"/>
  <c r="M239" i="28"/>
  <c r="L239" i="28"/>
  <c r="K239" i="28"/>
  <c r="J239" i="28"/>
  <c r="I239" i="28"/>
  <c r="H239" i="28"/>
  <c r="G239" i="28"/>
  <c r="F239" i="28"/>
  <c r="E239" i="28"/>
  <c r="G238" i="28"/>
  <c r="F238" i="28"/>
  <c r="G233" i="28"/>
  <c r="F233" i="28"/>
  <c r="G232" i="28"/>
  <c r="G231" i="28"/>
  <c r="Q230" i="28"/>
  <c r="P230" i="28"/>
  <c r="O230" i="28"/>
  <c r="N230" i="28"/>
  <c r="M230" i="28"/>
  <c r="L230" i="28"/>
  <c r="K230" i="28"/>
  <c r="J230" i="28"/>
  <c r="I230" i="28"/>
  <c r="H230" i="28"/>
  <c r="G230" i="28"/>
  <c r="E230" i="28"/>
  <c r="G229" i="28"/>
  <c r="Q228" i="28"/>
  <c r="O228" i="28"/>
  <c r="N228" i="28"/>
  <c r="L228" i="28"/>
  <c r="J228" i="28"/>
  <c r="I228" i="28"/>
  <c r="E228" i="28"/>
  <c r="G227" i="28"/>
  <c r="N226" i="28"/>
  <c r="G226" i="28"/>
  <c r="F226" i="28"/>
  <c r="E226" i="28"/>
  <c r="N225" i="28"/>
  <c r="N224" i="28" s="1"/>
  <c r="G225" i="28"/>
  <c r="G224" i="28" s="1"/>
  <c r="F225" i="28"/>
  <c r="F224" i="28" s="1"/>
  <c r="E225" i="28"/>
  <c r="E224" i="28" s="1"/>
  <c r="Q224" i="28"/>
  <c r="P224" i="28"/>
  <c r="O224" i="28"/>
  <c r="M224" i="28"/>
  <c r="L224" i="28"/>
  <c r="K224" i="28"/>
  <c r="J224" i="28"/>
  <c r="I224" i="28"/>
  <c r="H224" i="28"/>
  <c r="R223" i="28"/>
  <c r="N223" i="28"/>
  <c r="N222" i="28" s="1"/>
  <c r="F223" i="28"/>
  <c r="E223" i="28"/>
  <c r="E222" i="28" s="1"/>
  <c r="Q222" i="28"/>
  <c r="P222" i="28"/>
  <c r="O222" i="28"/>
  <c r="M222" i="28"/>
  <c r="M221" i="28" s="1"/>
  <c r="L222" i="28"/>
  <c r="K222" i="28"/>
  <c r="J222" i="28"/>
  <c r="I222" i="28"/>
  <c r="H222" i="28"/>
  <c r="F222" i="28"/>
  <c r="G209" i="28"/>
  <c r="G208" i="28"/>
  <c r="G207" i="28"/>
  <c r="G202" i="28"/>
  <c r="G201" i="28"/>
  <c r="G200" i="28"/>
  <c r="G199" i="28"/>
  <c r="G198" i="28"/>
  <c r="Q197" i="28"/>
  <c r="O197" i="28"/>
  <c r="N197" i="28"/>
  <c r="L197" i="28"/>
  <c r="J197" i="28"/>
  <c r="I197" i="28"/>
  <c r="E197" i="28"/>
  <c r="G196" i="28"/>
  <c r="G195" i="28"/>
  <c r="G194" i="28"/>
  <c r="G193" i="28"/>
  <c r="G192" i="28"/>
  <c r="G191" i="28"/>
  <c r="G190" i="28"/>
  <c r="G189" i="28"/>
  <c r="G188" i="28"/>
  <c r="Q187" i="28"/>
  <c r="O187" i="28"/>
  <c r="N187" i="28"/>
  <c r="L187" i="28"/>
  <c r="J187" i="28"/>
  <c r="J186" i="28" s="1"/>
  <c r="I187" i="28"/>
  <c r="I186" i="28" s="1"/>
  <c r="E187" i="28"/>
  <c r="E186" i="28" s="1"/>
  <c r="O186" i="28"/>
  <c r="L186" i="28"/>
  <c r="G185" i="28"/>
  <c r="G180" i="28"/>
  <c r="G179" i="28"/>
  <c r="G178" i="28"/>
  <c r="G177" i="28"/>
  <c r="G176" i="28"/>
  <c r="G175" i="28"/>
  <c r="Q174" i="28"/>
  <c r="O174" i="28"/>
  <c r="N174" i="28"/>
  <c r="L174" i="28"/>
  <c r="J174" i="28"/>
  <c r="I174" i="28"/>
  <c r="E174" i="28"/>
  <c r="E163" i="28" s="1"/>
  <c r="G173" i="28"/>
  <c r="G172" i="28"/>
  <c r="G171" i="28"/>
  <c r="G170" i="28"/>
  <c r="G169" i="28"/>
  <c r="G168" i="28"/>
  <c r="G167" i="28"/>
  <c r="G166" i="28"/>
  <c r="G165" i="28"/>
  <c r="Q164" i="28"/>
  <c r="Q163" i="28" s="1"/>
  <c r="O164" i="28"/>
  <c r="O163" i="28" s="1"/>
  <c r="O162" i="28" s="1"/>
  <c r="N164" i="28"/>
  <c r="L164" i="28"/>
  <c r="J164" i="28"/>
  <c r="I164" i="28"/>
  <c r="E164" i="28"/>
  <c r="I163" i="28"/>
  <c r="I162" i="28" s="1"/>
  <c r="G161" i="28"/>
  <c r="Q160" i="28"/>
  <c r="O160" i="28"/>
  <c r="N160" i="28"/>
  <c r="L160" i="28"/>
  <c r="J160" i="28"/>
  <c r="I160" i="28"/>
  <c r="E160" i="28"/>
  <c r="G159" i="28"/>
  <c r="Q154" i="28"/>
  <c r="O154" i="28"/>
  <c r="N154" i="28"/>
  <c r="L154" i="28"/>
  <c r="J154" i="28"/>
  <c r="I154" i="28"/>
  <c r="E154" i="28"/>
  <c r="G153" i="28"/>
  <c r="Q152" i="28"/>
  <c r="O152" i="28"/>
  <c r="N152" i="28"/>
  <c r="L152" i="28"/>
  <c r="J152" i="28"/>
  <c r="I152" i="28"/>
  <c r="G152" i="28" s="1"/>
  <c r="E152" i="28"/>
  <c r="G150" i="28"/>
  <c r="Q149" i="28"/>
  <c r="Q148" i="28" s="1"/>
  <c r="O149" i="28"/>
  <c r="O148" i="28" s="1"/>
  <c r="N149" i="28"/>
  <c r="N148" i="28" s="1"/>
  <c r="L149" i="28"/>
  <c r="J149" i="28"/>
  <c r="J148" i="28" s="1"/>
  <c r="I149" i="28"/>
  <c r="E149" i="28"/>
  <c r="E148" i="28" s="1"/>
  <c r="L148" i="28"/>
  <c r="I148" i="28"/>
  <c r="G147" i="28"/>
  <c r="Q146" i="28"/>
  <c r="O146" i="28"/>
  <c r="N146" i="28"/>
  <c r="L146" i="28"/>
  <c r="J146" i="28"/>
  <c r="I146" i="28"/>
  <c r="E146" i="28"/>
  <c r="G145" i="28"/>
  <c r="Q144" i="28"/>
  <c r="O144" i="28"/>
  <c r="N144" i="28"/>
  <c r="L144" i="28"/>
  <c r="J144" i="28"/>
  <c r="I144" i="28"/>
  <c r="E144" i="28"/>
  <c r="G143" i="28"/>
  <c r="Q142" i="28"/>
  <c r="O142" i="28"/>
  <c r="N142" i="28"/>
  <c r="L142" i="28"/>
  <c r="J142" i="28"/>
  <c r="I142" i="28"/>
  <c r="E142" i="28"/>
  <c r="O141" i="28"/>
  <c r="G140" i="28"/>
  <c r="Q139" i="28"/>
  <c r="O139" i="28"/>
  <c r="N139" i="28"/>
  <c r="L139" i="28"/>
  <c r="J139" i="28"/>
  <c r="I139" i="28"/>
  <c r="E139" i="28"/>
  <c r="G138" i="28"/>
  <c r="G137" i="28" s="1"/>
  <c r="F138" i="28"/>
  <c r="Q137" i="28"/>
  <c r="P137" i="28"/>
  <c r="P134" i="28" s="1"/>
  <c r="P133" i="28" s="1"/>
  <c r="O137" i="28"/>
  <c r="N137" i="28"/>
  <c r="M137" i="28"/>
  <c r="M134" i="28" s="1"/>
  <c r="M133" i="28" s="1"/>
  <c r="L137" i="28"/>
  <c r="K137" i="28"/>
  <c r="J137" i="28"/>
  <c r="I137" i="28"/>
  <c r="H137" i="28"/>
  <c r="E137" i="28"/>
  <c r="G136" i="28"/>
  <c r="F136" i="28"/>
  <c r="Q135" i="28"/>
  <c r="O135" i="28"/>
  <c r="N135" i="28"/>
  <c r="L135" i="28"/>
  <c r="L134" i="28" s="1"/>
  <c r="J135" i="28"/>
  <c r="J134" i="28" s="1"/>
  <c r="I135" i="28"/>
  <c r="F135" i="28"/>
  <c r="E135" i="28"/>
  <c r="H134" i="28"/>
  <c r="H133" i="28" s="1"/>
  <c r="G132" i="28"/>
  <c r="G127" i="28" s="1"/>
  <c r="G126" i="28" s="1"/>
  <c r="F132" i="28"/>
  <c r="F131" i="28"/>
  <c r="F130" i="28"/>
  <c r="F129" i="28"/>
  <c r="F128" i="28"/>
  <c r="Q127" i="28"/>
  <c r="P127" i="28"/>
  <c r="O127" i="28"/>
  <c r="N127" i="28"/>
  <c r="N126" i="28" s="1"/>
  <c r="M127" i="28"/>
  <c r="M126" i="28" s="1"/>
  <c r="L127" i="28"/>
  <c r="L126" i="28" s="1"/>
  <c r="K127" i="28"/>
  <c r="K126" i="28" s="1"/>
  <c r="J127" i="28"/>
  <c r="J126" i="28" s="1"/>
  <c r="I127" i="28"/>
  <c r="I126" i="28" s="1"/>
  <c r="H127" i="28"/>
  <c r="H126" i="28" s="1"/>
  <c r="E127" i="28"/>
  <c r="Q126" i="28"/>
  <c r="P126" i="28"/>
  <c r="O126" i="28"/>
  <c r="E126" i="28"/>
  <c r="G125" i="28"/>
  <c r="F125" i="28"/>
  <c r="G124" i="28"/>
  <c r="F124" i="28"/>
  <c r="Q123" i="28"/>
  <c r="P123" i="28"/>
  <c r="P122" i="28" s="1"/>
  <c r="O123" i="28"/>
  <c r="N123" i="28"/>
  <c r="N122" i="28" s="1"/>
  <c r="M123" i="28"/>
  <c r="M122" i="28" s="1"/>
  <c r="L123" i="28"/>
  <c r="L122" i="28" s="1"/>
  <c r="L120" i="28" s="1"/>
  <c r="K123" i="28"/>
  <c r="J123" i="28"/>
  <c r="J122" i="28" s="1"/>
  <c r="J120" i="28" s="1"/>
  <c r="I123" i="28"/>
  <c r="I122" i="28" s="1"/>
  <c r="I120" i="28" s="1"/>
  <c r="H123" i="28"/>
  <c r="E123" i="28"/>
  <c r="E122" i="28" s="1"/>
  <c r="E120" i="28" s="1"/>
  <c r="Q122" i="28"/>
  <c r="O122" i="28"/>
  <c r="K122" i="28"/>
  <c r="K120" i="28" s="1"/>
  <c r="F121" i="28"/>
  <c r="P120" i="28"/>
  <c r="G119" i="28"/>
  <c r="F119" i="28"/>
  <c r="Q118" i="28"/>
  <c r="O118" i="28"/>
  <c r="N118" i="28"/>
  <c r="L118" i="28"/>
  <c r="J118" i="28"/>
  <c r="I118" i="28"/>
  <c r="F118" i="28"/>
  <c r="E118" i="28"/>
  <c r="G117" i="28"/>
  <c r="F117" i="28"/>
  <c r="Q116" i="28"/>
  <c r="O116" i="28"/>
  <c r="N116" i="28"/>
  <c r="L116" i="28"/>
  <c r="J116" i="28"/>
  <c r="I116" i="28"/>
  <c r="I115" i="28" s="1"/>
  <c r="F116" i="28"/>
  <c r="E116" i="28"/>
  <c r="N115" i="28"/>
  <c r="F115" i="28"/>
  <c r="G114" i="28"/>
  <c r="F114" i="28"/>
  <c r="Q113" i="28"/>
  <c r="O113" i="28"/>
  <c r="N113" i="28"/>
  <c r="L113" i="28"/>
  <c r="J113" i="28"/>
  <c r="I113" i="28"/>
  <c r="F113" i="28"/>
  <c r="E113" i="28"/>
  <c r="G112" i="28"/>
  <c r="G110" i="28" s="1"/>
  <c r="F112" i="28"/>
  <c r="G111" i="28"/>
  <c r="F111" i="28"/>
  <c r="Q110" i="28"/>
  <c r="P110" i="28"/>
  <c r="O110" i="28"/>
  <c r="N110" i="28"/>
  <c r="M110" i="28"/>
  <c r="L110" i="28"/>
  <c r="K110" i="28"/>
  <c r="F110" i="28" s="1"/>
  <c r="J110" i="28"/>
  <c r="I110" i="28"/>
  <c r="H110" i="28"/>
  <c r="E110" i="28"/>
  <c r="G109" i="28"/>
  <c r="F109" i="28"/>
  <c r="G108" i="28"/>
  <c r="F108" i="28"/>
  <c r="G107" i="28"/>
  <c r="F107" i="28"/>
  <c r="G106" i="28"/>
  <c r="F106" i="28"/>
  <c r="G105" i="28"/>
  <c r="F105" i="28"/>
  <c r="G104" i="28"/>
  <c r="F104" i="28"/>
  <c r="F103" i="28"/>
  <c r="F102" i="28"/>
  <c r="F101" i="28"/>
  <c r="F100" i="28"/>
  <c r="Q99" i="28"/>
  <c r="O99" i="28"/>
  <c r="N99" i="28"/>
  <c r="L99" i="28"/>
  <c r="J99" i="28"/>
  <c r="I99" i="28"/>
  <c r="F99" i="28"/>
  <c r="E99" i="28"/>
  <c r="G98" i="28"/>
  <c r="F98" i="28"/>
  <c r="G97" i="28"/>
  <c r="F97" i="28"/>
  <c r="G96" i="28"/>
  <c r="F96" i="28"/>
  <c r="G95" i="28"/>
  <c r="F95" i="28"/>
  <c r="Q94" i="28"/>
  <c r="P94" i="28"/>
  <c r="O94" i="28"/>
  <c r="N94" i="28"/>
  <c r="M94" i="28"/>
  <c r="L94" i="28"/>
  <c r="K94" i="28"/>
  <c r="J94" i="28"/>
  <c r="I94" i="28"/>
  <c r="H94" i="28"/>
  <c r="E94" i="28"/>
  <c r="G93" i="28"/>
  <c r="F93" i="28"/>
  <c r="G92" i="28"/>
  <c r="F92" i="28"/>
  <c r="G91" i="28"/>
  <c r="F91" i="28"/>
  <c r="G90" i="28"/>
  <c r="G89" i="28"/>
  <c r="G88" i="28"/>
  <c r="Q87" i="28"/>
  <c r="P87" i="28"/>
  <c r="O87" i="28"/>
  <c r="O86" i="28" s="1"/>
  <c r="N87" i="28"/>
  <c r="M87" i="28"/>
  <c r="L87" i="28"/>
  <c r="K87" i="28"/>
  <c r="J87" i="28"/>
  <c r="I87" i="28"/>
  <c r="H87" i="28"/>
  <c r="E87" i="28"/>
  <c r="G85" i="28"/>
  <c r="G84" i="28"/>
  <c r="Q83" i="28"/>
  <c r="O83" i="28"/>
  <c r="N83" i="28"/>
  <c r="L83" i="28"/>
  <c r="J83" i="28"/>
  <c r="I83" i="28"/>
  <c r="E83" i="28"/>
  <c r="G82" i="28"/>
  <c r="G81" i="28"/>
  <c r="G80" i="28"/>
  <c r="G79" i="28"/>
  <c r="Q78" i="28"/>
  <c r="O78" i="28"/>
  <c r="N78" i="28"/>
  <c r="L78" i="28"/>
  <c r="J78" i="28"/>
  <c r="I78" i="28"/>
  <c r="E78" i="28"/>
  <c r="G77" i="28"/>
  <c r="G76" i="28"/>
  <c r="Q75" i="28"/>
  <c r="Q74" i="28" s="1"/>
  <c r="O75" i="28"/>
  <c r="N75" i="28"/>
  <c r="L75" i="28"/>
  <c r="J75" i="28"/>
  <c r="I75" i="28"/>
  <c r="E75" i="28"/>
  <c r="G69" i="28"/>
  <c r="G68" i="28"/>
  <c r="G67" i="28"/>
  <c r="Q66" i="28"/>
  <c r="O66" i="28"/>
  <c r="N66" i="28"/>
  <c r="L66" i="28"/>
  <c r="J66" i="28"/>
  <c r="I66" i="28"/>
  <c r="E66" i="28"/>
  <c r="G65" i="28"/>
  <c r="G64" i="28"/>
  <c r="G63" i="28"/>
  <c r="G62" i="28"/>
  <c r="Q61" i="28"/>
  <c r="O61" i="28"/>
  <c r="N61" i="28"/>
  <c r="N60" i="28" s="1"/>
  <c r="L61" i="28"/>
  <c r="L60" i="28" s="1"/>
  <c r="J61" i="28"/>
  <c r="I61" i="28"/>
  <c r="I60" i="28" s="1"/>
  <c r="E61" i="28"/>
  <c r="E60" i="28" s="1"/>
  <c r="Q60" i="28"/>
  <c r="O60" i="28"/>
  <c r="J60" i="28"/>
  <c r="G59" i="28"/>
  <c r="G58" i="28"/>
  <c r="G57" i="28"/>
  <c r="G56" i="28"/>
  <c r="G55" i="28"/>
  <c r="G54" i="28"/>
  <c r="Q53" i="28"/>
  <c r="O53" i="28"/>
  <c r="N53" i="28"/>
  <c r="L53" i="28"/>
  <c r="J53" i="28"/>
  <c r="I53" i="28"/>
  <c r="E53" i="28"/>
  <c r="G52" i="28"/>
  <c r="G51" i="28"/>
  <c r="G50" i="28"/>
  <c r="G49" i="28"/>
  <c r="G48" i="28"/>
  <c r="G47" i="28"/>
  <c r="Q42" i="28"/>
  <c r="O42" i="28"/>
  <c r="N42" i="28"/>
  <c r="L42" i="28"/>
  <c r="J42" i="28"/>
  <c r="I42" i="28"/>
  <c r="E42" i="28"/>
  <c r="G41" i="28"/>
  <c r="G40" i="28"/>
  <c r="Q39" i="28"/>
  <c r="O39" i="28"/>
  <c r="N39" i="28"/>
  <c r="L39" i="28"/>
  <c r="J39" i="28"/>
  <c r="I39" i="28"/>
  <c r="E39" i="28"/>
  <c r="G38" i="28"/>
  <c r="G37" i="28"/>
  <c r="G36" i="28"/>
  <c r="G35" i="28"/>
  <c r="G34" i="28"/>
  <c r="G33" i="28"/>
  <c r="Q32" i="28"/>
  <c r="O32" i="28"/>
  <c r="N32" i="28"/>
  <c r="L32" i="28"/>
  <c r="J32" i="28"/>
  <c r="I32" i="28"/>
  <c r="E32" i="28"/>
  <c r="G31" i="28"/>
  <c r="G30" i="28"/>
  <c r="G29" i="28"/>
  <c r="G28" i="28"/>
  <c r="G27" i="28"/>
  <c r="Q26" i="28"/>
  <c r="O26" i="28"/>
  <c r="N26" i="28"/>
  <c r="L26" i="28"/>
  <c r="J26" i="28"/>
  <c r="I26" i="28"/>
  <c r="E26" i="28"/>
  <c r="G25" i="28"/>
  <c r="G24" i="28"/>
  <c r="G23" i="28"/>
  <c r="G22" i="28"/>
  <c r="G21" i="28"/>
  <c r="G20" i="28"/>
  <c r="Q19" i="28"/>
  <c r="O19" i="28"/>
  <c r="N19" i="28"/>
  <c r="L19" i="28"/>
  <c r="J19" i="28"/>
  <c r="I19" i="28"/>
  <c r="E19" i="28"/>
  <c r="G18" i="28"/>
  <c r="Q17" i="28"/>
  <c r="O17" i="28"/>
  <c r="N17" i="28"/>
  <c r="L17" i="28"/>
  <c r="J17" i="28"/>
  <c r="I17" i="28"/>
  <c r="E17" i="28"/>
  <c r="G16" i="28"/>
  <c r="G15" i="28"/>
  <c r="G10" i="28"/>
  <c r="Q9" i="28"/>
  <c r="O9" i="28"/>
  <c r="N9" i="28"/>
  <c r="L9" i="28"/>
  <c r="J9" i="28"/>
  <c r="I9" i="28"/>
  <c r="E9" i="28"/>
  <c r="M312" i="27"/>
  <c r="F312" i="27" s="1"/>
  <c r="M264" i="27"/>
  <c r="F264" i="27" s="1"/>
  <c r="M287" i="27"/>
  <c r="F287" i="27" s="1"/>
  <c r="M285" i="27"/>
  <c r="F285" i="27" s="1"/>
  <c r="M313" i="27"/>
  <c r="F313" i="27" s="1"/>
  <c r="G540" i="27"/>
  <c r="Q539" i="27"/>
  <c r="O539" i="27"/>
  <c r="N539" i="27"/>
  <c r="L539" i="27"/>
  <c r="J539" i="27"/>
  <c r="I539" i="27"/>
  <c r="G539" i="27" s="1"/>
  <c r="E539" i="27"/>
  <c r="G538" i="27"/>
  <c r="G537" i="27"/>
  <c r="G536" i="27"/>
  <c r="G535" i="27"/>
  <c r="G534" i="27"/>
  <c r="G533" i="27"/>
  <c r="G532" i="27"/>
  <c r="G531" i="27"/>
  <c r="Q530" i="27"/>
  <c r="O530" i="27"/>
  <c r="N530" i="27"/>
  <c r="L530" i="27"/>
  <c r="J530" i="27"/>
  <c r="I530" i="27"/>
  <c r="E530" i="27"/>
  <c r="G529" i="27"/>
  <c r="G528" i="27"/>
  <c r="G527" i="27"/>
  <c r="G526" i="27"/>
  <c r="G525" i="27"/>
  <c r="G524" i="27"/>
  <c r="G523" i="27"/>
  <c r="G522" i="27"/>
  <c r="G517" i="27"/>
  <c r="Q516" i="27"/>
  <c r="O516" i="27"/>
  <c r="O515" i="27" s="1"/>
  <c r="N516" i="27"/>
  <c r="L516" i="27"/>
  <c r="L515" i="27" s="1"/>
  <c r="J516" i="27"/>
  <c r="I516" i="27"/>
  <c r="E516" i="27"/>
  <c r="G514" i="27"/>
  <c r="Q513" i="27"/>
  <c r="O513" i="27"/>
  <c r="N513" i="27"/>
  <c r="L513" i="27"/>
  <c r="J513" i="27"/>
  <c r="I513" i="27"/>
  <c r="E513" i="27"/>
  <c r="G512" i="27"/>
  <c r="Q511" i="27"/>
  <c r="O511" i="27"/>
  <c r="N511" i="27"/>
  <c r="L511" i="27"/>
  <c r="J511" i="27"/>
  <c r="I511" i="27"/>
  <c r="E511" i="27"/>
  <c r="G510" i="27"/>
  <c r="Q509" i="27"/>
  <c r="O509" i="27"/>
  <c r="N509" i="27"/>
  <c r="L509" i="27"/>
  <c r="J509" i="27"/>
  <c r="I509" i="27"/>
  <c r="E509" i="27"/>
  <c r="G508" i="27"/>
  <c r="G507" i="27"/>
  <c r="G506" i="27"/>
  <c r="G505" i="27"/>
  <c r="G504" i="27"/>
  <c r="G503" i="27"/>
  <c r="G502" i="27"/>
  <c r="Q501" i="27"/>
  <c r="O501" i="27"/>
  <c r="N501" i="27"/>
  <c r="L501" i="27"/>
  <c r="J501" i="27"/>
  <c r="I501" i="27"/>
  <c r="E501" i="27"/>
  <c r="G500" i="27"/>
  <c r="G499" i="27"/>
  <c r="G498" i="27"/>
  <c r="G497" i="27"/>
  <c r="G496" i="27"/>
  <c r="G495" i="27"/>
  <c r="G490" i="27"/>
  <c r="G489" i="27"/>
  <c r="G488" i="27"/>
  <c r="Q487" i="27"/>
  <c r="O487" i="27"/>
  <c r="N487" i="27"/>
  <c r="L487" i="27"/>
  <c r="J487" i="27"/>
  <c r="I487" i="27"/>
  <c r="G487" i="27" s="1"/>
  <c r="E487" i="27"/>
  <c r="G484" i="27"/>
  <c r="Q483" i="27"/>
  <c r="Q482" i="27" s="1"/>
  <c r="O483" i="27"/>
  <c r="O482" i="27" s="1"/>
  <c r="N483" i="27"/>
  <c r="N482" i="27" s="1"/>
  <c r="L483" i="27"/>
  <c r="L482" i="27" s="1"/>
  <c r="J483" i="27"/>
  <c r="J482" i="27" s="1"/>
  <c r="I483" i="27"/>
  <c r="I482" i="27" s="1"/>
  <c r="E483" i="27"/>
  <c r="E482" i="27" s="1"/>
  <c r="G481" i="27"/>
  <c r="G480" i="27"/>
  <c r="Q479" i="27"/>
  <c r="O479" i="27"/>
  <c r="N479" i="27"/>
  <c r="L479" i="27"/>
  <c r="J479" i="27"/>
  <c r="I479" i="27"/>
  <c r="E479" i="27"/>
  <c r="G478" i="27"/>
  <c r="Q477" i="27"/>
  <c r="O477" i="27"/>
  <c r="N477" i="27"/>
  <c r="L477" i="27"/>
  <c r="J477" i="27"/>
  <c r="I477" i="27"/>
  <c r="G477" i="27"/>
  <c r="E477" i="27"/>
  <c r="G476" i="27"/>
  <c r="Q475" i="27"/>
  <c r="O475" i="27"/>
  <c r="O474" i="27" s="1"/>
  <c r="N475" i="27"/>
  <c r="L475" i="27"/>
  <c r="J475" i="27"/>
  <c r="I475" i="27"/>
  <c r="E475" i="27"/>
  <c r="G473" i="27"/>
  <c r="Q472" i="27"/>
  <c r="Q471" i="27" s="1"/>
  <c r="O472" i="27"/>
  <c r="O471" i="27" s="1"/>
  <c r="N472" i="27"/>
  <c r="N471" i="27" s="1"/>
  <c r="L472" i="27"/>
  <c r="L471" i="27" s="1"/>
  <c r="J472" i="27"/>
  <c r="J471" i="27" s="1"/>
  <c r="I472" i="27"/>
  <c r="I471" i="27" s="1"/>
  <c r="E472" i="27"/>
  <c r="E471" i="27" s="1"/>
  <c r="G470" i="27"/>
  <c r="Q469" i="27"/>
  <c r="O469" i="27"/>
  <c r="N469" i="27"/>
  <c r="L469" i="27"/>
  <c r="J469" i="27"/>
  <c r="I469" i="27"/>
  <c r="E469" i="27"/>
  <c r="G468" i="27"/>
  <c r="G467" i="27"/>
  <c r="G462" i="27"/>
  <c r="Q461" i="27"/>
  <c r="O461" i="27"/>
  <c r="N461" i="27"/>
  <c r="L461" i="27"/>
  <c r="J461" i="27"/>
  <c r="I461" i="27"/>
  <c r="E461" i="27"/>
  <c r="G460" i="27"/>
  <c r="Q459" i="27"/>
  <c r="O459" i="27"/>
  <c r="O458" i="27" s="1"/>
  <c r="N459" i="27"/>
  <c r="L459" i="27"/>
  <c r="J459" i="27"/>
  <c r="I459" i="27"/>
  <c r="E459" i="27"/>
  <c r="E458" i="27" s="1"/>
  <c r="G457" i="27"/>
  <c r="G456" i="27" s="1"/>
  <c r="F457" i="27"/>
  <c r="F456" i="27" s="1"/>
  <c r="Q456" i="27"/>
  <c r="P456" i="27"/>
  <c r="O456" i="27"/>
  <c r="N456" i="27"/>
  <c r="M456" i="27"/>
  <c r="L456" i="27"/>
  <c r="K456" i="27"/>
  <c r="J456" i="27"/>
  <c r="I456" i="27"/>
  <c r="H456" i="27"/>
  <c r="E456" i="27"/>
  <c r="G455" i="27"/>
  <c r="Q454" i="27"/>
  <c r="O454" i="27"/>
  <c r="N454" i="27"/>
  <c r="L454" i="27"/>
  <c r="J454" i="27"/>
  <c r="I454" i="27"/>
  <c r="G454" i="27" s="1"/>
  <c r="E454" i="27"/>
  <c r="G453" i="27"/>
  <c r="Q452" i="27"/>
  <c r="O452" i="27"/>
  <c r="N452" i="27"/>
  <c r="L452" i="27"/>
  <c r="J452" i="27"/>
  <c r="I452" i="27"/>
  <c r="E452" i="27"/>
  <c r="G451" i="27"/>
  <c r="G450" i="27"/>
  <c r="G449" i="27"/>
  <c r="G448" i="27"/>
  <c r="G447" i="27"/>
  <c r="F447" i="27"/>
  <c r="G446" i="27"/>
  <c r="G445" i="27"/>
  <c r="T444" i="27"/>
  <c r="G444" i="27"/>
  <c r="F444" i="27"/>
  <c r="F443" i="27"/>
  <c r="G442" i="27"/>
  <c r="Q441" i="27"/>
  <c r="P441" i="27"/>
  <c r="O441" i="27"/>
  <c r="N441" i="27"/>
  <c r="M441" i="27"/>
  <c r="L441" i="27"/>
  <c r="K441" i="27"/>
  <c r="J441" i="27"/>
  <c r="I441" i="27"/>
  <c r="H441" i="27"/>
  <c r="E441" i="27"/>
  <c r="G440" i="27"/>
  <c r="G439" i="27"/>
  <c r="F439" i="27"/>
  <c r="F436" i="27" s="1"/>
  <c r="G438" i="27"/>
  <c r="G437" i="27"/>
  <c r="Q436" i="27"/>
  <c r="P436" i="27"/>
  <c r="P435" i="27" s="1"/>
  <c r="P434" i="27" s="1"/>
  <c r="O436" i="27"/>
  <c r="N436" i="27"/>
  <c r="N435" i="27" s="1"/>
  <c r="M436" i="27"/>
  <c r="L436" i="27"/>
  <c r="L435" i="27" s="1"/>
  <c r="K436" i="27"/>
  <c r="K435" i="27" s="1"/>
  <c r="K434" i="27" s="1"/>
  <c r="J436" i="27"/>
  <c r="J435" i="27" s="1"/>
  <c r="I436" i="27"/>
  <c r="H436" i="27"/>
  <c r="H435" i="27" s="1"/>
  <c r="H434" i="27" s="1"/>
  <c r="E436" i="27"/>
  <c r="E435" i="27" s="1"/>
  <c r="Q435" i="27"/>
  <c r="O435" i="27"/>
  <c r="M435" i="27"/>
  <c r="M434" i="27" s="1"/>
  <c r="I435" i="27"/>
  <c r="G433" i="27"/>
  <c r="Q432" i="27"/>
  <c r="O432" i="27"/>
  <c r="N432" i="27"/>
  <c r="L432" i="27"/>
  <c r="J432" i="27"/>
  <c r="I432" i="27"/>
  <c r="E432" i="27"/>
  <c r="G427" i="27"/>
  <c r="Q426" i="27"/>
  <c r="O426" i="27"/>
  <c r="N426" i="27"/>
  <c r="L426" i="27"/>
  <c r="J426" i="27"/>
  <c r="I426" i="27"/>
  <c r="E426" i="27"/>
  <c r="G425" i="27"/>
  <c r="G424" i="27"/>
  <c r="Q423" i="27"/>
  <c r="O423" i="27"/>
  <c r="N423" i="27"/>
  <c r="L423" i="27"/>
  <c r="J423" i="27"/>
  <c r="I423" i="27"/>
  <c r="E423" i="27"/>
  <c r="G422" i="27"/>
  <c r="G421" i="27" s="1"/>
  <c r="F422" i="27"/>
  <c r="F421" i="27" s="1"/>
  <c r="Q421" i="27"/>
  <c r="P421" i="27"/>
  <c r="O421" i="27"/>
  <c r="N421" i="27"/>
  <c r="M421" i="27"/>
  <c r="L421" i="27"/>
  <c r="K421" i="27"/>
  <c r="J421" i="27"/>
  <c r="I421" i="27"/>
  <c r="H421" i="27"/>
  <c r="E421" i="27"/>
  <c r="G420" i="27"/>
  <c r="F420" i="27"/>
  <c r="G419" i="27"/>
  <c r="F419" i="27"/>
  <c r="G418" i="27"/>
  <c r="F418" i="27"/>
  <c r="Q417" i="27"/>
  <c r="P417" i="27"/>
  <c r="O417" i="27"/>
  <c r="N417" i="27"/>
  <c r="M417" i="27"/>
  <c r="L417" i="27"/>
  <c r="K417" i="27"/>
  <c r="J417" i="27"/>
  <c r="I417" i="27"/>
  <c r="H417" i="27"/>
  <c r="E417" i="27"/>
  <c r="G416" i="27"/>
  <c r="F416" i="27"/>
  <c r="F414" i="27" s="1"/>
  <c r="G415" i="27"/>
  <c r="Q414" i="27"/>
  <c r="P414" i="27"/>
  <c r="O414" i="27"/>
  <c r="N414" i="27"/>
  <c r="M414" i="27"/>
  <c r="L414" i="27"/>
  <c r="L413" i="27" s="1"/>
  <c r="K414" i="27"/>
  <c r="J414" i="27"/>
  <c r="I414" i="27"/>
  <c r="I413" i="27" s="1"/>
  <c r="H414" i="27"/>
  <c r="E414" i="27"/>
  <c r="E413" i="27" s="1"/>
  <c r="Q413" i="27"/>
  <c r="O413" i="27"/>
  <c r="K413" i="27"/>
  <c r="G412" i="27"/>
  <c r="G411" i="27"/>
  <c r="G410" i="27"/>
  <c r="G409" i="27"/>
  <c r="G408" i="27"/>
  <c r="G407" i="27"/>
  <c r="G406" i="27"/>
  <c r="G405" i="27"/>
  <c r="G404" i="27"/>
  <c r="Q399" i="27"/>
  <c r="O399" i="27"/>
  <c r="N399" i="27"/>
  <c r="L399" i="27"/>
  <c r="J399" i="27"/>
  <c r="I399" i="27"/>
  <c r="E399" i="27"/>
  <c r="G398" i="27"/>
  <c r="G397" i="27"/>
  <c r="G396" i="27"/>
  <c r="Q395" i="27"/>
  <c r="O395" i="27"/>
  <c r="O394" i="27" s="1"/>
  <c r="N395" i="27"/>
  <c r="L395" i="27"/>
  <c r="J395" i="27"/>
  <c r="I395" i="27"/>
  <c r="E395" i="27"/>
  <c r="E394" i="27" s="1"/>
  <c r="G393" i="27"/>
  <c r="G392" i="27"/>
  <c r="G391" i="27" s="1"/>
  <c r="F392" i="27"/>
  <c r="F391" i="27" s="1"/>
  <c r="F374" i="27" s="1"/>
  <c r="Q391" i="27"/>
  <c r="P391" i="27"/>
  <c r="O391" i="27"/>
  <c r="N391" i="27"/>
  <c r="M391" i="27"/>
  <c r="M374" i="27" s="1"/>
  <c r="L391" i="27"/>
  <c r="K391" i="27"/>
  <c r="K374" i="27" s="1"/>
  <c r="J391" i="27"/>
  <c r="I391" i="27"/>
  <c r="H391" i="27"/>
  <c r="E391" i="27"/>
  <c r="G390" i="27"/>
  <c r="G389" i="27"/>
  <c r="Q388" i="27"/>
  <c r="O388" i="27"/>
  <c r="N388" i="27"/>
  <c r="L388" i="27"/>
  <c r="J388" i="27"/>
  <c r="I388" i="27"/>
  <c r="E388" i="27"/>
  <c r="G387" i="27"/>
  <c r="G386" i="27"/>
  <c r="Q385" i="27"/>
  <c r="O385" i="27"/>
  <c r="N385" i="27"/>
  <c r="L385" i="27"/>
  <c r="J385" i="27"/>
  <c r="I385" i="27"/>
  <c r="E385" i="27"/>
  <c r="G384" i="27"/>
  <c r="G383" i="27"/>
  <c r="Q382" i="27"/>
  <c r="O382" i="27"/>
  <c r="N382" i="27"/>
  <c r="L382" i="27"/>
  <c r="J382" i="27"/>
  <c r="I382" i="27"/>
  <c r="E382" i="27"/>
  <c r="G381" i="27"/>
  <c r="G380" i="27"/>
  <c r="Q379" i="27"/>
  <c r="O379" i="27"/>
  <c r="N379" i="27"/>
  <c r="N374" i="27" s="1"/>
  <c r="L379" i="27"/>
  <c r="J379" i="27"/>
  <c r="I379" i="27"/>
  <c r="E379" i="27"/>
  <c r="P374" i="27"/>
  <c r="H374" i="27"/>
  <c r="G373" i="27"/>
  <c r="G372" i="27"/>
  <c r="Q371" i="27"/>
  <c r="O371" i="27"/>
  <c r="N371" i="27"/>
  <c r="L371" i="27"/>
  <c r="J371" i="27"/>
  <c r="I371" i="27"/>
  <c r="E371" i="27"/>
  <c r="G370" i="27"/>
  <c r="G369" i="27"/>
  <c r="Q368" i="27"/>
  <c r="O368" i="27"/>
  <c r="N368" i="27"/>
  <c r="L368" i="27"/>
  <c r="J368" i="27"/>
  <c r="I368" i="27"/>
  <c r="E368" i="27"/>
  <c r="G367" i="27"/>
  <c r="G366" i="27"/>
  <c r="Q365" i="27"/>
  <c r="O365" i="27"/>
  <c r="N365" i="27"/>
  <c r="N361" i="27" s="1"/>
  <c r="L365" i="27"/>
  <c r="J365" i="27"/>
  <c r="I365" i="27"/>
  <c r="E365" i="27"/>
  <c r="G364" i="27"/>
  <c r="G363" i="27"/>
  <c r="Q362" i="27"/>
  <c r="Q361" i="27" s="1"/>
  <c r="O362" i="27"/>
  <c r="N362" i="27"/>
  <c r="L362" i="27"/>
  <c r="J362" i="27"/>
  <c r="I362" i="27"/>
  <c r="I361" i="27" s="1"/>
  <c r="E362" i="27"/>
  <c r="G360" i="27"/>
  <c r="G359" i="27"/>
  <c r="G358" i="27"/>
  <c r="Q357" i="27"/>
  <c r="O357" i="27"/>
  <c r="N357" i="27"/>
  <c r="L357" i="27"/>
  <c r="J357" i="27"/>
  <c r="I357" i="27"/>
  <c r="E357" i="27"/>
  <c r="G356" i="27"/>
  <c r="Q355" i="27"/>
  <c r="O355" i="27"/>
  <c r="N355" i="27"/>
  <c r="L355" i="27"/>
  <c r="J355" i="27"/>
  <c r="I355" i="27"/>
  <c r="E355" i="27"/>
  <c r="G354" i="27"/>
  <c r="G353" i="27"/>
  <c r="G348" i="27"/>
  <c r="G347" i="27"/>
  <c r="G346" i="27"/>
  <c r="G345" i="27"/>
  <c r="Q344" i="27"/>
  <c r="O344" i="27"/>
  <c r="N344" i="27"/>
  <c r="L344" i="27"/>
  <c r="J344" i="27"/>
  <c r="I344" i="27"/>
  <c r="E344" i="27"/>
  <c r="G343" i="27"/>
  <c r="G342" i="27"/>
  <c r="G341" i="27"/>
  <c r="G340" i="27"/>
  <c r="G339" i="27"/>
  <c r="F339" i="27"/>
  <c r="G338" i="27"/>
  <c r="G337" i="27"/>
  <c r="G336" i="27"/>
  <c r="G335" i="27"/>
  <c r="Q334" i="27"/>
  <c r="Q333" i="27" s="1"/>
  <c r="P334" i="27"/>
  <c r="O334" i="27"/>
  <c r="O333" i="27" s="1"/>
  <c r="N334" i="27"/>
  <c r="N333" i="27" s="1"/>
  <c r="M334" i="27"/>
  <c r="M333" i="27" s="1"/>
  <c r="L334" i="27"/>
  <c r="L333" i="27" s="1"/>
  <c r="K334" i="27"/>
  <c r="K333" i="27" s="1"/>
  <c r="J334" i="27"/>
  <c r="J333" i="27" s="1"/>
  <c r="I334" i="27"/>
  <c r="I333" i="27" s="1"/>
  <c r="H334" i="27"/>
  <c r="F334" i="27"/>
  <c r="F333" i="27" s="1"/>
  <c r="E334" i="27"/>
  <c r="E333" i="27" s="1"/>
  <c r="P333" i="27"/>
  <c r="H333" i="27"/>
  <c r="G332" i="27"/>
  <c r="Q331" i="27"/>
  <c r="O331" i="27"/>
  <c r="N331" i="27"/>
  <c r="L331" i="27"/>
  <c r="J331" i="27"/>
  <c r="I331" i="27"/>
  <c r="E331" i="27"/>
  <c r="G330" i="27"/>
  <c r="G329" i="27"/>
  <c r="G328" i="27"/>
  <c r="Q327" i="27"/>
  <c r="O327" i="27"/>
  <c r="N327" i="27"/>
  <c r="L327" i="27"/>
  <c r="J327" i="27"/>
  <c r="G327" i="27" s="1"/>
  <c r="I327" i="27"/>
  <c r="E327" i="27"/>
  <c r="G326" i="27"/>
  <c r="Q325" i="27"/>
  <c r="O325" i="27"/>
  <c r="N325" i="27"/>
  <c r="L325" i="27"/>
  <c r="J325" i="27"/>
  <c r="I325" i="27"/>
  <c r="G325" i="27" s="1"/>
  <c r="E325" i="27"/>
  <c r="G324" i="27"/>
  <c r="Q323" i="27"/>
  <c r="O323" i="27"/>
  <c r="N323" i="27"/>
  <c r="L323" i="27"/>
  <c r="J323" i="27"/>
  <c r="I323" i="27"/>
  <c r="E323" i="27"/>
  <c r="G318" i="27"/>
  <c r="G317" i="27"/>
  <c r="G316" i="27"/>
  <c r="Q315" i="27"/>
  <c r="O315" i="27"/>
  <c r="O314" i="27" s="1"/>
  <c r="N315" i="27"/>
  <c r="L315" i="27"/>
  <c r="L314" i="27" s="1"/>
  <c r="J315" i="27"/>
  <c r="I315" i="27"/>
  <c r="E315" i="27"/>
  <c r="E314" i="27" s="1"/>
  <c r="N312" i="27"/>
  <c r="G311" i="27"/>
  <c r="F311" i="27"/>
  <c r="F310" i="27"/>
  <c r="F309" i="27"/>
  <c r="F308" i="27"/>
  <c r="F307" i="27"/>
  <c r="M306" i="27"/>
  <c r="F306" i="27" s="1"/>
  <c r="F305" i="27"/>
  <c r="F304" i="27"/>
  <c r="F302" i="27"/>
  <c r="M301" i="27"/>
  <c r="F301" i="27" s="1"/>
  <c r="P300" i="27"/>
  <c r="O300" i="27"/>
  <c r="O293" i="27" s="1"/>
  <c r="O286" i="27" s="1"/>
  <c r="N300" i="27"/>
  <c r="M300" i="27"/>
  <c r="F300" i="27" s="1"/>
  <c r="F299" i="27"/>
  <c r="F298" i="27"/>
  <c r="F297" i="27"/>
  <c r="F296" i="27"/>
  <c r="M295" i="27"/>
  <c r="F295" i="27" s="1"/>
  <c r="M294" i="27"/>
  <c r="P293" i="27"/>
  <c r="P286" i="27" s="1"/>
  <c r="N293" i="27"/>
  <c r="N286" i="27" s="1"/>
  <c r="G292" i="27"/>
  <c r="G291" i="27"/>
  <c r="G290" i="27"/>
  <c r="F290" i="27"/>
  <c r="G289" i="27"/>
  <c r="F289" i="27"/>
  <c r="G288" i="27"/>
  <c r="Q286" i="27"/>
  <c r="L286" i="27"/>
  <c r="K286" i="27"/>
  <c r="J286" i="27"/>
  <c r="I286" i="27"/>
  <c r="H286" i="27"/>
  <c r="E286" i="27"/>
  <c r="G284" i="27"/>
  <c r="F284" i="27"/>
  <c r="Q283" i="27"/>
  <c r="P283" i="27"/>
  <c r="O283" i="27"/>
  <c r="N283" i="27"/>
  <c r="L283" i="27"/>
  <c r="K283" i="27"/>
  <c r="J283" i="27"/>
  <c r="I283" i="27"/>
  <c r="H283" i="27"/>
  <c r="E283" i="27"/>
  <c r="G282" i="27"/>
  <c r="F282" i="27"/>
  <c r="G281" i="27"/>
  <c r="F281" i="27"/>
  <c r="F275" i="27" s="1"/>
  <c r="G280" i="27"/>
  <c r="G279" i="27"/>
  <c r="G278" i="27"/>
  <c r="F278" i="27"/>
  <c r="G277" i="27"/>
  <c r="G276" i="27"/>
  <c r="Q275" i="27"/>
  <c r="P275" i="27"/>
  <c r="O275" i="27"/>
  <c r="N275" i="27"/>
  <c r="M275" i="27"/>
  <c r="L275" i="27"/>
  <c r="K275" i="27"/>
  <c r="J275" i="27"/>
  <c r="I275" i="27"/>
  <c r="H275" i="27"/>
  <c r="E275" i="27"/>
  <c r="F274" i="27"/>
  <c r="F269" i="27"/>
  <c r="F267" i="27"/>
  <c r="F266" i="27"/>
  <c r="F265" i="27"/>
  <c r="G263" i="27"/>
  <c r="Q262" i="27"/>
  <c r="P262" i="27"/>
  <c r="O262" i="27"/>
  <c r="N262" i="27"/>
  <c r="M262" i="27"/>
  <c r="L262" i="27"/>
  <c r="K262" i="27"/>
  <c r="J262" i="27"/>
  <c r="I262" i="27"/>
  <c r="H262" i="27"/>
  <c r="E262" i="27"/>
  <c r="G261" i="27"/>
  <c r="G260" i="27"/>
  <c r="G259" i="27"/>
  <c r="G258" i="27"/>
  <c r="G257" i="27"/>
  <c r="F257" i="27"/>
  <c r="F256" i="27" s="1"/>
  <c r="Q256" i="27"/>
  <c r="P256" i="27"/>
  <c r="O256" i="27"/>
  <c r="N256" i="27"/>
  <c r="M256" i="27"/>
  <c r="L256" i="27"/>
  <c r="K256" i="27"/>
  <c r="J256" i="27"/>
  <c r="I256" i="27"/>
  <c r="H256" i="27"/>
  <c r="E256" i="27"/>
  <c r="G255" i="27"/>
  <c r="G254" i="27"/>
  <c r="G253" i="27"/>
  <c r="F253" i="27"/>
  <c r="G252" i="27"/>
  <c r="F252" i="27"/>
  <c r="G251" i="27"/>
  <c r="F251" i="27"/>
  <c r="G250" i="27"/>
  <c r="F250" i="27"/>
  <c r="G249" i="27"/>
  <c r="F249" i="27"/>
  <c r="F248" i="27" s="1"/>
  <c r="Q248" i="27"/>
  <c r="Q247" i="27" s="1"/>
  <c r="P248" i="27"/>
  <c r="P247" i="27" s="1"/>
  <c r="O248" i="27"/>
  <c r="N248" i="27"/>
  <c r="M248" i="27"/>
  <c r="L248" i="27"/>
  <c r="L247" i="27" s="1"/>
  <c r="K248" i="27"/>
  <c r="K247" i="27" s="1"/>
  <c r="J248" i="27"/>
  <c r="J247" i="27" s="1"/>
  <c r="I248" i="27"/>
  <c r="I247" i="27" s="1"/>
  <c r="H248" i="27"/>
  <c r="H247" i="27" s="1"/>
  <c r="E248" i="27"/>
  <c r="E247" i="27" s="1"/>
  <c r="G246" i="27"/>
  <c r="Q245" i="27"/>
  <c r="O245" i="27"/>
  <c r="N245" i="27"/>
  <c r="L245" i="27"/>
  <c r="J245" i="27"/>
  <c r="I245" i="27"/>
  <c r="E245" i="27"/>
  <c r="G244" i="27"/>
  <c r="Q243" i="27"/>
  <c r="O243" i="27"/>
  <c r="N243" i="27"/>
  <c r="L243" i="27"/>
  <c r="J243" i="27"/>
  <c r="I243" i="27"/>
  <c r="E243" i="27"/>
  <c r="G242" i="27"/>
  <c r="G241" i="27" s="1"/>
  <c r="F242" i="27"/>
  <c r="F241" i="27" s="1"/>
  <c r="Q241" i="27"/>
  <c r="P241" i="27"/>
  <c r="O241" i="27"/>
  <c r="N241" i="27"/>
  <c r="M241" i="27"/>
  <c r="L241" i="27"/>
  <c r="K241" i="27"/>
  <c r="J241" i="27"/>
  <c r="I241" i="27"/>
  <c r="H241" i="27"/>
  <c r="E241" i="27"/>
  <c r="G240" i="27"/>
  <c r="G239" i="27" s="1"/>
  <c r="F240" i="27"/>
  <c r="F239" i="27" s="1"/>
  <c r="Q239" i="27"/>
  <c r="P239" i="27"/>
  <c r="O239" i="27"/>
  <c r="N239" i="27"/>
  <c r="M239" i="27"/>
  <c r="L239" i="27"/>
  <c r="K239" i="27"/>
  <c r="J239" i="27"/>
  <c r="I239" i="27"/>
  <c r="H239" i="27"/>
  <c r="E239" i="27"/>
  <c r="G238" i="27"/>
  <c r="F238" i="27"/>
  <c r="G233" i="27"/>
  <c r="F233" i="27"/>
  <c r="G232" i="27"/>
  <c r="G231" i="27"/>
  <c r="Q230" i="27"/>
  <c r="P230" i="27"/>
  <c r="O230" i="27"/>
  <c r="N230" i="27"/>
  <c r="M230" i="27"/>
  <c r="L230" i="27"/>
  <c r="K230" i="27"/>
  <c r="J230" i="27"/>
  <c r="I230" i="27"/>
  <c r="H230" i="27"/>
  <c r="F230" i="27"/>
  <c r="E230" i="27"/>
  <c r="G229" i="27"/>
  <c r="Q228" i="27"/>
  <c r="O228" i="27"/>
  <c r="N228" i="27"/>
  <c r="L228" i="27"/>
  <c r="J228" i="27"/>
  <c r="I228" i="27"/>
  <c r="E228" i="27"/>
  <c r="G227" i="27"/>
  <c r="N226" i="27"/>
  <c r="G226" i="27" s="1"/>
  <c r="F226" i="27"/>
  <c r="E226" i="27"/>
  <c r="N225" i="27"/>
  <c r="G225" i="27" s="1"/>
  <c r="G224" i="27" s="1"/>
  <c r="F225" i="27"/>
  <c r="F224" i="27" s="1"/>
  <c r="E225" i="27"/>
  <c r="E224" i="27" s="1"/>
  <c r="Q224" i="27"/>
  <c r="P224" i="27"/>
  <c r="O224" i="27"/>
  <c r="M224" i="27"/>
  <c r="L224" i="27"/>
  <c r="K224" i="27"/>
  <c r="J224" i="27"/>
  <c r="I224" i="27"/>
  <c r="H224" i="27"/>
  <c r="R223" i="27"/>
  <c r="N223" i="27"/>
  <c r="N222" i="27" s="1"/>
  <c r="F223" i="27"/>
  <c r="F222" i="27" s="1"/>
  <c r="E223" i="27"/>
  <c r="Q222" i="27"/>
  <c r="P222" i="27"/>
  <c r="O222" i="27"/>
  <c r="O221" i="27" s="1"/>
  <c r="M222" i="27"/>
  <c r="M221" i="27" s="1"/>
  <c r="L222" i="27"/>
  <c r="K222" i="27"/>
  <c r="K221" i="27" s="1"/>
  <c r="J222" i="27"/>
  <c r="J221" i="27" s="1"/>
  <c r="I222" i="27"/>
  <c r="I221" i="27" s="1"/>
  <c r="H222" i="27"/>
  <c r="H221" i="27" s="1"/>
  <c r="E222" i="27"/>
  <c r="P221" i="27"/>
  <c r="L221" i="27"/>
  <c r="G209" i="27"/>
  <c r="G208" i="27"/>
  <c r="G207" i="27"/>
  <c r="G202" i="27"/>
  <c r="G201" i="27"/>
  <c r="G200" i="27"/>
  <c r="G199" i="27"/>
  <c r="G198" i="27"/>
  <c r="Q197" i="27"/>
  <c r="O197" i="27"/>
  <c r="N197" i="27"/>
  <c r="L197" i="27"/>
  <c r="J197" i="27"/>
  <c r="I197" i="27"/>
  <c r="G197" i="27" s="1"/>
  <c r="E197" i="27"/>
  <c r="G196" i="27"/>
  <c r="G195" i="27"/>
  <c r="G194" i="27"/>
  <c r="G193" i="27"/>
  <c r="G192" i="27"/>
  <c r="G191" i="27"/>
  <c r="G190" i="27"/>
  <c r="G189" i="27"/>
  <c r="G188" i="27"/>
  <c r="Q187" i="27"/>
  <c r="Q186" i="27" s="1"/>
  <c r="O187" i="27"/>
  <c r="N187" i="27"/>
  <c r="N186" i="27" s="1"/>
  <c r="L187" i="27"/>
  <c r="J187" i="27"/>
  <c r="I187" i="27"/>
  <c r="E187" i="27"/>
  <c r="J186" i="27"/>
  <c r="G185" i="27"/>
  <c r="G180" i="27"/>
  <c r="G179" i="27"/>
  <c r="G178" i="27"/>
  <c r="G177" i="27"/>
  <c r="G176" i="27"/>
  <c r="G175" i="27"/>
  <c r="Q174" i="27"/>
  <c r="O174" i="27"/>
  <c r="N174" i="27"/>
  <c r="L174" i="27"/>
  <c r="J174" i="27"/>
  <c r="I174" i="27"/>
  <c r="E174" i="27"/>
  <c r="G173" i="27"/>
  <c r="G172" i="27"/>
  <c r="G171" i="27"/>
  <c r="G170" i="27"/>
  <c r="G169" i="27"/>
  <c r="G168" i="27"/>
  <c r="G167" i="27"/>
  <c r="G166" i="27"/>
  <c r="G165" i="27"/>
  <c r="Q164" i="27"/>
  <c r="Q163" i="27" s="1"/>
  <c r="O164" i="27"/>
  <c r="N164" i="27"/>
  <c r="N163" i="27" s="1"/>
  <c r="L164" i="27"/>
  <c r="J164" i="27"/>
  <c r="J163" i="27" s="1"/>
  <c r="J162" i="27" s="1"/>
  <c r="I164" i="27"/>
  <c r="G164" i="27" s="1"/>
  <c r="E164" i="27"/>
  <c r="G161" i="27"/>
  <c r="Q160" i="27"/>
  <c r="O160" i="27"/>
  <c r="N160" i="27"/>
  <c r="L160" i="27"/>
  <c r="J160" i="27"/>
  <c r="I160" i="27"/>
  <c r="E160" i="27"/>
  <c r="G159" i="27"/>
  <c r="Q154" i="27"/>
  <c r="O154" i="27"/>
  <c r="N154" i="27"/>
  <c r="L154" i="27"/>
  <c r="J154" i="27"/>
  <c r="I154" i="27"/>
  <c r="G154" i="27" s="1"/>
  <c r="E154" i="27"/>
  <c r="G153" i="27"/>
  <c r="Q152" i="27"/>
  <c r="O152" i="27"/>
  <c r="O151" i="27" s="1"/>
  <c r="N152" i="27"/>
  <c r="L152" i="27"/>
  <c r="L151" i="27" s="1"/>
  <c r="J152" i="27"/>
  <c r="I152" i="27"/>
  <c r="G152" i="27" s="1"/>
  <c r="E152" i="27"/>
  <c r="E151" i="27"/>
  <c r="G150" i="27"/>
  <c r="Q149" i="27"/>
  <c r="Q148" i="27" s="1"/>
  <c r="O149" i="27"/>
  <c r="O148" i="27" s="1"/>
  <c r="N149" i="27"/>
  <c r="N148" i="27" s="1"/>
  <c r="L149" i="27"/>
  <c r="L148" i="27" s="1"/>
  <c r="J149" i="27"/>
  <c r="J148" i="27" s="1"/>
  <c r="I149" i="27"/>
  <c r="E149" i="27"/>
  <c r="E148" i="27" s="1"/>
  <c r="I148" i="27"/>
  <c r="G147" i="27"/>
  <c r="Q146" i="27"/>
  <c r="O146" i="27"/>
  <c r="N146" i="27"/>
  <c r="L146" i="27"/>
  <c r="J146" i="27"/>
  <c r="I146" i="27"/>
  <c r="E146" i="27"/>
  <c r="G145" i="27"/>
  <c r="Q144" i="27"/>
  <c r="O144" i="27"/>
  <c r="N144" i="27"/>
  <c r="L144" i="27"/>
  <c r="J144" i="27"/>
  <c r="I144" i="27"/>
  <c r="E144" i="27"/>
  <c r="G143" i="27"/>
  <c r="Q142" i="27"/>
  <c r="O142" i="27"/>
  <c r="O141" i="27" s="1"/>
  <c r="N142" i="27"/>
  <c r="L142" i="27"/>
  <c r="J142" i="27"/>
  <c r="I142" i="27"/>
  <c r="I141" i="27" s="1"/>
  <c r="E142" i="27"/>
  <c r="E141" i="27" s="1"/>
  <c r="G140" i="27"/>
  <c r="Q139" i="27"/>
  <c r="O139" i="27"/>
  <c r="N139" i="27"/>
  <c r="L139" i="27"/>
  <c r="J139" i="27"/>
  <c r="I139" i="27"/>
  <c r="E139" i="27"/>
  <c r="G138" i="27"/>
  <c r="F138" i="27"/>
  <c r="Q137" i="27"/>
  <c r="P137" i="27"/>
  <c r="O137" i="27"/>
  <c r="N137" i="27"/>
  <c r="M137" i="27"/>
  <c r="L137" i="27"/>
  <c r="K137" i="27"/>
  <c r="F137" i="27" s="1"/>
  <c r="J137" i="27"/>
  <c r="I137" i="27"/>
  <c r="H137" i="27"/>
  <c r="G137" i="27"/>
  <c r="E137" i="27"/>
  <c r="G136" i="27"/>
  <c r="F136" i="27"/>
  <c r="Q135" i="27"/>
  <c r="O135" i="27"/>
  <c r="O134" i="27" s="1"/>
  <c r="N135" i="27"/>
  <c r="L135" i="27"/>
  <c r="L134" i="27" s="1"/>
  <c r="J135" i="27"/>
  <c r="I135" i="27"/>
  <c r="F135" i="27"/>
  <c r="E135" i="27"/>
  <c r="Q134" i="27"/>
  <c r="P134" i="27"/>
  <c r="P133" i="27" s="1"/>
  <c r="M134" i="27"/>
  <c r="M133" i="27" s="1"/>
  <c r="K134" i="27"/>
  <c r="K133" i="27" s="1"/>
  <c r="I134" i="27"/>
  <c r="H134" i="27"/>
  <c r="E134" i="27"/>
  <c r="G132" i="27"/>
  <c r="G127" i="27" s="1"/>
  <c r="G126" i="27" s="1"/>
  <c r="F132" i="27"/>
  <c r="F131" i="27"/>
  <c r="F130" i="27"/>
  <c r="F129" i="27"/>
  <c r="F128" i="27"/>
  <c r="Q127" i="27"/>
  <c r="Q126" i="27" s="1"/>
  <c r="P127" i="27"/>
  <c r="O127" i="27"/>
  <c r="O126" i="27" s="1"/>
  <c r="N127" i="27"/>
  <c r="N126" i="27" s="1"/>
  <c r="M127" i="27"/>
  <c r="M126" i="27" s="1"/>
  <c r="L127" i="27"/>
  <c r="K127" i="27"/>
  <c r="J127" i="27"/>
  <c r="J126" i="27" s="1"/>
  <c r="I127" i="27"/>
  <c r="I126" i="27" s="1"/>
  <c r="H127" i="27"/>
  <c r="E127" i="27"/>
  <c r="E126" i="27" s="1"/>
  <c r="P126" i="27"/>
  <c r="L126" i="27"/>
  <c r="H126" i="27"/>
  <c r="G125" i="27"/>
  <c r="F125" i="27"/>
  <c r="G124" i="27"/>
  <c r="F124" i="27"/>
  <c r="Q123" i="27"/>
  <c r="Q122" i="27" s="1"/>
  <c r="P123" i="27"/>
  <c r="O123" i="27"/>
  <c r="O122" i="27" s="1"/>
  <c r="N123" i="27"/>
  <c r="N122" i="27" s="1"/>
  <c r="M123" i="27"/>
  <c r="M122" i="27" s="1"/>
  <c r="L123" i="27"/>
  <c r="K123" i="27"/>
  <c r="J123" i="27"/>
  <c r="J122" i="27" s="1"/>
  <c r="J120" i="27" s="1"/>
  <c r="I123" i="27"/>
  <c r="I122" i="27" s="1"/>
  <c r="I120" i="27" s="1"/>
  <c r="H123" i="27"/>
  <c r="H122" i="27" s="1"/>
  <c r="H120" i="27" s="1"/>
  <c r="E123" i="27"/>
  <c r="E122" i="27" s="1"/>
  <c r="E120" i="27" s="1"/>
  <c r="P122" i="27"/>
  <c r="L122" i="27"/>
  <c r="L120" i="27" s="1"/>
  <c r="F121" i="27"/>
  <c r="P120" i="27"/>
  <c r="G119" i="27"/>
  <c r="F119" i="27"/>
  <c r="Q118" i="27"/>
  <c r="O118" i="27"/>
  <c r="N118" i="27"/>
  <c r="L118" i="27"/>
  <c r="J118" i="27"/>
  <c r="I118" i="27"/>
  <c r="F118" i="27"/>
  <c r="E118" i="27"/>
  <c r="G117" i="27"/>
  <c r="F117" i="27"/>
  <c r="Q116" i="27"/>
  <c r="O116" i="27"/>
  <c r="O115" i="27" s="1"/>
  <c r="N116" i="27"/>
  <c r="N115" i="27" s="1"/>
  <c r="L116" i="27"/>
  <c r="J116" i="27"/>
  <c r="J115" i="27" s="1"/>
  <c r="I116" i="27"/>
  <c r="F116" i="27"/>
  <c r="E116" i="27"/>
  <c r="F115" i="27"/>
  <c r="G114" i="27"/>
  <c r="F114" i="27"/>
  <c r="Q113" i="27"/>
  <c r="O113" i="27"/>
  <c r="N113" i="27"/>
  <c r="L113" i="27"/>
  <c r="J113" i="27"/>
  <c r="I113" i="27"/>
  <c r="F113" i="27"/>
  <c r="E113" i="27"/>
  <c r="G112" i="27"/>
  <c r="F112" i="27"/>
  <c r="G111" i="27"/>
  <c r="F111" i="27"/>
  <c r="Q110" i="27"/>
  <c r="P110" i="27"/>
  <c r="O110" i="27"/>
  <c r="N110" i="27"/>
  <c r="M110" i="27"/>
  <c r="L110" i="27"/>
  <c r="K110" i="27"/>
  <c r="J110" i="27"/>
  <c r="I110" i="27"/>
  <c r="H110" i="27"/>
  <c r="G110" i="27"/>
  <c r="E110" i="27"/>
  <c r="G109" i="27"/>
  <c r="F109" i="27"/>
  <c r="G108" i="27"/>
  <c r="F108" i="27"/>
  <c r="G107" i="27"/>
  <c r="F107" i="27"/>
  <c r="G106" i="27"/>
  <c r="F106" i="27"/>
  <c r="G105" i="27"/>
  <c r="F105" i="27"/>
  <c r="G104" i="27"/>
  <c r="F104" i="27"/>
  <c r="F103" i="27"/>
  <c r="F102" i="27"/>
  <c r="F101" i="27"/>
  <c r="F100" i="27"/>
  <c r="Q99" i="27"/>
  <c r="O99" i="27"/>
  <c r="N99" i="27"/>
  <c r="L99" i="27"/>
  <c r="J99" i="27"/>
  <c r="I99" i="27"/>
  <c r="F99" i="27"/>
  <c r="E99" i="27"/>
  <c r="G98" i="27"/>
  <c r="F98" i="27"/>
  <c r="G97" i="27"/>
  <c r="F97" i="27"/>
  <c r="G96" i="27"/>
  <c r="F96" i="27"/>
  <c r="G95" i="27"/>
  <c r="F95" i="27"/>
  <c r="Q94" i="27"/>
  <c r="P94" i="27"/>
  <c r="O94" i="27"/>
  <c r="N94" i="27"/>
  <c r="M94" i="27"/>
  <c r="L94" i="27"/>
  <c r="K94" i="27"/>
  <c r="J94" i="27"/>
  <c r="I94" i="27"/>
  <c r="H94" i="27"/>
  <c r="F94" i="27"/>
  <c r="E94" i="27"/>
  <c r="G93" i="27"/>
  <c r="F93" i="27"/>
  <c r="G92" i="27"/>
  <c r="F92" i="27"/>
  <c r="G91" i="27"/>
  <c r="F91" i="27"/>
  <c r="F87" i="27" s="1"/>
  <c r="G90" i="27"/>
  <c r="G89" i="27"/>
  <c r="G88" i="27"/>
  <c r="Q87" i="27"/>
  <c r="Q86" i="27" s="1"/>
  <c r="P87" i="27"/>
  <c r="O87" i="27"/>
  <c r="O86" i="27" s="1"/>
  <c r="N87" i="27"/>
  <c r="N86" i="27" s="1"/>
  <c r="M87" i="27"/>
  <c r="M86" i="27" s="1"/>
  <c r="L87" i="27"/>
  <c r="K87" i="27"/>
  <c r="K86" i="27" s="1"/>
  <c r="J87" i="27"/>
  <c r="I87" i="27"/>
  <c r="I86" i="27" s="1"/>
  <c r="H87" i="27"/>
  <c r="G87" i="27"/>
  <c r="E87" i="27"/>
  <c r="E86" i="27" s="1"/>
  <c r="P86" i="27"/>
  <c r="P7" i="27" s="1"/>
  <c r="L86" i="27"/>
  <c r="J86" i="27"/>
  <c r="H86" i="27"/>
  <c r="G85" i="27"/>
  <c r="G84" i="27"/>
  <c r="Q83" i="27"/>
  <c r="O83" i="27"/>
  <c r="N83" i="27"/>
  <c r="L83" i="27"/>
  <c r="J83" i="27"/>
  <c r="I83" i="27"/>
  <c r="E83" i="27"/>
  <c r="G82" i="27"/>
  <c r="G81" i="27"/>
  <c r="G80" i="27"/>
  <c r="G79" i="27"/>
  <c r="Q78" i="27"/>
  <c r="O78" i="27"/>
  <c r="N78" i="27"/>
  <c r="L78" i="27"/>
  <c r="J78" i="27"/>
  <c r="I78" i="27"/>
  <c r="E78" i="27"/>
  <c r="G77" i="27"/>
  <c r="G76" i="27"/>
  <c r="Q75" i="27"/>
  <c r="O75" i="27"/>
  <c r="N75" i="27"/>
  <c r="L75" i="27"/>
  <c r="L74" i="27" s="1"/>
  <c r="J75" i="27"/>
  <c r="J74" i="27" s="1"/>
  <c r="I75" i="27"/>
  <c r="E75" i="27"/>
  <c r="G69" i="27"/>
  <c r="G68" i="27"/>
  <c r="G67" i="27"/>
  <c r="Q66" i="27"/>
  <c r="O66" i="27"/>
  <c r="N66" i="27"/>
  <c r="L66" i="27"/>
  <c r="J66" i="27"/>
  <c r="I66" i="27"/>
  <c r="E66" i="27"/>
  <c r="G65" i="27"/>
  <c r="G64" i="27"/>
  <c r="G63" i="27"/>
  <c r="G62" i="27"/>
  <c r="Q61" i="27"/>
  <c r="O61" i="27"/>
  <c r="O60" i="27" s="1"/>
  <c r="N61" i="27"/>
  <c r="L61" i="27"/>
  <c r="J61" i="27"/>
  <c r="J60" i="27" s="1"/>
  <c r="I61" i="27"/>
  <c r="E61" i="27"/>
  <c r="G59" i="27"/>
  <c r="G58" i="27"/>
  <c r="G57" i="27"/>
  <c r="G56" i="27"/>
  <c r="G55" i="27"/>
  <c r="G54" i="27"/>
  <c r="Q53" i="27"/>
  <c r="O53" i="27"/>
  <c r="N53" i="27"/>
  <c r="L53" i="27"/>
  <c r="J53" i="27"/>
  <c r="I53" i="27"/>
  <c r="E53" i="27"/>
  <c r="G52" i="27"/>
  <c r="G51" i="27"/>
  <c r="G50" i="27"/>
  <c r="G49" i="27"/>
  <c r="G48" i="27"/>
  <c r="G47" i="27"/>
  <c r="Q42" i="27"/>
  <c r="O42" i="27"/>
  <c r="N42" i="27"/>
  <c r="L42" i="27"/>
  <c r="J42" i="27"/>
  <c r="I42" i="27"/>
  <c r="E42" i="27"/>
  <c r="G41" i="27"/>
  <c r="G40" i="27"/>
  <c r="Q39" i="27"/>
  <c r="O39" i="27"/>
  <c r="N39" i="27"/>
  <c r="L39" i="27"/>
  <c r="J39" i="27"/>
  <c r="I39" i="27"/>
  <c r="E39" i="27"/>
  <c r="G38" i="27"/>
  <c r="G37" i="27"/>
  <c r="G36" i="27"/>
  <c r="G35" i="27"/>
  <c r="G34" i="27"/>
  <c r="G33" i="27"/>
  <c r="Q32" i="27"/>
  <c r="O32" i="27"/>
  <c r="N32" i="27"/>
  <c r="L32" i="27"/>
  <c r="J32" i="27"/>
  <c r="I32" i="27"/>
  <c r="E32" i="27"/>
  <c r="G31" i="27"/>
  <c r="G30" i="27"/>
  <c r="G29" i="27"/>
  <c r="G28" i="27"/>
  <c r="G27" i="27"/>
  <c r="Q26" i="27"/>
  <c r="O26" i="27"/>
  <c r="N26" i="27"/>
  <c r="L26" i="27"/>
  <c r="J26" i="27"/>
  <c r="I26" i="27"/>
  <c r="E26" i="27"/>
  <c r="G25" i="27"/>
  <c r="G24" i="27"/>
  <c r="G23" i="27"/>
  <c r="G22" i="27"/>
  <c r="G21" i="27"/>
  <c r="G20" i="27"/>
  <c r="Q19" i="27"/>
  <c r="O19" i="27"/>
  <c r="N19" i="27"/>
  <c r="L19" i="27"/>
  <c r="J19" i="27"/>
  <c r="I19" i="27"/>
  <c r="G19" i="27" s="1"/>
  <c r="E19" i="27"/>
  <c r="G18" i="27"/>
  <c r="Q17" i="27"/>
  <c r="O17" i="27"/>
  <c r="N17" i="27"/>
  <c r="L17" i="27"/>
  <c r="J17" i="27"/>
  <c r="I17" i="27"/>
  <c r="E17" i="27"/>
  <c r="G16" i="27"/>
  <c r="G15" i="27"/>
  <c r="G10" i="27"/>
  <c r="Q9" i="27"/>
  <c r="Q8" i="27" s="1"/>
  <c r="O9" i="27"/>
  <c r="N9" i="27"/>
  <c r="N8" i="27" s="1"/>
  <c r="L9" i="27"/>
  <c r="J9" i="27"/>
  <c r="I9" i="27"/>
  <c r="E9" i="27"/>
  <c r="H256" i="26"/>
  <c r="I256" i="26"/>
  <c r="J256" i="26"/>
  <c r="K256" i="26"/>
  <c r="L256" i="26"/>
  <c r="M256" i="26"/>
  <c r="N256" i="26"/>
  <c r="O256" i="26"/>
  <c r="P256" i="26"/>
  <c r="N300" i="26"/>
  <c r="N293" i="26" s="1"/>
  <c r="O300" i="26"/>
  <c r="O293" i="26" s="1"/>
  <c r="P300" i="26"/>
  <c r="P293" i="26" s="1"/>
  <c r="G262" i="30" l="1"/>
  <c r="Q162" i="30"/>
  <c r="N247" i="30"/>
  <c r="N221" i="28"/>
  <c r="G530" i="27"/>
  <c r="G174" i="28"/>
  <c r="I247" i="28"/>
  <c r="G379" i="28"/>
  <c r="N374" i="28"/>
  <c r="N413" i="28"/>
  <c r="J435" i="28"/>
  <c r="E515" i="28"/>
  <c r="K135" i="29"/>
  <c r="K187" i="29"/>
  <c r="L297" i="29"/>
  <c r="G42" i="30"/>
  <c r="M6" i="30"/>
  <c r="M210" i="30" s="1"/>
  <c r="G135" i="30"/>
  <c r="G228" i="30"/>
  <c r="G391" i="30"/>
  <c r="G325" i="28"/>
  <c r="G516" i="28"/>
  <c r="L135" i="29"/>
  <c r="G240" i="29"/>
  <c r="N253" i="29"/>
  <c r="N288" i="29"/>
  <c r="G306" i="29"/>
  <c r="N306" i="29" s="1"/>
  <c r="F344" i="29"/>
  <c r="G354" i="29"/>
  <c r="N354" i="29" s="1"/>
  <c r="D357" i="29"/>
  <c r="G444" i="29"/>
  <c r="N444" i="29" s="1"/>
  <c r="M441" i="29"/>
  <c r="K6" i="30"/>
  <c r="K210" i="30" s="1"/>
  <c r="G32" i="30"/>
  <c r="N134" i="30"/>
  <c r="L314" i="30"/>
  <c r="E314" i="30"/>
  <c r="Q374" i="30"/>
  <c r="F417" i="30"/>
  <c r="F413" i="30" s="1"/>
  <c r="G436" i="30"/>
  <c r="G472" i="30"/>
  <c r="F283" i="30"/>
  <c r="I60" i="27"/>
  <c r="G17" i="28"/>
  <c r="J74" i="28"/>
  <c r="F94" i="28"/>
  <c r="N338" i="29"/>
  <c r="N422" i="29"/>
  <c r="F441" i="29"/>
  <c r="G513" i="29"/>
  <c r="N513" i="29" s="1"/>
  <c r="G17" i="30"/>
  <c r="Q115" i="30"/>
  <c r="F120" i="30"/>
  <c r="E141" i="30"/>
  <c r="O163" i="30"/>
  <c r="O162" i="30" s="1"/>
  <c r="F264" i="30"/>
  <c r="G331" i="30"/>
  <c r="K413" i="30"/>
  <c r="G417" i="30"/>
  <c r="G452" i="30"/>
  <c r="G435" i="30" s="1"/>
  <c r="Q458" i="30"/>
  <c r="G187" i="27"/>
  <c r="I458" i="27"/>
  <c r="G475" i="27"/>
  <c r="G66" i="28"/>
  <c r="I151" i="28"/>
  <c r="J221" i="28"/>
  <c r="G371" i="28"/>
  <c r="L515" i="28"/>
  <c r="F11" i="29"/>
  <c r="N101" i="29"/>
  <c r="H142" i="29"/>
  <c r="G142" i="29" s="1"/>
  <c r="N142" i="29" s="1"/>
  <c r="N228" i="29"/>
  <c r="N254" i="29"/>
  <c r="E418" i="29"/>
  <c r="G494" i="29"/>
  <c r="N494" i="29" s="1"/>
  <c r="E8" i="30"/>
  <c r="E7" i="30" s="1"/>
  <c r="G60" i="30"/>
  <c r="F110" i="30"/>
  <c r="G123" i="30"/>
  <c r="G122" i="30" s="1"/>
  <c r="G120" i="30" s="1"/>
  <c r="G144" i="30"/>
  <c r="F281" i="30"/>
  <c r="M294" i="30"/>
  <c r="J314" i="30"/>
  <c r="G314" i="30" s="1"/>
  <c r="G388" i="30"/>
  <c r="J486" i="30"/>
  <c r="J485" i="30" s="1"/>
  <c r="G513" i="30"/>
  <c r="I141" i="28"/>
  <c r="O374" i="28"/>
  <c r="G423" i="28"/>
  <c r="N435" i="28"/>
  <c r="L77" i="29"/>
  <c r="N112" i="29"/>
  <c r="I142" i="29"/>
  <c r="G155" i="29"/>
  <c r="N155" i="29" s="1"/>
  <c r="M163" i="29"/>
  <c r="M536" i="29" s="1"/>
  <c r="M539" i="29" s="1"/>
  <c r="N86" i="30"/>
  <c r="Q86" i="30"/>
  <c r="O151" i="30"/>
  <c r="L221" i="30"/>
  <c r="E361" i="30"/>
  <c r="M413" i="30"/>
  <c r="L435" i="30"/>
  <c r="N458" i="30"/>
  <c r="G382" i="27"/>
  <c r="L458" i="27"/>
  <c r="N486" i="27"/>
  <c r="O74" i="28"/>
  <c r="G74" i="28" s="1"/>
  <c r="J458" i="28"/>
  <c r="E474" i="28"/>
  <c r="E486" i="28"/>
  <c r="I396" i="29"/>
  <c r="J396" i="29"/>
  <c r="G435" i="29"/>
  <c r="N435" i="29" s="1"/>
  <c r="G442" i="29"/>
  <c r="N442" i="29" s="1"/>
  <c r="D441" i="29"/>
  <c r="M498" i="29"/>
  <c r="J333" i="30"/>
  <c r="Q333" i="30"/>
  <c r="E486" i="30"/>
  <c r="E485" i="30" s="1"/>
  <c r="O115" i="28"/>
  <c r="L458" i="28"/>
  <c r="L11" i="29"/>
  <c r="J164" i="29"/>
  <c r="J357" i="29"/>
  <c r="I377" i="29"/>
  <c r="K441" i="29"/>
  <c r="G462" i="29"/>
  <c r="N462" i="29" s="1"/>
  <c r="G522" i="29"/>
  <c r="N522" i="29" s="1"/>
  <c r="O8" i="30"/>
  <c r="O7" i="30" s="1"/>
  <c r="P86" i="30"/>
  <c r="P7" i="30" s="1"/>
  <c r="P6" i="30" s="1"/>
  <c r="P210" i="30" s="1"/>
  <c r="G164" i="30"/>
  <c r="J221" i="30"/>
  <c r="J361" i="30"/>
  <c r="N361" i="30"/>
  <c r="O413" i="30"/>
  <c r="J435" i="30"/>
  <c r="Q435" i="30"/>
  <c r="Q434" i="30" s="1"/>
  <c r="L471" i="30"/>
  <c r="G471" i="30" s="1"/>
  <c r="I486" i="30"/>
  <c r="N515" i="30"/>
  <c r="Q60" i="27"/>
  <c r="E515" i="27"/>
  <c r="F87" i="28"/>
  <c r="E134" i="28"/>
  <c r="N141" i="28"/>
  <c r="Q247" i="28"/>
  <c r="L314" i="28"/>
  <c r="N314" i="28"/>
  <c r="I435" i="28"/>
  <c r="J486" i="28"/>
  <c r="G20" i="29"/>
  <c r="N20" i="29" s="1"/>
  <c r="G56" i="29"/>
  <c r="N56" i="29" s="1"/>
  <c r="G116" i="29"/>
  <c r="N116" i="29" s="1"/>
  <c r="G161" i="29"/>
  <c r="N161" i="29" s="1"/>
  <c r="K164" i="29"/>
  <c r="G164" i="29" s="1"/>
  <c r="N164" i="29" s="1"/>
  <c r="F297" i="29"/>
  <c r="F469" i="29"/>
  <c r="F468" i="29" s="1"/>
  <c r="D226" i="29"/>
  <c r="F226" i="29" s="1"/>
  <c r="G9" i="30"/>
  <c r="L86" i="30"/>
  <c r="L7" i="30" s="1"/>
  <c r="G118" i="30"/>
  <c r="G160" i="30"/>
  <c r="P221" i="30"/>
  <c r="Q247" i="30"/>
  <c r="Q314" i="30"/>
  <c r="O374" i="30"/>
  <c r="J413" i="30"/>
  <c r="Q486" i="30"/>
  <c r="Q485" i="30" s="1"/>
  <c r="G509" i="27"/>
  <c r="G516" i="27"/>
  <c r="N151" i="28"/>
  <c r="I333" i="28"/>
  <c r="J413" i="28"/>
  <c r="F417" i="28"/>
  <c r="M413" i="28"/>
  <c r="F77" i="29"/>
  <c r="H118" i="29"/>
  <c r="E142" i="29"/>
  <c r="G153" i="29"/>
  <c r="N153" i="29" s="1"/>
  <c r="I316" i="29"/>
  <c r="L396" i="29"/>
  <c r="K418" i="29"/>
  <c r="G470" i="29"/>
  <c r="N470" i="29" s="1"/>
  <c r="D227" i="29"/>
  <c r="F227" i="29" s="1"/>
  <c r="G87" i="30"/>
  <c r="G94" i="30"/>
  <c r="G116" i="30"/>
  <c r="F137" i="30"/>
  <c r="J141" i="30"/>
  <c r="L163" i="30"/>
  <c r="G362" i="30"/>
  <c r="Q413" i="30"/>
  <c r="E458" i="30"/>
  <c r="L486" i="30"/>
  <c r="G509" i="30"/>
  <c r="G323" i="27"/>
  <c r="J374" i="27"/>
  <c r="G452" i="27"/>
  <c r="F137" i="28"/>
  <c r="O151" i="28"/>
  <c r="J163" i="28"/>
  <c r="Q186" i="28"/>
  <c r="Q162" i="28" s="1"/>
  <c r="G417" i="28"/>
  <c r="N474" i="28"/>
  <c r="G29" i="29"/>
  <c r="N29" i="29" s="1"/>
  <c r="G81" i="29"/>
  <c r="N81" i="29" s="1"/>
  <c r="N109" i="29"/>
  <c r="L118" i="29"/>
  <c r="J152" i="29"/>
  <c r="M152" i="29"/>
  <c r="N292" i="29"/>
  <c r="L377" i="29"/>
  <c r="N440" i="29"/>
  <c r="I469" i="29"/>
  <c r="I468" i="29" s="1"/>
  <c r="I537" i="29" s="1"/>
  <c r="E469" i="29"/>
  <c r="E468" i="29" s="1"/>
  <c r="E537" i="29" s="1"/>
  <c r="G66" i="30"/>
  <c r="O221" i="30"/>
  <c r="E247" i="30"/>
  <c r="I314" i="30"/>
  <c r="N374" i="30"/>
  <c r="O394" i="30"/>
  <c r="G423" i="30"/>
  <c r="O361" i="27"/>
  <c r="L163" i="28"/>
  <c r="L162" i="28" s="1"/>
  <c r="G469" i="28"/>
  <c r="I77" i="29"/>
  <c r="N293" i="29"/>
  <c r="J297" i="29"/>
  <c r="K316" i="29"/>
  <c r="G465" i="29"/>
  <c r="N465" i="29" s="1"/>
  <c r="G61" i="30"/>
  <c r="H7" i="30"/>
  <c r="J134" i="30"/>
  <c r="N186" i="30"/>
  <c r="N162" i="30" s="1"/>
  <c r="G275" i="30"/>
  <c r="J247" i="30"/>
  <c r="O333" i="30"/>
  <c r="Q361" i="30"/>
  <c r="E374" i="30"/>
  <c r="E413" i="30"/>
  <c r="N435" i="30"/>
  <c r="J458" i="30"/>
  <c r="G458" i="30" s="1"/>
  <c r="O474" i="30"/>
  <c r="N222" i="34"/>
  <c r="F221" i="34"/>
  <c r="M468" i="29"/>
  <c r="M537" i="29" s="1"/>
  <c r="M11" i="29"/>
  <c r="F135" i="29"/>
  <c r="F134" i="29" s="1"/>
  <c r="G165" i="29"/>
  <c r="N165" i="29" s="1"/>
  <c r="F316" i="29"/>
  <c r="M357" i="29"/>
  <c r="G357" i="29" s="1"/>
  <c r="N357" i="29" s="1"/>
  <c r="D396" i="29"/>
  <c r="K396" i="29"/>
  <c r="M418" i="29"/>
  <c r="G439" i="29"/>
  <c r="N439" i="29" s="1"/>
  <c r="G496" i="29"/>
  <c r="N496" i="29" s="1"/>
  <c r="G35" i="29"/>
  <c r="N35" i="29" s="1"/>
  <c r="N110" i="29"/>
  <c r="H135" i="29"/>
  <c r="F187" i="29"/>
  <c r="J222" i="29"/>
  <c r="G246" i="29"/>
  <c r="N246" i="29" s="1"/>
  <c r="E297" i="29"/>
  <c r="G310" i="29"/>
  <c r="N310" i="29" s="1"/>
  <c r="E344" i="29"/>
  <c r="G371" i="29"/>
  <c r="N371" i="29" s="1"/>
  <c r="G406" i="29"/>
  <c r="N406" i="29" s="1"/>
  <c r="G437" i="29"/>
  <c r="N437" i="29" s="1"/>
  <c r="G452" i="29"/>
  <c r="N452" i="29" s="1"/>
  <c r="G454" i="29"/>
  <c r="N454" i="29" s="1"/>
  <c r="H457" i="29"/>
  <c r="G460" i="29"/>
  <c r="N460" i="29" s="1"/>
  <c r="D469" i="29"/>
  <c r="D468" i="29" s="1"/>
  <c r="H11" i="29"/>
  <c r="E63" i="29"/>
  <c r="G121" i="29"/>
  <c r="N121" i="29" s="1"/>
  <c r="G136" i="29"/>
  <c r="N136" i="29" s="1"/>
  <c r="L142" i="29"/>
  <c r="M297" i="29"/>
  <c r="L316" i="29"/>
  <c r="J344" i="29"/>
  <c r="M344" i="29"/>
  <c r="K357" i="29"/>
  <c r="G365" i="29"/>
  <c r="N365" i="29" s="1"/>
  <c r="J377" i="29"/>
  <c r="I457" i="29"/>
  <c r="K457" i="29"/>
  <c r="K417" i="29" s="1"/>
  <c r="L469" i="29"/>
  <c r="L468" i="29" s="1"/>
  <c r="L537" i="29" s="1"/>
  <c r="J11" i="29"/>
  <c r="G45" i="29"/>
  <c r="N45" i="29" s="1"/>
  <c r="M63" i="29"/>
  <c r="L152" i="29"/>
  <c r="L134" i="29" s="1"/>
  <c r="L164" i="29"/>
  <c r="L163" i="29" s="1"/>
  <c r="L536" i="29" s="1"/>
  <c r="L538" i="29" s="1"/>
  <c r="G244" i="29"/>
  <c r="N244" i="29" s="1"/>
  <c r="G308" i="29"/>
  <c r="N308" i="29" s="1"/>
  <c r="G314" i="29"/>
  <c r="N314" i="29" s="1"/>
  <c r="F357" i="29"/>
  <c r="G419" i="29"/>
  <c r="G466" i="29"/>
  <c r="N466" i="29" s="1"/>
  <c r="J469" i="29"/>
  <c r="J468" i="29" s="1"/>
  <c r="J537" i="29" s="1"/>
  <c r="G22" i="29"/>
  <c r="N22" i="29" s="1"/>
  <c r="D77" i="29"/>
  <c r="G113" i="29"/>
  <c r="H297" i="29"/>
  <c r="J316" i="29"/>
  <c r="G340" i="29"/>
  <c r="N340" i="29" s="1"/>
  <c r="H344" i="29"/>
  <c r="G351" i="29"/>
  <c r="N351" i="29" s="1"/>
  <c r="I357" i="29"/>
  <c r="G378" i="29"/>
  <c r="N378" i="29" s="1"/>
  <c r="G382" i="29"/>
  <c r="N382" i="29" s="1"/>
  <c r="N401" i="29"/>
  <c r="E441" i="29"/>
  <c r="D11" i="29"/>
  <c r="H357" i="29"/>
  <c r="G498" i="29"/>
  <c r="N498" i="29" s="1"/>
  <c r="F118" i="29"/>
  <c r="J187" i="29"/>
  <c r="J163" i="29" s="1"/>
  <c r="J536" i="29" s="1"/>
  <c r="G198" i="29"/>
  <c r="N198" i="29" s="1"/>
  <c r="G229" i="29"/>
  <c r="N229" i="29" s="1"/>
  <c r="J248" i="29"/>
  <c r="N256" i="29"/>
  <c r="I297" i="29"/>
  <c r="G317" i="29"/>
  <c r="G348" i="29"/>
  <c r="N348" i="29" s="1"/>
  <c r="H441" i="29"/>
  <c r="M457" i="29"/>
  <c r="G484" i="29"/>
  <c r="N484" i="29" s="1"/>
  <c r="G492" i="29"/>
  <c r="N492" i="29" s="1"/>
  <c r="G499" i="29"/>
  <c r="N499" i="29" s="1"/>
  <c r="E11" i="29"/>
  <c r="I63" i="29"/>
  <c r="N111" i="29"/>
  <c r="G143" i="29"/>
  <c r="N143" i="29" s="1"/>
  <c r="H152" i="29"/>
  <c r="H164" i="29"/>
  <c r="L222" i="29"/>
  <c r="N230" i="29"/>
  <c r="N255" i="29"/>
  <c r="G298" i="29"/>
  <c r="N298" i="29" s="1"/>
  <c r="E316" i="29"/>
  <c r="G327" i="29"/>
  <c r="N327" i="29" s="1"/>
  <c r="D377" i="29"/>
  <c r="G409" i="29"/>
  <c r="N409" i="29" s="1"/>
  <c r="G415" i="29"/>
  <c r="N415" i="29" s="1"/>
  <c r="N429" i="29"/>
  <c r="K469" i="29"/>
  <c r="K468" i="29" s="1"/>
  <c r="K537" i="29" s="1"/>
  <c r="N74" i="27"/>
  <c r="F417" i="27"/>
  <c r="G144" i="27"/>
  <c r="L115" i="27"/>
  <c r="G26" i="27"/>
  <c r="G160" i="27"/>
  <c r="Q162" i="27"/>
  <c r="E361" i="27"/>
  <c r="L374" i="27"/>
  <c r="G388" i="27"/>
  <c r="N141" i="27"/>
  <c r="G365" i="27"/>
  <c r="G426" i="27"/>
  <c r="M413" i="27"/>
  <c r="G461" i="27"/>
  <c r="G116" i="27"/>
  <c r="E115" i="27"/>
  <c r="G511" i="27"/>
  <c r="I515" i="27"/>
  <c r="P6" i="27"/>
  <c r="P210" i="27" s="1"/>
  <c r="Q115" i="27"/>
  <c r="G146" i="27"/>
  <c r="G334" i="27"/>
  <c r="J474" i="27"/>
  <c r="E74" i="27"/>
  <c r="L394" i="27"/>
  <c r="I394" i="27"/>
  <c r="J413" i="27"/>
  <c r="F134" i="27"/>
  <c r="G139" i="27"/>
  <c r="L361" i="27"/>
  <c r="G39" i="27"/>
  <c r="Q74" i="27"/>
  <c r="E133" i="27"/>
  <c r="G149" i="27"/>
  <c r="I151" i="27"/>
  <c r="I133" i="27" s="1"/>
  <c r="G245" i="27"/>
  <c r="N60" i="27"/>
  <c r="O74" i="27"/>
  <c r="G142" i="27"/>
  <c r="G344" i="27"/>
  <c r="G371" i="27"/>
  <c r="G83" i="27"/>
  <c r="H7" i="27"/>
  <c r="G99" i="27"/>
  <c r="G174" i="27"/>
  <c r="G414" i="27"/>
  <c r="J515" i="27"/>
  <c r="G118" i="27"/>
  <c r="F127" i="27"/>
  <c r="M303" i="27"/>
  <c r="G315" i="27"/>
  <c r="G432" i="27"/>
  <c r="E474" i="27"/>
  <c r="E434" i="27" s="1"/>
  <c r="G355" i="27"/>
  <c r="G357" i="27"/>
  <c r="G362" i="27"/>
  <c r="E374" i="27"/>
  <c r="H413" i="27"/>
  <c r="P413" i="27"/>
  <c r="G423" i="27"/>
  <c r="G9" i="27"/>
  <c r="L60" i="27"/>
  <c r="E60" i="27"/>
  <c r="G78" i="27"/>
  <c r="N162" i="27"/>
  <c r="F221" i="27"/>
  <c r="Q474" i="27"/>
  <c r="E486" i="27"/>
  <c r="E485" i="27" s="1"/>
  <c r="G275" i="27"/>
  <c r="N413" i="27"/>
  <c r="Q515" i="27"/>
  <c r="F110" i="27"/>
  <c r="F123" i="27"/>
  <c r="L141" i="27"/>
  <c r="Q221" i="27"/>
  <c r="G256" i="27"/>
  <c r="I314" i="27"/>
  <c r="N474" i="27"/>
  <c r="O133" i="27"/>
  <c r="G148" i="27"/>
  <c r="E221" i="27"/>
  <c r="E220" i="27" s="1"/>
  <c r="R293" i="27"/>
  <c r="S293" i="27" s="1"/>
  <c r="G417" i="27"/>
  <c r="N515" i="27"/>
  <c r="G535" i="38"/>
  <c r="G534" i="38"/>
  <c r="G541" i="38"/>
  <c r="N524" i="38"/>
  <c r="N211" i="38"/>
  <c r="G540" i="38"/>
  <c r="F547" i="35"/>
  <c r="M541" i="35"/>
  <c r="R219" i="35"/>
  <c r="F543" i="35"/>
  <c r="F535" i="34"/>
  <c r="G532" i="34"/>
  <c r="H534" i="34"/>
  <c r="G539" i="34"/>
  <c r="G538" i="34"/>
  <c r="H535" i="34"/>
  <c r="G533" i="34"/>
  <c r="H540" i="34"/>
  <c r="G211" i="34"/>
  <c r="H541" i="34"/>
  <c r="G524" i="34"/>
  <c r="R220" i="33"/>
  <c r="F219" i="33"/>
  <c r="F541" i="33" s="1"/>
  <c r="R286" i="33"/>
  <c r="M247" i="33"/>
  <c r="M220" i="33" s="1"/>
  <c r="M219" i="33" s="1"/>
  <c r="M547" i="32"/>
  <c r="R219" i="32"/>
  <c r="F543" i="32"/>
  <c r="F549" i="32"/>
  <c r="F547" i="32"/>
  <c r="J547" i="31"/>
  <c r="J543" i="31"/>
  <c r="F219" i="31"/>
  <c r="F541" i="31" s="1"/>
  <c r="F547" i="31" s="1"/>
  <c r="S220" i="31"/>
  <c r="S286" i="31"/>
  <c r="M247" i="31"/>
  <c r="M220" i="31" s="1"/>
  <c r="M219" i="31" s="1"/>
  <c r="F275" i="30"/>
  <c r="F313" i="30"/>
  <c r="G285" i="30"/>
  <c r="G283" i="30" s="1"/>
  <c r="G86" i="30"/>
  <c r="L162" i="30"/>
  <c r="G394" i="30"/>
  <c r="F287" i="30"/>
  <c r="G287" i="30"/>
  <c r="G382" i="30"/>
  <c r="I374" i="30"/>
  <c r="I8" i="30"/>
  <c r="G75" i="30"/>
  <c r="I115" i="30"/>
  <c r="G115" i="30" s="1"/>
  <c r="L134" i="30"/>
  <c r="E134" i="30"/>
  <c r="Q134" i="30"/>
  <c r="Q133" i="30" s="1"/>
  <c r="G148" i="30"/>
  <c r="G243" i="30"/>
  <c r="G221" i="30" s="1"/>
  <c r="H247" i="30"/>
  <c r="L247" i="30"/>
  <c r="P247" i="30"/>
  <c r="G327" i="30"/>
  <c r="I333" i="30"/>
  <c r="G365" i="30"/>
  <c r="G399" i="30"/>
  <c r="H413" i="30"/>
  <c r="L413" i="30"/>
  <c r="P413" i="30"/>
  <c r="G426" i="30"/>
  <c r="G413" i="30" s="1"/>
  <c r="G432" i="30"/>
  <c r="K435" i="30"/>
  <c r="K434" i="30" s="1"/>
  <c r="O435" i="30"/>
  <c r="O434" i="30" s="1"/>
  <c r="G483" i="30"/>
  <c r="G487" i="30"/>
  <c r="G501" i="30"/>
  <c r="N486" i="30"/>
  <c r="N485" i="30" s="1"/>
  <c r="G539" i="30"/>
  <c r="G197" i="30"/>
  <c r="I186" i="30"/>
  <c r="G186" i="30" s="1"/>
  <c r="M262" i="30"/>
  <c r="F265" i="30"/>
  <c r="F262" i="30" s="1"/>
  <c r="G477" i="30"/>
  <c r="I474" i="30"/>
  <c r="G26" i="30"/>
  <c r="J133" i="30"/>
  <c r="G149" i="30"/>
  <c r="G187" i="30"/>
  <c r="E221" i="30"/>
  <c r="N222" i="30"/>
  <c r="N221" i="30" s="1"/>
  <c r="K247" i="30"/>
  <c r="K220" i="30" s="1"/>
  <c r="K219" i="30" s="1"/>
  <c r="K541" i="30" s="1"/>
  <c r="O247" i="30"/>
  <c r="O220" i="30" s="1"/>
  <c r="G333" i="30"/>
  <c r="G371" i="30"/>
  <c r="I435" i="30"/>
  <c r="G475" i="30"/>
  <c r="L485" i="30"/>
  <c r="M549" i="30"/>
  <c r="F251" i="30"/>
  <c r="F248" i="30" s="1"/>
  <c r="M546" i="30"/>
  <c r="G251" i="30"/>
  <c r="R293" i="30"/>
  <c r="S293" i="30" s="1"/>
  <c r="M293" i="30"/>
  <c r="F444" i="30"/>
  <c r="F441" i="30" s="1"/>
  <c r="F435" i="30" s="1"/>
  <c r="F434" i="30" s="1"/>
  <c r="P441" i="30"/>
  <c r="P435" i="30" s="1"/>
  <c r="P434" i="30" s="1"/>
  <c r="G444" i="30"/>
  <c r="G441" i="30" s="1"/>
  <c r="N8" i="30"/>
  <c r="N7" i="30" s="1"/>
  <c r="J8" i="30"/>
  <c r="J7" i="30" s="1"/>
  <c r="J6" i="30" s="1"/>
  <c r="J210" i="30" s="1"/>
  <c r="Q8" i="30"/>
  <c r="Q7" i="30" s="1"/>
  <c r="Q6" i="30" s="1"/>
  <c r="Q210" i="30" s="1"/>
  <c r="G74" i="30"/>
  <c r="F126" i="30"/>
  <c r="F127" i="30"/>
  <c r="H134" i="30"/>
  <c r="O133" i="30"/>
  <c r="O6" i="30" s="1"/>
  <c r="O210" i="30" s="1"/>
  <c r="G139" i="30"/>
  <c r="G134" i="30" s="1"/>
  <c r="G142" i="30"/>
  <c r="N141" i="30"/>
  <c r="N133" i="30" s="1"/>
  <c r="I151" i="30"/>
  <c r="E151" i="30"/>
  <c r="L151" i="30"/>
  <c r="I221" i="30"/>
  <c r="M221" i="30"/>
  <c r="Q221" i="30"/>
  <c r="Q220" i="30" s="1"/>
  <c r="Q219" i="30" s="1"/>
  <c r="Q541" i="30" s="1"/>
  <c r="G312" i="30"/>
  <c r="G323" i="30"/>
  <c r="N333" i="30"/>
  <c r="I361" i="30"/>
  <c r="G361" i="30" s="1"/>
  <c r="L361" i="30"/>
  <c r="G379" i="30"/>
  <c r="G374" i="30" s="1"/>
  <c r="G461" i="30"/>
  <c r="N474" i="30"/>
  <c r="N434" i="30" s="1"/>
  <c r="G174" i="30"/>
  <c r="I163" i="30"/>
  <c r="G530" i="30"/>
  <c r="I515" i="30"/>
  <c r="G515" i="30" s="1"/>
  <c r="F86" i="30"/>
  <c r="F7" i="30" s="1"/>
  <c r="H221" i="30"/>
  <c r="H220" i="30" s="1"/>
  <c r="H219" i="30" s="1"/>
  <c r="G248" i="30"/>
  <c r="E434" i="30"/>
  <c r="L434" i="30"/>
  <c r="G482" i="30"/>
  <c r="I134" i="30"/>
  <c r="I133" i="30" s="1"/>
  <c r="M275" i="30"/>
  <c r="M283" i="30"/>
  <c r="F90" i="29"/>
  <c r="D89" i="29"/>
  <c r="F97" i="29"/>
  <c r="D124" i="29"/>
  <c r="D123" i="29" s="1"/>
  <c r="L418" i="29"/>
  <c r="L417" i="29" s="1"/>
  <c r="F430" i="29"/>
  <c r="J418" i="29"/>
  <c r="J417" i="29" s="1"/>
  <c r="N405" i="29"/>
  <c r="J221" i="29"/>
  <c r="N283" i="29"/>
  <c r="G276" i="29"/>
  <c r="N275" i="29"/>
  <c r="N267" i="29"/>
  <c r="G263" i="29"/>
  <c r="N266" i="29"/>
  <c r="M222" i="29"/>
  <c r="N226" i="29"/>
  <c r="G225" i="29"/>
  <c r="N224" i="29"/>
  <c r="G223" i="29"/>
  <c r="N125" i="29"/>
  <c r="M89" i="29"/>
  <c r="M10" i="29" s="1"/>
  <c r="N113" i="29"/>
  <c r="N114" i="29"/>
  <c r="N98" i="29"/>
  <c r="D418" i="29"/>
  <c r="D417" i="29" s="1"/>
  <c r="N375" i="29"/>
  <c r="N290" i="29"/>
  <c r="N243" i="29"/>
  <c r="D225" i="29"/>
  <c r="D223" i="29"/>
  <c r="N139" i="29"/>
  <c r="D135" i="29"/>
  <c r="D134" i="29" s="1"/>
  <c r="F424" i="29"/>
  <c r="F418" i="29" s="1"/>
  <c r="F417" i="29" s="1"/>
  <c r="N402" i="29"/>
  <c r="E357" i="29"/>
  <c r="N291" i="29"/>
  <c r="N285" i="29"/>
  <c r="N270" i="29"/>
  <c r="N268" i="29"/>
  <c r="F263" i="29"/>
  <c r="N263" i="29" s="1"/>
  <c r="F225" i="29"/>
  <c r="F223" i="29"/>
  <c r="N133" i="29"/>
  <c r="E89" i="29"/>
  <c r="M135" i="29"/>
  <c r="M134" i="29" s="1"/>
  <c r="G138" i="29"/>
  <c r="G97" i="29"/>
  <c r="N138" i="29"/>
  <c r="E134" i="29"/>
  <c r="E135" i="29"/>
  <c r="F124" i="29"/>
  <c r="F123" i="29" s="1"/>
  <c r="N100" i="29"/>
  <c r="N99" i="29"/>
  <c r="N227" i="29"/>
  <c r="N234" i="29"/>
  <c r="E222" i="29"/>
  <c r="N239" i="29"/>
  <c r="N250" i="29"/>
  <c r="N258" i="29"/>
  <c r="N265" i="29"/>
  <c r="E248" i="29"/>
  <c r="N282" i="29"/>
  <c r="N280" i="29"/>
  <c r="N294" i="29"/>
  <c r="N322" i="29"/>
  <c r="N317" i="29"/>
  <c r="E396" i="29"/>
  <c r="N419" i="29"/>
  <c r="N427" i="29"/>
  <c r="N426" i="29"/>
  <c r="N428" i="29"/>
  <c r="N430" i="29"/>
  <c r="H248" i="29"/>
  <c r="G424" i="29"/>
  <c r="G404" i="29"/>
  <c r="G400" i="29"/>
  <c r="M396" i="29"/>
  <c r="G396" i="29" s="1"/>
  <c r="G374" i="29"/>
  <c r="N374" i="29" s="1"/>
  <c r="G287" i="29"/>
  <c r="N289" i="29"/>
  <c r="G284" i="29"/>
  <c r="N279" i="29"/>
  <c r="N269" i="29"/>
  <c r="M248" i="29"/>
  <c r="K248" i="29"/>
  <c r="G257" i="29"/>
  <c r="N257" i="29" s="1"/>
  <c r="G242" i="29"/>
  <c r="N242" i="29" s="1"/>
  <c r="N241" i="29"/>
  <c r="G231" i="29"/>
  <c r="K222" i="29"/>
  <c r="G119" i="29"/>
  <c r="N119" i="29" s="1"/>
  <c r="J118" i="29"/>
  <c r="I11" i="29"/>
  <c r="I10" i="29" s="1"/>
  <c r="G64" i="29"/>
  <c r="N64" i="29" s="1"/>
  <c r="G69" i="29"/>
  <c r="N69" i="29" s="1"/>
  <c r="K89" i="29"/>
  <c r="G124" i="29"/>
  <c r="K142" i="29"/>
  <c r="K152" i="29"/>
  <c r="G152" i="29" s="1"/>
  <c r="N152" i="29" s="1"/>
  <c r="E187" i="29"/>
  <c r="E163" i="29" s="1"/>
  <c r="E536" i="29" s="1"/>
  <c r="E538" i="29" s="1"/>
  <c r="F284" i="29"/>
  <c r="F400" i="29"/>
  <c r="M417" i="29"/>
  <c r="H163" i="29"/>
  <c r="G86" i="29"/>
  <c r="N86" i="29" s="1"/>
  <c r="H77" i="29"/>
  <c r="G102" i="29"/>
  <c r="N102" i="29" s="1"/>
  <c r="H89" i="29"/>
  <c r="G90" i="29"/>
  <c r="N90" i="29" s="1"/>
  <c r="J89" i="29"/>
  <c r="G140" i="29"/>
  <c r="N140" i="29" s="1"/>
  <c r="I135" i="29"/>
  <c r="G150" i="29"/>
  <c r="N150" i="29" s="1"/>
  <c r="I149" i="29"/>
  <c r="G149" i="29" s="1"/>
  <c r="N149" i="29" s="1"/>
  <c r="G188" i="29"/>
  <c r="N188" i="29" s="1"/>
  <c r="I187" i="29"/>
  <c r="G187" i="29" s="1"/>
  <c r="N187" i="29" s="1"/>
  <c r="G12" i="29"/>
  <c r="N12" i="29" s="1"/>
  <c r="G42" i="29"/>
  <c r="N42" i="29" s="1"/>
  <c r="L89" i="29"/>
  <c r="L10" i="29" s="1"/>
  <c r="G123" i="29"/>
  <c r="G127" i="29"/>
  <c r="N127" i="29" s="1"/>
  <c r="G128" i="29"/>
  <c r="N128" i="29" s="1"/>
  <c r="F63" i="29"/>
  <c r="K77" i="29"/>
  <c r="G118" i="29"/>
  <c r="N118" i="29" s="1"/>
  <c r="J135" i="29"/>
  <c r="J134" i="29" s="1"/>
  <c r="F163" i="29"/>
  <c r="L221" i="29"/>
  <c r="N286" i="29"/>
  <c r="G297" i="29"/>
  <c r="N297" i="29" s="1"/>
  <c r="G78" i="29"/>
  <c r="N78" i="29" s="1"/>
  <c r="J77" i="29"/>
  <c r="N252" i="29"/>
  <c r="E417" i="29"/>
  <c r="L539" i="29"/>
  <c r="H222" i="29"/>
  <c r="F240" i="29"/>
  <c r="N240" i="29" s="1"/>
  <c r="G249" i="29"/>
  <c r="F251" i="29"/>
  <c r="F249" i="29" s="1"/>
  <c r="F276" i="29"/>
  <c r="D284" i="29"/>
  <c r="H316" i="29"/>
  <c r="G316" i="29" s="1"/>
  <c r="N316" i="29" s="1"/>
  <c r="G345" i="29"/>
  <c r="N345" i="29" s="1"/>
  <c r="H377" i="29"/>
  <c r="G377" i="29" s="1"/>
  <c r="N377" i="29" s="1"/>
  <c r="H418" i="29"/>
  <c r="I441" i="29"/>
  <c r="I417" i="29" s="1"/>
  <c r="H469" i="29"/>
  <c r="F231" i="29"/>
  <c r="I248" i="29"/>
  <c r="D287" i="29"/>
  <c r="F295" i="29"/>
  <c r="N295" i="29" s="1"/>
  <c r="I344" i="29"/>
  <c r="G344" i="29" s="1"/>
  <c r="N344" i="29" s="1"/>
  <c r="G362" i="29"/>
  <c r="N362" i="29" s="1"/>
  <c r="G397" i="29"/>
  <c r="N397" i="29" s="1"/>
  <c r="N399" i="29"/>
  <c r="F404" i="29"/>
  <c r="G455" i="29"/>
  <c r="N455" i="29" s="1"/>
  <c r="G458" i="29"/>
  <c r="N458" i="29" s="1"/>
  <c r="G444" i="28"/>
  <c r="G441" i="28" s="1"/>
  <c r="P441" i="28"/>
  <c r="P435" i="28" s="1"/>
  <c r="P434" i="28" s="1"/>
  <c r="F265" i="28"/>
  <c r="F262" i="28" s="1"/>
  <c r="M262" i="28"/>
  <c r="F275" i="28"/>
  <c r="F251" i="28"/>
  <c r="F248" i="28" s="1"/>
  <c r="G9" i="28"/>
  <c r="N8" i="28"/>
  <c r="E8" i="28"/>
  <c r="G42" i="28"/>
  <c r="G61" i="28"/>
  <c r="I74" i="28"/>
  <c r="E74" i="28"/>
  <c r="N74" i="28"/>
  <c r="G123" i="28"/>
  <c r="G122" i="28" s="1"/>
  <c r="G120" i="28" s="1"/>
  <c r="N134" i="28"/>
  <c r="E151" i="28"/>
  <c r="E162" i="28"/>
  <c r="H221" i="28"/>
  <c r="H220" i="28" s="1"/>
  <c r="H219" i="28" s="1"/>
  <c r="L221" i="28"/>
  <c r="Q221" i="28"/>
  <c r="H247" i="28"/>
  <c r="L247" i="28"/>
  <c r="G256" i="28"/>
  <c r="F303" i="28"/>
  <c r="G315" i="28"/>
  <c r="G334" i="28"/>
  <c r="E333" i="28"/>
  <c r="G368" i="28"/>
  <c r="J374" i="28"/>
  <c r="G388" i="28"/>
  <c r="G395" i="28"/>
  <c r="H435" i="28"/>
  <c r="H434" i="28" s="1"/>
  <c r="L435" i="28"/>
  <c r="K435" i="28"/>
  <c r="K434" i="28" s="1"/>
  <c r="O435" i="28"/>
  <c r="F441" i="28"/>
  <c r="G475" i="28"/>
  <c r="G513" i="28"/>
  <c r="G60" i="28"/>
  <c r="G94" i="28"/>
  <c r="L141" i="28"/>
  <c r="L151" i="28"/>
  <c r="G385" i="28"/>
  <c r="J394" i="28"/>
  <c r="N394" i="28"/>
  <c r="G32" i="28"/>
  <c r="G53" i="28"/>
  <c r="G99" i="28"/>
  <c r="G118" i="28"/>
  <c r="F126" i="28"/>
  <c r="Q134" i="28"/>
  <c r="G144" i="28"/>
  <c r="G154" i="28"/>
  <c r="G197" i="28"/>
  <c r="M300" i="28"/>
  <c r="F300" i="28" s="1"/>
  <c r="E314" i="28"/>
  <c r="G391" i="28"/>
  <c r="K413" i="28"/>
  <c r="I413" i="28"/>
  <c r="Q413" i="28"/>
  <c r="G472" i="28"/>
  <c r="J482" i="28"/>
  <c r="G482" i="28" s="1"/>
  <c r="G501" i="28"/>
  <c r="L486" i="28"/>
  <c r="L485" i="28" s="1"/>
  <c r="N515" i="28"/>
  <c r="O515" i="28"/>
  <c r="O134" i="28"/>
  <c r="O133" i="28" s="1"/>
  <c r="N186" i="28"/>
  <c r="I221" i="28"/>
  <c r="G248" i="28"/>
  <c r="E434" i="28"/>
  <c r="G436" i="28"/>
  <c r="O458" i="28"/>
  <c r="Q486" i="28"/>
  <c r="N133" i="28"/>
  <c r="E485" i="28"/>
  <c r="J162" i="28"/>
  <c r="M86" i="28"/>
  <c r="M7" i="28" s="1"/>
  <c r="M6" i="28" s="1"/>
  <c r="M210" i="28" s="1"/>
  <c r="N333" i="28"/>
  <c r="I474" i="28"/>
  <c r="G19" i="28"/>
  <c r="J8" i="28"/>
  <c r="K86" i="28"/>
  <c r="K7" i="28" s="1"/>
  <c r="P86" i="28"/>
  <c r="P7" i="28" s="1"/>
  <c r="P6" i="28" s="1"/>
  <c r="P210" i="28" s="1"/>
  <c r="G26" i="28"/>
  <c r="L74" i="28"/>
  <c r="E86" i="28"/>
  <c r="E7" i="28" s="1"/>
  <c r="G113" i="28"/>
  <c r="E115" i="28"/>
  <c r="F123" i="28"/>
  <c r="G139" i="28"/>
  <c r="G146" i="28"/>
  <c r="G148" i="28"/>
  <c r="G164" i="28"/>
  <c r="N163" i="28"/>
  <c r="E221" i="28"/>
  <c r="K247" i="28"/>
  <c r="J247" i="28"/>
  <c r="G264" i="28"/>
  <c r="G262" i="28" s="1"/>
  <c r="F313" i="28"/>
  <c r="G327" i="28"/>
  <c r="G331" i="28"/>
  <c r="I361" i="28"/>
  <c r="L361" i="28"/>
  <c r="E374" i="28"/>
  <c r="L374" i="28"/>
  <c r="Q374" i="28"/>
  <c r="L394" i="28"/>
  <c r="G452" i="28"/>
  <c r="G459" i="28"/>
  <c r="G461" i="28"/>
  <c r="G511" i="28"/>
  <c r="N486" i="28"/>
  <c r="N485" i="28" s="1"/>
  <c r="G530" i="28"/>
  <c r="Q515" i="28"/>
  <c r="Q485" i="28" s="1"/>
  <c r="Q86" i="28"/>
  <c r="J333" i="28"/>
  <c r="Q8" i="28"/>
  <c r="G75" i="28"/>
  <c r="H86" i="28"/>
  <c r="L86" i="28"/>
  <c r="I8" i="28"/>
  <c r="O8" i="28"/>
  <c r="G39" i="28"/>
  <c r="G83" i="28"/>
  <c r="J86" i="28"/>
  <c r="N86" i="28"/>
  <c r="G87" i="28"/>
  <c r="G116" i="28"/>
  <c r="Q115" i="28"/>
  <c r="G142" i="28"/>
  <c r="G149" i="28"/>
  <c r="G228" i="28"/>
  <c r="F230" i="28"/>
  <c r="F221" i="28" s="1"/>
  <c r="G275" i="28"/>
  <c r="G312" i="28"/>
  <c r="I314" i="28"/>
  <c r="O314" i="28"/>
  <c r="O333" i="28"/>
  <c r="G365" i="28"/>
  <c r="Q361" i="28"/>
  <c r="G382" i="28"/>
  <c r="I394" i="28"/>
  <c r="O394" i="28"/>
  <c r="H413" i="28"/>
  <c r="L413" i="28"/>
  <c r="P413" i="28"/>
  <c r="G414" i="28"/>
  <c r="G426" i="28"/>
  <c r="G432" i="28"/>
  <c r="G454" i="28"/>
  <c r="N458" i="28"/>
  <c r="N434" i="28" s="1"/>
  <c r="I471" i="28"/>
  <c r="G471" i="28" s="1"/>
  <c r="G477" i="28"/>
  <c r="Q474" i="28"/>
  <c r="Q434" i="28" s="1"/>
  <c r="G487" i="28"/>
  <c r="G539" i="28"/>
  <c r="L8" i="28"/>
  <c r="G8" i="28" s="1"/>
  <c r="I86" i="28"/>
  <c r="I7" i="28" s="1"/>
  <c r="E141" i="28"/>
  <c r="E133" i="28" s="1"/>
  <c r="G163" i="28"/>
  <c r="G399" i="28"/>
  <c r="O413" i="28"/>
  <c r="O474" i="28"/>
  <c r="O434" i="28" s="1"/>
  <c r="O486" i="28"/>
  <c r="O485" i="28" s="1"/>
  <c r="L115" i="28"/>
  <c r="F127" i="28"/>
  <c r="K134" i="28"/>
  <c r="G135" i="28"/>
  <c r="G134" i="28" s="1"/>
  <c r="J141" i="28"/>
  <c r="Q141" i="28"/>
  <c r="G160" i="28"/>
  <c r="Q151" i="28"/>
  <c r="G187" i="28"/>
  <c r="P221" i="28"/>
  <c r="G223" i="28"/>
  <c r="G222" i="28" s="1"/>
  <c r="K221" i="28"/>
  <c r="K220" i="28" s="1"/>
  <c r="K219" i="28" s="1"/>
  <c r="K541" i="28" s="1"/>
  <c r="O221" i="28"/>
  <c r="G245" i="28"/>
  <c r="M546" i="28"/>
  <c r="P546" i="28" s="1"/>
  <c r="G287" i="28"/>
  <c r="P247" i="28"/>
  <c r="J314" i="28"/>
  <c r="Q314" i="28"/>
  <c r="G344" i="28"/>
  <c r="G357" i="28"/>
  <c r="E361" i="28"/>
  <c r="F413" i="28"/>
  <c r="L434" i="28"/>
  <c r="F435" i="28"/>
  <c r="F434" i="28" s="1"/>
  <c r="G509" i="28"/>
  <c r="N546" i="28"/>
  <c r="R293" i="28"/>
  <c r="S293" i="28" s="1"/>
  <c r="M293" i="28"/>
  <c r="N162" i="28"/>
  <c r="O247" i="28"/>
  <c r="N247" i="28"/>
  <c r="N220" i="28" s="1"/>
  <c r="N219" i="28" s="1"/>
  <c r="N541" i="28" s="1"/>
  <c r="G186" i="28"/>
  <c r="L7" i="28"/>
  <c r="N7" i="28"/>
  <c r="L220" i="28"/>
  <c r="G458" i="28"/>
  <c r="G78" i="28"/>
  <c r="M549" i="28"/>
  <c r="J115" i="28"/>
  <c r="G115" i="28" s="1"/>
  <c r="H122" i="28"/>
  <c r="I134" i="28"/>
  <c r="I133" i="28" s="1"/>
  <c r="M283" i="28"/>
  <c r="G285" i="28"/>
  <c r="G283" i="28" s="1"/>
  <c r="F295" i="28"/>
  <c r="F294" i="28" s="1"/>
  <c r="I374" i="28"/>
  <c r="J474" i="28"/>
  <c r="J434" i="28" s="1"/>
  <c r="G479" i="28"/>
  <c r="I486" i="28"/>
  <c r="J515" i="28"/>
  <c r="J151" i="28"/>
  <c r="J361" i="28"/>
  <c r="I8" i="27"/>
  <c r="G8" i="27" s="1"/>
  <c r="O8" i="27"/>
  <c r="G42" i="27"/>
  <c r="G66" i="27"/>
  <c r="G94" i="27"/>
  <c r="G123" i="27"/>
  <c r="G122" i="27" s="1"/>
  <c r="G120" i="27" s="1"/>
  <c r="H133" i="27"/>
  <c r="H6" i="27" s="1"/>
  <c r="H210" i="27" s="1"/>
  <c r="G135" i="27"/>
  <c r="G134" i="27" s="1"/>
  <c r="J151" i="27"/>
  <c r="Q151" i="27"/>
  <c r="L163" i="27"/>
  <c r="O186" i="27"/>
  <c r="L220" i="27"/>
  <c r="P220" i="27"/>
  <c r="G248" i="27"/>
  <c r="N314" i="27"/>
  <c r="G331" i="27"/>
  <c r="Q374" i="27"/>
  <c r="J394" i="27"/>
  <c r="Q394" i="27"/>
  <c r="Q458" i="27"/>
  <c r="Q434" i="27" s="1"/>
  <c r="G482" i="27"/>
  <c r="N485" i="27"/>
  <c r="E8" i="27"/>
  <c r="G113" i="27"/>
  <c r="N134" i="27"/>
  <c r="E186" i="27"/>
  <c r="G333" i="27"/>
  <c r="J361" i="27"/>
  <c r="G361" i="27" s="1"/>
  <c r="G385" i="27"/>
  <c r="O434" i="27"/>
  <c r="F441" i="27"/>
  <c r="G459" i="27"/>
  <c r="I474" i="27"/>
  <c r="I434" i="27" s="1"/>
  <c r="G479" i="27"/>
  <c r="G483" i="27"/>
  <c r="L486" i="27"/>
  <c r="L485" i="27" s="1"/>
  <c r="F262" i="27"/>
  <c r="L8" i="27"/>
  <c r="G32" i="27"/>
  <c r="G60" i="27"/>
  <c r="I74" i="27"/>
  <c r="G74" i="27" s="1"/>
  <c r="G75" i="27"/>
  <c r="L133" i="27"/>
  <c r="J141" i="27"/>
  <c r="Q141" i="27"/>
  <c r="N151" i="27"/>
  <c r="O163" i="27"/>
  <c r="L186" i="27"/>
  <c r="G228" i="27"/>
  <c r="G243" i="27"/>
  <c r="F294" i="27"/>
  <c r="J314" i="27"/>
  <c r="Q314" i="27"/>
  <c r="Q220" i="27" s="1"/>
  <c r="N394" i="27"/>
  <c r="N458" i="27"/>
  <c r="G471" i="27"/>
  <c r="J8" i="27"/>
  <c r="J7" i="27" s="1"/>
  <c r="G53" i="27"/>
  <c r="G61" i="27"/>
  <c r="Q133" i="27"/>
  <c r="J134" i="27"/>
  <c r="E163" i="27"/>
  <c r="G230" i="27"/>
  <c r="O247" i="27"/>
  <c r="G368" i="27"/>
  <c r="I374" i="27"/>
  <c r="I220" i="27" s="1"/>
  <c r="O374" i="27"/>
  <c r="G395" i="27"/>
  <c r="F413" i="27"/>
  <c r="G436" i="27"/>
  <c r="G441" i="27"/>
  <c r="G469" i="27"/>
  <c r="G472" i="27"/>
  <c r="L474" i="27"/>
  <c r="L434" i="27" s="1"/>
  <c r="G501" i="27"/>
  <c r="O486" i="27"/>
  <c r="O485" i="27" s="1"/>
  <c r="G513" i="27"/>
  <c r="Q486" i="27"/>
  <c r="Q485" i="27" s="1"/>
  <c r="F283" i="27"/>
  <c r="G312" i="27"/>
  <c r="G264" i="27"/>
  <c r="G262" i="27" s="1"/>
  <c r="G287" i="27"/>
  <c r="M283" i="27"/>
  <c r="G285" i="27"/>
  <c r="G283" i="27" s="1"/>
  <c r="G313" i="27"/>
  <c r="M546" i="27"/>
  <c r="N546" i="27" s="1"/>
  <c r="O7" i="27"/>
  <c r="O6" i="27" s="1"/>
  <c r="E7" i="27"/>
  <c r="M7" i="27"/>
  <c r="M6" i="27" s="1"/>
  <c r="M210" i="27" s="1"/>
  <c r="N434" i="27"/>
  <c r="P219" i="27"/>
  <c r="P541" i="27" s="1"/>
  <c r="P543" i="27" s="1"/>
  <c r="F435" i="27"/>
  <c r="F434" i="27" s="1"/>
  <c r="Q7" i="27"/>
  <c r="L7" i="27"/>
  <c r="O162" i="27"/>
  <c r="H220" i="27"/>
  <c r="H219" i="27" s="1"/>
  <c r="K220" i="27"/>
  <c r="K219" i="27" s="1"/>
  <c r="K541" i="27" s="1"/>
  <c r="N247" i="27"/>
  <c r="F303" i="27"/>
  <c r="G413" i="27"/>
  <c r="G515" i="27"/>
  <c r="G17" i="27"/>
  <c r="K126" i="27"/>
  <c r="F126" i="27" s="1"/>
  <c r="I163" i="27"/>
  <c r="I186" i="27"/>
  <c r="G223" i="27"/>
  <c r="G222" i="27" s="1"/>
  <c r="N224" i="27"/>
  <c r="N221" i="27" s="1"/>
  <c r="M293" i="27"/>
  <c r="G379" i="27"/>
  <c r="G374" i="27" s="1"/>
  <c r="J458" i="27"/>
  <c r="J434" i="27" s="1"/>
  <c r="G399" i="27"/>
  <c r="J486" i="27"/>
  <c r="J485" i="27" s="1"/>
  <c r="I115" i="27"/>
  <c r="G115" i="27" s="1"/>
  <c r="K122" i="27"/>
  <c r="I486" i="27"/>
  <c r="M301" i="26"/>
  <c r="M295" i="26"/>
  <c r="M546" i="26"/>
  <c r="P546" i="26" s="1"/>
  <c r="G361" i="28" l="1"/>
  <c r="O220" i="28"/>
  <c r="G333" i="28"/>
  <c r="L133" i="28"/>
  <c r="G151" i="28"/>
  <c r="G162" i="28"/>
  <c r="Q220" i="28"/>
  <c r="Q219" i="28" s="1"/>
  <c r="Q541" i="28" s="1"/>
  <c r="G413" i="28"/>
  <c r="H134" i="29"/>
  <c r="O219" i="30"/>
  <c r="O541" i="30" s="1"/>
  <c r="O547" i="30" s="1"/>
  <c r="M538" i="29"/>
  <c r="O7" i="28"/>
  <c r="O6" i="28" s="1"/>
  <c r="O210" i="28" s="1"/>
  <c r="L9" i="29"/>
  <c r="G141" i="27"/>
  <c r="G141" i="30"/>
  <c r="J434" i="30"/>
  <c r="E220" i="30"/>
  <c r="L219" i="28"/>
  <c r="L541" i="28" s="1"/>
  <c r="G435" i="28"/>
  <c r="E6" i="27"/>
  <c r="I220" i="28"/>
  <c r="G394" i="28"/>
  <c r="F133" i="27"/>
  <c r="J220" i="27"/>
  <c r="N6" i="28"/>
  <c r="G374" i="28"/>
  <c r="P220" i="30"/>
  <c r="P219" i="30" s="1"/>
  <c r="P541" i="30" s="1"/>
  <c r="J220" i="30"/>
  <c r="J219" i="30" s="1"/>
  <c r="J541" i="30" s="1"/>
  <c r="K163" i="29"/>
  <c r="K536" i="29" s="1"/>
  <c r="K539" i="29" s="1"/>
  <c r="G86" i="28"/>
  <c r="E10" i="29"/>
  <c r="L6" i="27"/>
  <c r="E220" i="28"/>
  <c r="E219" i="28" s="1"/>
  <c r="E541" i="28" s="1"/>
  <c r="N400" i="29"/>
  <c r="I434" i="30"/>
  <c r="G63" i="29"/>
  <c r="N63" i="29" s="1"/>
  <c r="F220" i="34"/>
  <c r="N221" i="34"/>
  <c r="J538" i="29"/>
  <c r="J539" i="29"/>
  <c r="G135" i="29"/>
  <c r="N135" i="29" s="1"/>
  <c r="M9" i="29"/>
  <c r="M211" i="29" s="1"/>
  <c r="G457" i="29"/>
  <c r="N457" i="29" s="1"/>
  <c r="K134" i="29"/>
  <c r="J10" i="29"/>
  <c r="J9" i="29" s="1"/>
  <c r="J211" i="29" s="1"/>
  <c r="Q6" i="27"/>
  <c r="Q210" i="27" s="1"/>
  <c r="L219" i="27"/>
  <c r="L541" i="27" s="1"/>
  <c r="N133" i="27"/>
  <c r="N7" i="27"/>
  <c r="O220" i="27"/>
  <c r="O219" i="27" s="1"/>
  <c r="O541" i="27" s="1"/>
  <c r="E219" i="27"/>
  <c r="E541" i="27" s="1"/>
  <c r="N220" i="27"/>
  <c r="N219" i="27" s="1"/>
  <c r="N541" i="27" s="1"/>
  <c r="G314" i="27"/>
  <c r="E162" i="27"/>
  <c r="E210" i="27" s="1"/>
  <c r="N6" i="27"/>
  <c r="N210" i="27" s="1"/>
  <c r="G394" i="27"/>
  <c r="G186" i="27"/>
  <c r="G86" i="27"/>
  <c r="M547" i="35"/>
  <c r="M543" i="35"/>
  <c r="G535" i="34"/>
  <c r="G534" i="34"/>
  <c r="G541" i="34"/>
  <c r="N211" i="34"/>
  <c r="G540" i="34"/>
  <c r="F543" i="33"/>
  <c r="F547" i="33"/>
  <c r="F549" i="33"/>
  <c r="M541" i="33"/>
  <c r="R219" i="33"/>
  <c r="M541" i="31"/>
  <c r="S219" i="31"/>
  <c r="F543" i="31"/>
  <c r="F549" i="31"/>
  <c r="O543" i="30"/>
  <c r="P547" i="30"/>
  <c r="P543" i="30"/>
  <c r="K543" i="30"/>
  <c r="K547" i="30"/>
  <c r="H541" i="30"/>
  <c r="F134" i="30"/>
  <c r="H133" i="30"/>
  <c r="I7" i="30"/>
  <c r="I6" i="30" s="1"/>
  <c r="G8" i="30"/>
  <c r="G7" i="30" s="1"/>
  <c r="E219" i="30"/>
  <c r="E541" i="30" s="1"/>
  <c r="E133" i="30"/>
  <c r="E6" i="30" s="1"/>
  <c r="E210" i="30" s="1"/>
  <c r="I220" i="30"/>
  <c r="N220" i="30"/>
  <c r="N219" i="30" s="1"/>
  <c r="N541" i="30" s="1"/>
  <c r="L220" i="30"/>
  <c r="L219" i="30" s="1"/>
  <c r="L541" i="30" s="1"/>
  <c r="G486" i="30"/>
  <c r="G163" i="30"/>
  <c r="I162" i="30"/>
  <c r="G162" i="30" s="1"/>
  <c r="G293" i="30"/>
  <c r="G286" i="30" s="1"/>
  <c r="G247" i="30" s="1"/>
  <c r="G220" i="30" s="1"/>
  <c r="F293" i="30"/>
  <c r="F286" i="30" s="1"/>
  <c r="F247" i="30" s="1"/>
  <c r="F220" i="30" s="1"/>
  <c r="M286" i="30"/>
  <c r="R286" i="30" s="1"/>
  <c r="G151" i="30"/>
  <c r="G133" i="30" s="1"/>
  <c r="N6" i="30"/>
  <c r="N210" i="30" s="1"/>
  <c r="I485" i="30"/>
  <c r="G485" i="30" s="1"/>
  <c r="J547" i="30"/>
  <c r="J543" i="30"/>
  <c r="N546" i="30"/>
  <c r="P546" i="30"/>
  <c r="G474" i="30"/>
  <c r="G434" i="30" s="1"/>
  <c r="L133" i="30"/>
  <c r="L6" i="30" s="1"/>
  <c r="L210" i="30" s="1"/>
  <c r="L547" i="30" s="1"/>
  <c r="F89" i="29"/>
  <c r="F10" i="29" s="1"/>
  <c r="F9" i="29" s="1"/>
  <c r="F211" i="29" s="1"/>
  <c r="N97" i="29"/>
  <c r="D10" i="29"/>
  <c r="D9" i="29" s="1"/>
  <c r="D211" i="29" s="1"/>
  <c r="L220" i="29"/>
  <c r="L524" i="29" s="1"/>
  <c r="J220" i="29"/>
  <c r="N404" i="29"/>
  <c r="N276" i="29"/>
  <c r="M221" i="29"/>
  <c r="M220" i="29" s="1"/>
  <c r="M533" i="29" s="1"/>
  <c r="M535" i="29" s="1"/>
  <c r="N231" i="29"/>
  <c r="M532" i="29"/>
  <c r="D248" i="29"/>
  <c r="D222" i="29"/>
  <c r="N223" i="29"/>
  <c r="N123" i="29"/>
  <c r="N424" i="29"/>
  <c r="N225" i="29"/>
  <c r="E9" i="29"/>
  <c r="E532" i="29" s="1"/>
  <c r="N124" i="29"/>
  <c r="K10" i="29"/>
  <c r="K9" i="29" s="1"/>
  <c r="K211" i="29" s="1"/>
  <c r="E221" i="29"/>
  <c r="E220" i="29" s="1"/>
  <c r="N284" i="29"/>
  <c r="G248" i="29"/>
  <c r="K221" i="29"/>
  <c r="K220" i="29" s="1"/>
  <c r="K533" i="29" s="1"/>
  <c r="L532" i="29"/>
  <c r="L211" i="29"/>
  <c r="J532" i="29"/>
  <c r="H417" i="29"/>
  <c r="G417" i="29" s="1"/>
  <c r="N417" i="29" s="1"/>
  <c r="G418" i="29"/>
  <c r="N418" i="29" s="1"/>
  <c r="G441" i="29"/>
  <c r="N441" i="29" s="1"/>
  <c r="I221" i="29"/>
  <c r="I220" i="29" s="1"/>
  <c r="F287" i="29"/>
  <c r="N287" i="29" s="1"/>
  <c r="N251" i="29"/>
  <c r="I163" i="29"/>
  <c r="I536" i="29" s="1"/>
  <c r="G11" i="29"/>
  <c r="N11" i="29" s="1"/>
  <c r="N249" i="29"/>
  <c r="F396" i="29"/>
  <c r="N396" i="29" s="1"/>
  <c r="F222" i="29"/>
  <c r="I134" i="29"/>
  <c r="I9" i="29" s="1"/>
  <c r="G134" i="29"/>
  <c r="N134" i="29" s="1"/>
  <c r="G77" i="29"/>
  <c r="N77" i="29" s="1"/>
  <c r="H10" i="29"/>
  <c r="H468" i="29"/>
  <c r="G469" i="29"/>
  <c r="N469" i="29" s="1"/>
  <c r="H536" i="29"/>
  <c r="G163" i="29"/>
  <c r="N163" i="29" s="1"/>
  <c r="H221" i="29"/>
  <c r="G222" i="29"/>
  <c r="G89" i="29"/>
  <c r="N89" i="29" s="1"/>
  <c r="E539" i="29"/>
  <c r="L6" i="28"/>
  <c r="L210" i="28" s="1"/>
  <c r="Q133" i="28"/>
  <c r="G474" i="28"/>
  <c r="G141" i="28"/>
  <c r="G133" i="28" s="1"/>
  <c r="E6" i="28"/>
  <c r="E210" i="28" s="1"/>
  <c r="I434" i="28"/>
  <c r="I219" i="28" s="1"/>
  <c r="F134" i="28"/>
  <c r="K133" i="28"/>
  <c r="F133" i="28" s="1"/>
  <c r="N210" i="28"/>
  <c r="N547" i="28" s="1"/>
  <c r="O219" i="28"/>
  <c r="O541" i="28" s="1"/>
  <c r="O543" i="28" s="1"/>
  <c r="P220" i="28"/>
  <c r="P219" i="28" s="1"/>
  <c r="P541" i="28" s="1"/>
  <c r="G314" i="28"/>
  <c r="G221" i="28"/>
  <c r="Q7" i="28"/>
  <c r="Q6" i="28" s="1"/>
  <c r="Q210" i="28" s="1"/>
  <c r="G486" i="28"/>
  <c r="I485" i="28"/>
  <c r="F122" i="28"/>
  <c r="H120" i="28"/>
  <c r="F120" i="28" s="1"/>
  <c r="F86" i="28" s="1"/>
  <c r="J7" i="28"/>
  <c r="L547" i="28"/>
  <c r="G7" i="28"/>
  <c r="H7" i="28"/>
  <c r="H6" i="28" s="1"/>
  <c r="H210" i="28" s="1"/>
  <c r="J133" i="28"/>
  <c r="J485" i="28"/>
  <c r="G515" i="28"/>
  <c r="J220" i="28"/>
  <c r="J219" i="28" s="1"/>
  <c r="H541" i="28"/>
  <c r="G293" i="28"/>
  <c r="G286" i="28" s="1"/>
  <c r="G247" i="28" s="1"/>
  <c r="G220" i="28" s="1"/>
  <c r="F293" i="28"/>
  <c r="F286" i="28" s="1"/>
  <c r="F247" i="28" s="1"/>
  <c r="F220" i="28" s="1"/>
  <c r="M286" i="28"/>
  <c r="R286" i="28" s="1"/>
  <c r="G434" i="28"/>
  <c r="I6" i="28"/>
  <c r="I210" i="28" s="1"/>
  <c r="I219" i="27"/>
  <c r="G151" i="27"/>
  <c r="G133" i="27" s="1"/>
  <c r="J133" i="27"/>
  <c r="J6" i="27" s="1"/>
  <c r="J210" i="27" s="1"/>
  <c r="L162" i="27"/>
  <c r="L210" i="27" s="1"/>
  <c r="Q219" i="27"/>
  <c r="Q541" i="27" s="1"/>
  <c r="G221" i="27"/>
  <c r="G435" i="27"/>
  <c r="G474" i="27"/>
  <c r="P546" i="27"/>
  <c r="F122" i="27"/>
  <c r="K120" i="27"/>
  <c r="F120" i="27" s="1"/>
  <c r="F86" i="27" s="1"/>
  <c r="G163" i="27"/>
  <c r="I162" i="27"/>
  <c r="J219" i="27"/>
  <c r="J541" i="27" s="1"/>
  <c r="K7" i="27"/>
  <c r="K6" i="27" s="1"/>
  <c r="K210" i="27" s="1"/>
  <c r="G486" i="27"/>
  <c r="I485" i="27"/>
  <c r="G458" i="27"/>
  <c r="G7" i="27"/>
  <c r="G6" i="27" s="1"/>
  <c r="I7" i="27"/>
  <c r="I6" i="27" s="1"/>
  <c r="O210" i="27"/>
  <c r="P547" i="27"/>
  <c r="F293" i="27"/>
  <c r="F286" i="27" s="1"/>
  <c r="F247" i="27" s="1"/>
  <c r="F220" i="27" s="1"/>
  <c r="G293" i="27"/>
  <c r="G286" i="27" s="1"/>
  <c r="G247" i="27" s="1"/>
  <c r="M286" i="27"/>
  <c r="H541" i="27"/>
  <c r="N547" i="27"/>
  <c r="G540" i="26"/>
  <c r="Q539" i="26"/>
  <c r="O539" i="26"/>
  <c r="N539" i="26"/>
  <c r="L539" i="26"/>
  <c r="J539" i="26"/>
  <c r="I539" i="26"/>
  <c r="E539" i="26"/>
  <c r="G538" i="26"/>
  <c r="G537" i="26"/>
  <c r="G536" i="26"/>
  <c r="G535" i="26"/>
  <c r="G534" i="26"/>
  <c r="G533" i="26"/>
  <c r="G532" i="26"/>
  <c r="G531" i="26"/>
  <c r="Q530" i="26"/>
  <c r="O530" i="26"/>
  <c r="N530" i="26"/>
  <c r="L530" i="26"/>
  <c r="J530" i="26"/>
  <c r="I530" i="26"/>
  <c r="E530" i="26"/>
  <c r="G529" i="26"/>
  <c r="G528" i="26"/>
  <c r="G527" i="26"/>
  <c r="G526" i="26"/>
  <c r="G525" i="26"/>
  <c r="G524" i="26"/>
  <c r="G523" i="26"/>
  <c r="G522" i="26"/>
  <c r="G517" i="26"/>
  <c r="Q516" i="26"/>
  <c r="Q515" i="26" s="1"/>
  <c r="O516" i="26"/>
  <c r="O515" i="26" s="1"/>
  <c r="N516" i="26"/>
  <c r="L516" i="26"/>
  <c r="J516" i="26"/>
  <c r="I516" i="26"/>
  <c r="E516" i="26"/>
  <c r="G514" i="26"/>
  <c r="Q513" i="26"/>
  <c r="O513" i="26"/>
  <c r="N513" i="26"/>
  <c r="L513" i="26"/>
  <c r="J513" i="26"/>
  <c r="I513" i="26"/>
  <c r="E513" i="26"/>
  <c r="G512" i="26"/>
  <c r="Q511" i="26"/>
  <c r="O511" i="26"/>
  <c r="N511" i="26"/>
  <c r="L511" i="26"/>
  <c r="J511" i="26"/>
  <c r="I511" i="26"/>
  <c r="E511" i="26"/>
  <c r="G510" i="26"/>
  <c r="Q509" i="26"/>
  <c r="O509" i="26"/>
  <c r="N509" i="26"/>
  <c r="L509" i="26"/>
  <c r="J509" i="26"/>
  <c r="I509" i="26"/>
  <c r="E509" i="26"/>
  <c r="G508" i="26"/>
  <c r="G507" i="26"/>
  <c r="G506" i="26"/>
  <c r="G505" i="26"/>
  <c r="G504" i="26"/>
  <c r="G503" i="26"/>
  <c r="G502" i="26"/>
  <c r="Q501" i="26"/>
  <c r="O501" i="26"/>
  <c r="N501" i="26"/>
  <c r="L501" i="26"/>
  <c r="J501" i="26"/>
  <c r="I501" i="26"/>
  <c r="E501" i="26"/>
  <c r="G500" i="26"/>
  <c r="G499" i="26"/>
  <c r="G498" i="26"/>
  <c r="G497" i="26"/>
  <c r="G496" i="26"/>
  <c r="G495" i="26"/>
  <c r="G490" i="26"/>
  <c r="G489" i="26"/>
  <c r="G488" i="26"/>
  <c r="Q487" i="26"/>
  <c r="O487" i="26"/>
  <c r="N487" i="26"/>
  <c r="N486" i="26" s="1"/>
  <c r="L487" i="26"/>
  <c r="J487" i="26"/>
  <c r="I487" i="26"/>
  <c r="I486" i="26" s="1"/>
  <c r="E487" i="26"/>
  <c r="E486" i="26"/>
  <c r="G484" i="26"/>
  <c r="Q483" i="26"/>
  <c r="Q482" i="26" s="1"/>
  <c r="O483" i="26"/>
  <c r="N483" i="26"/>
  <c r="N482" i="26" s="1"/>
  <c r="L483" i="26"/>
  <c r="L482" i="26" s="1"/>
  <c r="J483" i="26"/>
  <c r="J482" i="26" s="1"/>
  <c r="I483" i="26"/>
  <c r="E483" i="26"/>
  <c r="E482" i="26" s="1"/>
  <c r="O482" i="26"/>
  <c r="I482" i="26"/>
  <c r="G481" i="26"/>
  <c r="G480" i="26"/>
  <c r="Q479" i="26"/>
  <c r="O479" i="26"/>
  <c r="N479" i="26"/>
  <c r="L479" i="26"/>
  <c r="J479" i="26"/>
  <c r="I479" i="26"/>
  <c r="E479" i="26"/>
  <c r="G478" i="26"/>
  <c r="Q477" i="26"/>
  <c r="O477" i="26"/>
  <c r="N477" i="26"/>
  <c r="L477" i="26"/>
  <c r="J477" i="26"/>
  <c r="I477" i="26"/>
  <c r="E477" i="26"/>
  <c r="G476" i="26"/>
  <c r="Q475" i="26"/>
  <c r="O475" i="26"/>
  <c r="O474" i="26" s="1"/>
  <c r="N475" i="26"/>
  <c r="L475" i="26"/>
  <c r="J475" i="26"/>
  <c r="I475" i="26"/>
  <c r="I474" i="26" s="1"/>
  <c r="E475" i="26"/>
  <c r="Q474" i="26"/>
  <c r="G473" i="26"/>
  <c r="Q472" i="26"/>
  <c r="O472" i="26"/>
  <c r="O471" i="26" s="1"/>
  <c r="N472" i="26"/>
  <c r="N471" i="26" s="1"/>
  <c r="L472" i="26"/>
  <c r="J472" i="26"/>
  <c r="I472" i="26"/>
  <c r="I471" i="26" s="1"/>
  <c r="E472" i="26"/>
  <c r="E471" i="26" s="1"/>
  <c r="Q471" i="26"/>
  <c r="L471" i="26"/>
  <c r="J471" i="26"/>
  <c r="G470" i="26"/>
  <c r="Q469" i="26"/>
  <c r="O469" i="26"/>
  <c r="N469" i="26"/>
  <c r="L469" i="26"/>
  <c r="J469" i="26"/>
  <c r="I469" i="26"/>
  <c r="E469" i="26"/>
  <c r="G468" i="26"/>
  <c r="G467" i="26"/>
  <c r="G462" i="26"/>
  <c r="Q461" i="26"/>
  <c r="O461" i="26"/>
  <c r="N461" i="26"/>
  <c r="L461" i="26"/>
  <c r="J461" i="26"/>
  <c r="I461" i="26"/>
  <c r="E461" i="26"/>
  <c r="G460" i="26"/>
  <c r="Q459" i="26"/>
  <c r="O459" i="26"/>
  <c r="N459" i="26"/>
  <c r="N458" i="26" s="1"/>
  <c r="L459" i="26"/>
  <c r="L458" i="26" s="1"/>
  <c r="J459" i="26"/>
  <c r="J458" i="26" s="1"/>
  <c r="I459" i="26"/>
  <c r="E459" i="26"/>
  <c r="G457" i="26"/>
  <c r="F457" i="26"/>
  <c r="Q456" i="26"/>
  <c r="P456" i="26"/>
  <c r="O456" i="26"/>
  <c r="N456" i="26"/>
  <c r="M456" i="26"/>
  <c r="L456" i="26"/>
  <c r="K456" i="26"/>
  <c r="J456" i="26"/>
  <c r="I456" i="26"/>
  <c r="H456" i="26"/>
  <c r="G456" i="26"/>
  <c r="F456" i="26"/>
  <c r="E456" i="26"/>
  <c r="G455" i="26"/>
  <c r="Q454" i="26"/>
  <c r="O454" i="26"/>
  <c r="N454" i="26"/>
  <c r="L454" i="26"/>
  <c r="J454" i="26"/>
  <c r="I454" i="26"/>
  <c r="E454" i="26"/>
  <c r="G453" i="26"/>
  <c r="Q452" i="26"/>
  <c r="O452" i="26"/>
  <c r="N452" i="26"/>
  <c r="L452" i="26"/>
  <c r="J452" i="26"/>
  <c r="I452" i="26"/>
  <c r="G452" i="26" s="1"/>
  <c r="E452" i="26"/>
  <c r="G451" i="26"/>
  <c r="G450" i="26"/>
  <c r="G449" i="26"/>
  <c r="G448" i="26"/>
  <c r="G447" i="26"/>
  <c r="F447" i="26"/>
  <c r="G446" i="26"/>
  <c r="G445" i="26"/>
  <c r="T444" i="26"/>
  <c r="G444" i="26"/>
  <c r="F443" i="26"/>
  <c r="G442" i="26"/>
  <c r="Q441" i="26"/>
  <c r="P441" i="26"/>
  <c r="O441" i="26"/>
  <c r="N441" i="26"/>
  <c r="M441" i="26"/>
  <c r="L441" i="26"/>
  <c r="K441" i="26"/>
  <c r="J441" i="26"/>
  <c r="I441" i="26"/>
  <c r="H441" i="26"/>
  <c r="E441" i="26"/>
  <c r="G440" i="26"/>
  <c r="G439" i="26"/>
  <c r="F439" i="26"/>
  <c r="F436" i="26" s="1"/>
  <c r="G438" i="26"/>
  <c r="G437" i="26"/>
  <c r="Q436" i="26"/>
  <c r="P436" i="26"/>
  <c r="O436" i="26"/>
  <c r="O435" i="26" s="1"/>
  <c r="N436" i="26"/>
  <c r="M436" i="26"/>
  <c r="L436" i="26"/>
  <c r="K436" i="26"/>
  <c r="J436" i="26"/>
  <c r="J435" i="26" s="1"/>
  <c r="I436" i="26"/>
  <c r="H436" i="26"/>
  <c r="E436" i="26"/>
  <c r="G433" i="26"/>
  <c r="Q432" i="26"/>
  <c r="O432" i="26"/>
  <c r="N432" i="26"/>
  <c r="L432" i="26"/>
  <c r="J432" i="26"/>
  <c r="I432" i="26"/>
  <c r="E432" i="26"/>
  <c r="G427" i="26"/>
  <c r="Q426" i="26"/>
  <c r="O426" i="26"/>
  <c r="N426" i="26"/>
  <c r="L426" i="26"/>
  <c r="J426" i="26"/>
  <c r="I426" i="26"/>
  <c r="G426" i="26" s="1"/>
  <c r="E426" i="26"/>
  <c r="G425" i="26"/>
  <c r="G424" i="26"/>
  <c r="Q423" i="26"/>
  <c r="O423" i="26"/>
  <c r="N423" i="26"/>
  <c r="L423" i="26"/>
  <c r="J423" i="26"/>
  <c r="I423" i="26"/>
  <c r="E423" i="26"/>
  <c r="G422" i="26"/>
  <c r="F422" i="26"/>
  <c r="Q421" i="26"/>
  <c r="P421" i="26"/>
  <c r="O421" i="26"/>
  <c r="N421" i="26"/>
  <c r="M421" i="26"/>
  <c r="M413" i="26" s="1"/>
  <c r="L421" i="26"/>
  <c r="K421" i="26"/>
  <c r="J421" i="26"/>
  <c r="I421" i="26"/>
  <c r="H421" i="26"/>
  <c r="G421" i="26"/>
  <c r="F421" i="26"/>
  <c r="E421" i="26"/>
  <c r="G420" i="26"/>
  <c r="F420" i="26"/>
  <c r="G419" i="26"/>
  <c r="G417" i="26" s="1"/>
  <c r="F419" i="26"/>
  <c r="G418" i="26"/>
  <c r="F418" i="26"/>
  <c r="Q417" i="26"/>
  <c r="P417" i="26"/>
  <c r="O417" i="26"/>
  <c r="N417" i="26"/>
  <c r="M417" i="26"/>
  <c r="L417" i="26"/>
  <c r="K417" i="26"/>
  <c r="J417" i="26"/>
  <c r="I417" i="26"/>
  <c r="I413" i="26" s="1"/>
  <c r="H417" i="26"/>
  <c r="H413" i="26" s="1"/>
  <c r="E417" i="26"/>
  <c r="G416" i="26"/>
  <c r="G414" i="26" s="1"/>
  <c r="F416" i="26"/>
  <c r="F414" i="26" s="1"/>
  <c r="G415" i="26"/>
  <c r="Q414" i="26"/>
  <c r="Q413" i="26" s="1"/>
  <c r="P414" i="26"/>
  <c r="O414" i="26"/>
  <c r="N414" i="26"/>
  <c r="M414" i="26"/>
  <c r="L414" i="26"/>
  <c r="L413" i="26" s="1"/>
  <c r="K414" i="26"/>
  <c r="K413" i="26" s="1"/>
  <c r="J414" i="26"/>
  <c r="I414" i="26"/>
  <c r="H414" i="26"/>
  <c r="E414" i="26"/>
  <c r="G412" i="26"/>
  <c r="G411" i="26"/>
  <c r="G410" i="26"/>
  <c r="G409" i="26"/>
  <c r="G408" i="26"/>
  <c r="G407" i="26"/>
  <c r="G406" i="26"/>
  <c r="G405" i="26"/>
  <c r="G404" i="26"/>
  <c r="Q399" i="26"/>
  <c r="O399" i="26"/>
  <c r="N399" i="26"/>
  <c r="L399" i="26"/>
  <c r="J399" i="26"/>
  <c r="I399" i="26"/>
  <c r="E399" i="26"/>
  <c r="G398" i="26"/>
  <c r="G397" i="26"/>
  <c r="G396" i="26"/>
  <c r="Q395" i="26"/>
  <c r="O395" i="26"/>
  <c r="N395" i="26"/>
  <c r="L395" i="26"/>
  <c r="J395" i="26"/>
  <c r="I395" i="26"/>
  <c r="I394" i="26" s="1"/>
  <c r="E395" i="26"/>
  <c r="Q394" i="26"/>
  <c r="O394" i="26"/>
  <c r="G393" i="26"/>
  <c r="G392" i="26"/>
  <c r="G391" i="26" s="1"/>
  <c r="F392" i="26"/>
  <c r="F391" i="26" s="1"/>
  <c r="F374" i="26" s="1"/>
  <c r="Q391" i="26"/>
  <c r="P391" i="26"/>
  <c r="P374" i="26" s="1"/>
  <c r="O391" i="26"/>
  <c r="N391" i="26"/>
  <c r="M391" i="26"/>
  <c r="M374" i="26" s="1"/>
  <c r="L391" i="26"/>
  <c r="K391" i="26"/>
  <c r="K374" i="26" s="1"/>
  <c r="J391" i="26"/>
  <c r="I391" i="26"/>
  <c r="H391" i="26"/>
  <c r="H374" i="26" s="1"/>
  <c r="E391" i="26"/>
  <c r="G390" i="26"/>
  <c r="G389" i="26"/>
  <c r="Q388" i="26"/>
  <c r="O388" i="26"/>
  <c r="N388" i="26"/>
  <c r="L388" i="26"/>
  <c r="J388" i="26"/>
  <c r="I388" i="26"/>
  <c r="E388" i="26"/>
  <c r="G387" i="26"/>
  <c r="G386" i="26"/>
  <c r="Q385" i="26"/>
  <c r="O385" i="26"/>
  <c r="N385" i="26"/>
  <c r="L385" i="26"/>
  <c r="J385" i="26"/>
  <c r="I385" i="26"/>
  <c r="E385" i="26"/>
  <c r="G384" i="26"/>
  <c r="G383" i="26"/>
  <c r="Q382" i="26"/>
  <c r="O382" i="26"/>
  <c r="N382" i="26"/>
  <c r="L382" i="26"/>
  <c r="J382" i="26"/>
  <c r="I382" i="26"/>
  <c r="E382" i="26"/>
  <c r="G381" i="26"/>
  <c r="G380" i="26"/>
  <c r="Q379" i="26"/>
  <c r="O379" i="26"/>
  <c r="N379" i="26"/>
  <c r="L379" i="26"/>
  <c r="J379" i="26"/>
  <c r="I379" i="26"/>
  <c r="E379" i="26"/>
  <c r="G373" i="26"/>
  <c r="G372" i="26"/>
  <c r="Q371" i="26"/>
  <c r="O371" i="26"/>
  <c r="N371" i="26"/>
  <c r="L371" i="26"/>
  <c r="J371" i="26"/>
  <c r="I371" i="26"/>
  <c r="I361" i="26" s="1"/>
  <c r="E371" i="26"/>
  <c r="G370" i="26"/>
  <c r="G369" i="26"/>
  <c r="Q368" i="26"/>
  <c r="O368" i="26"/>
  <c r="N368" i="26"/>
  <c r="L368" i="26"/>
  <c r="J368" i="26"/>
  <c r="I368" i="26"/>
  <c r="E368" i="26"/>
  <c r="G367" i="26"/>
  <c r="G366" i="26"/>
  <c r="Q365" i="26"/>
  <c r="O365" i="26"/>
  <c r="N365" i="26"/>
  <c r="L365" i="26"/>
  <c r="J365" i="26"/>
  <c r="I365" i="26"/>
  <c r="E365" i="26"/>
  <c r="G364" i="26"/>
  <c r="G363" i="26"/>
  <c r="Q362" i="26"/>
  <c r="O362" i="26"/>
  <c r="O361" i="26" s="1"/>
  <c r="N362" i="26"/>
  <c r="N361" i="26" s="1"/>
  <c r="L362" i="26"/>
  <c r="J362" i="26"/>
  <c r="I362" i="26"/>
  <c r="E362" i="26"/>
  <c r="G360" i="26"/>
  <c r="G359" i="26"/>
  <c r="G358" i="26"/>
  <c r="Q357" i="26"/>
  <c r="O357" i="26"/>
  <c r="N357" i="26"/>
  <c r="L357" i="26"/>
  <c r="J357" i="26"/>
  <c r="I357" i="26"/>
  <c r="E357" i="26"/>
  <c r="G356" i="26"/>
  <c r="Q355" i="26"/>
  <c r="O355" i="26"/>
  <c r="N355" i="26"/>
  <c r="L355" i="26"/>
  <c r="J355" i="26"/>
  <c r="I355" i="26"/>
  <c r="E355" i="26"/>
  <c r="E333" i="26" s="1"/>
  <c r="G354" i="26"/>
  <c r="G353" i="26"/>
  <c r="G348" i="26"/>
  <c r="G347" i="26"/>
  <c r="G346" i="26"/>
  <c r="G345" i="26"/>
  <c r="Q344" i="26"/>
  <c r="O344" i="26"/>
  <c r="N344" i="26"/>
  <c r="L344" i="26"/>
  <c r="J344" i="26"/>
  <c r="I344" i="26"/>
  <c r="E344" i="26"/>
  <c r="G343" i="26"/>
  <c r="G342" i="26"/>
  <c r="G341" i="26"/>
  <c r="G340" i="26"/>
  <c r="F339" i="26"/>
  <c r="F334" i="26" s="1"/>
  <c r="F333" i="26" s="1"/>
  <c r="G338" i="26"/>
  <c r="G337" i="26"/>
  <c r="G336" i="26"/>
  <c r="G335" i="26"/>
  <c r="Q334" i="26"/>
  <c r="P334" i="26"/>
  <c r="P333" i="26" s="1"/>
  <c r="O334" i="26"/>
  <c r="N334" i="26"/>
  <c r="M334" i="26"/>
  <c r="L334" i="26"/>
  <c r="K334" i="26"/>
  <c r="K333" i="26" s="1"/>
  <c r="J334" i="26"/>
  <c r="I334" i="26"/>
  <c r="H334" i="26"/>
  <c r="H333" i="26" s="1"/>
  <c r="E334" i="26"/>
  <c r="Q333" i="26"/>
  <c r="M333" i="26"/>
  <c r="I333" i="26"/>
  <c r="G332" i="26"/>
  <c r="Q331" i="26"/>
  <c r="O331" i="26"/>
  <c r="N331" i="26"/>
  <c r="L331" i="26"/>
  <c r="J331" i="26"/>
  <c r="I331" i="26"/>
  <c r="E331" i="26"/>
  <c r="G330" i="26"/>
  <c r="G329" i="26"/>
  <c r="G328" i="26"/>
  <c r="Q327" i="26"/>
  <c r="O327" i="26"/>
  <c r="N327" i="26"/>
  <c r="L327" i="26"/>
  <c r="J327" i="26"/>
  <c r="I327" i="26"/>
  <c r="E327" i="26"/>
  <c r="G326" i="26"/>
  <c r="Q325" i="26"/>
  <c r="O325" i="26"/>
  <c r="N325" i="26"/>
  <c r="L325" i="26"/>
  <c r="J325" i="26"/>
  <c r="I325" i="26"/>
  <c r="E325" i="26"/>
  <c r="G324" i="26"/>
  <c r="Q323" i="26"/>
  <c r="O323" i="26"/>
  <c r="N323" i="26"/>
  <c r="L323" i="26"/>
  <c r="J323" i="26"/>
  <c r="I323" i="26"/>
  <c r="E323" i="26"/>
  <c r="G318" i="26"/>
  <c r="G317" i="26"/>
  <c r="G316" i="26"/>
  <c r="Q315" i="26"/>
  <c r="O315" i="26"/>
  <c r="N315" i="26"/>
  <c r="L315" i="26"/>
  <c r="G315" i="26" s="1"/>
  <c r="J315" i="26"/>
  <c r="I315" i="26"/>
  <c r="E315" i="26"/>
  <c r="G313" i="26"/>
  <c r="F313" i="26"/>
  <c r="N312" i="26"/>
  <c r="G312" i="26" s="1"/>
  <c r="F312" i="26"/>
  <c r="F311" i="26"/>
  <c r="F310" i="26"/>
  <c r="F309" i="26"/>
  <c r="F308" i="26"/>
  <c r="F307" i="26"/>
  <c r="M306" i="26"/>
  <c r="F306" i="26" s="1"/>
  <c r="F305" i="26"/>
  <c r="F304" i="26"/>
  <c r="F302" i="26"/>
  <c r="M300" i="26"/>
  <c r="F300" i="26" s="1"/>
  <c r="F301" i="26"/>
  <c r="F299" i="26"/>
  <c r="F298" i="26"/>
  <c r="F297" i="26"/>
  <c r="F296" i="26"/>
  <c r="M294" i="26"/>
  <c r="G292" i="26"/>
  <c r="G291" i="26"/>
  <c r="G290" i="26"/>
  <c r="F290" i="26"/>
  <c r="G289" i="26"/>
  <c r="F289" i="26"/>
  <c r="G288" i="26"/>
  <c r="F287" i="26"/>
  <c r="Q286" i="26"/>
  <c r="P286" i="26"/>
  <c r="O286" i="26"/>
  <c r="L286" i="26"/>
  <c r="K286" i="26"/>
  <c r="J286" i="26"/>
  <c r="I286" i="26"/>
  <c r="H286" i="26"/>
  <c r="E286" i="26"/>
  <c r="G285" i="26"/>
  <c r="F285" i="26"/>
  <c r="G284" i="26"/>
  <c r="F284" i="26"/>
  <c r="Q283" i="26"/>
  <c r="P283" i="26"/>
  <c r="O283" i="26"/>
  <c r="N283" i="26"/>
  <c r="M283" i="26"/>
  <c r="L283" i="26"/>
  <c r="K283" i="26"/>
  <c r="J283" i="26"/>
  <c r="I283" i="26"/>
  <c r="I247" i="26" s="1"/>
  <c r="H283" i="26"/>
  <c r="E283" i="26"/>
  <c r="G282" i="26"/>
  <c r="F282" i="26"/>
  <c r="G281" i="26"/>
  <c r="F281" i="26"/>
  <c r="G280" i="26"/>
  <c r="G279" i="26"/>
  <c r="G278" i="26"/>
  <c r="F278" i="26"/>
  <c r="G277" i="26"/>
  <c r="G276" i="26"/>
  <c r="Q275" i="26"/>
  <c r="P275" i="26"/>
  <c r="O275" i="26"/>
  <c r="N275" i="26"/>
  <c r="M275" i="26"/>
  <c r="L275" i="26"/>
  <c r="K275" i="26"/>
  <c r="J275" i="26"/>
  <c r="I275" i="26"/>
  <c r="H275" i="26"/>
  <c r="E275" i="26"/>
  <c r="F274" i="26"/>
  <c r="F269" i="26"/>
  <c r="F267" i="26"/>
  <c r="F266" i="26"/>
  <c r="F265" i="26"/>
  <c r="G264" i="26"/>
  <c r="F264" i="26"/>
  <c r="G263" i="26"/>
  <c r="Q262" i="26"/>
  <c r="P262" i="26"/>
  <c r="O262" i="26"/>
  <c r="N262" i="26"/>
  <c r="M262" i="26"/>
  <c r="L262" i="26"/>
  <c r="K262" i="26"/>
  <c r="J262" i="26"/>
  <c r="I262" i="26"/>
  <c r="H262" i="26"/>
  <c r="E262" i="26"/>
  <c r="G261" i="26"/>
  <c r="G260" i="26"/>
  <c r="G259" i="26"/>
  <c r="G258" i="26"/>
  <c r="G257" i="26"/>
  <c r="F257" i="26"/>
  <c r="F256" i="26" s="1"/>
  <c r="Q256" i="26"/>
  <c r="E256" i="26"/>
  <c r="G255" i="26"/>
  <c r="G254" i="26"/>
  <c r="F253" i="26"/>
  <c r="G253" i="26"/>
  <c r="G252" i="26"/>
  <c r="F252" i="26"/>
  <c r="G251" i="26"/>
  <c r="F251" i="26"/>
  <c r="G250" i="26"/>
  <c r="F250" i="26"/>
  <c r="F249" i="26"/>
  <c r="Q248" i="26"/>
  <c r="P248" i="26"/>
  <c r="O248" i="26"/>
  <c r="N248" i="26"/>
  <c r="L248" i="26"/>
  <c r="K248" i="26"/>
  <c r="J248" i="26"/>
  <c r="I248" i="26"/>
  <c r="H248" i="26"/>
  <c r="E248" i="26"/>
  <c r="E247" i="26" s="1"/>
  <c r="Q247" i="26"/>
  <c r="G246" i="26"/>
  <c r="Q245" i="26"/>
  <c r="O245" i="26"/>
  <c r="N245" i="26"/>
  <c r="L245" i="26"/>
  <c r="J245" i="26"/>
  <c r="I245" i="26"/>
  <c r="E245" i="26"/>
  <c r="G244" i="26"/>
  <c r="Q243" i="26"/>
  <c r="O243" i="26"/>
  <c r="N243" i="26"/>
  <c r="L243" i="26"/>
  <c r="J243" i="26"/>
  <c r="I243" i="26"/>
  <c r="E243" i="26"/>
  <c r="M241" i="26"/>
  <c r="G242" i="26"/>
  <c r="G241" i="26" s="1"/>
  <c r="Q241" i="26"/>
  <c r="P241" i="26"/>
  <c r="O241" i="26"/>
  <c r="N241" i="26"/>
  <c r="L241" i="26"/>
  <c r="K241" i="26"/>
  <c r="J241" i="26"/>
  <c r="I241" i="26"/>
  <c r="H241" i="26"/>
  <c r="E241" i="26"/>
  <c r="G240" i="26"/>
  <c r="G239" i="26" s="1"/>
  <c r="F240" i="26"/>
  <c r="F239" i="26" s="1"/>
  <c r="Q239" i="26"/>
  <c r="P239" i="26"/>
  <c r="O239" i="26"/>
  <c r="N239" i="26"/>
  <c r="M239" i="26"/>
  <c r="L239" i="26"/>
  <c r="K239" i="26"/>
  <c r="J239" i="26"/>
  <c r="I239" i="26"/>
  <c r="H239" i="26"/>
  <c r="E239" i="26"/>
  <c r="G238" i="26"/>
  <c r="F238" i="26"/>
  <c r="G233" i="26"/>
  <c r="F233" i="26"/>
  <c r="G232" i="26"/>
  <c r="G231" i="26"/>
  <c r="Q230" i="26"/>
  <c r="P230" i="26"/>
  <c r="O230" i="26"/>
  <c r="N230" i="26"/>
  <c r="L230" i="26"/>
  <c r="K230" i="26"/>
  <c r="J230" i="26"/>
  <c r="I230" i="26"/>
  <c r="H230" i="26"/>
  <c r="E230" i="26"/>
  <c r="G229" i="26"/>
  <c r="Q228" i="26"/>
  <c r="Q221" i="26" s="1"/>
  <c r="O228" i="26"/>
  <c r="N228" i="26"/>
  <c r="L228" i="26"/>
  <c r="J228" i="26"/>
  <c r="I228" i="26"/>
  <c r="E228" i="26"/>
  <c r="G227" i="26"/>
  <c r="N226" i="26"/>
  <c r="G226" i="26" s="1"/>
  <c r="F226" i="26"/>
  <c r="E226" i="26"/>
  <c r="N225" i="26"/>
  <c r="G225" i="26" s="1"/>
  <c r="F225" i="26"/>
  <c r="E225" i="26"/>
  <c r="Q224" i="26"/>
  <c r="P224" i="26"/>
  <c r="O224" i="26"/>
  <c r="M224" i="26"/>
  <c r="L224" i="26"/>
  <c r="K224" i="26"/>
  <c r="J224" i="26"/>
  <c r="I224" i="26"/>
  <c r="H224" i="26"/>
  <c r="R223" i="26"/>
  <c r="N223" i="26"/>
  <c r="N222" i="26" s="1"/>
  <c r="F223" i="26"/>
  <c r="F222" i="26" s="1"/>
  <c r="E223" i="26"/>
  <c r="Q222" i="26"/>
  <c r="P222" i="26"/>
  <c r="O222" i="26"/>
  <c r="M222" i="26"/>
  <c r="L222" i="26"/>
  <c r="K222" i="26"/>
  <c r="J222" i="26"/>
  <c r="I222" i="26"/>
  <c r="H222" i="26"/>
  <c r="H221" i="26" s="1"/>
  <c r="E222" i="26"/>
  <c r="G209" i="26"/>
  <c r="G208" i="26"/>
  <c r="G207" i="26"/>
  <c r="G202" i="26"/>
  <c r="G201" i="26"/>
  <c r="G200" i="26"/>
  <c r="G199" i="26"/>
  <c r="G198" i="26"/>
  <c r="Q197" i="26"/>
  <c r="O197" i="26"/>
  <c r="G197" i="26" s="1"/>
  <c r="N197" i="26"/>
  <c r="L197" i="26"/>
  <c r="J197" i="26"/>
  <c r="I197" i="26"/>
  <c r="E197" i="26"/>
  <c r="G196" i="26"/>
  <c r="G195" i="26"/>
  <c r="G194" i="26"/>
  <c r="G193" i="26"/>
  <c r="G192" i="26"/>
  <c r="G191" i="26"/>
  <c r="G190" i="26"/>
  <c r="G189" i="26"/>
  <c r="G188" i="26"/>
  <c r="Q187" i="26"/>
  <c r="O187" i="26"/>
  <c r="N187" i="26"/>
  <c r="L187" i="26"/>
  <c r="J187" i="26"/>
  <c r="I187" i="26"/>
  <c r="E187" i="26"/>
  <c r="L186" i="26"/>
  <c r="J186" i="26"/>
  <c r="E186" i="26"/>
  <c r="G185" i="26"/>
  <c r="G180" i="26"/>
  <c r="G179" i="26"/>
  <c r="G178" i="26"/>
  <c r="G177" i="26"/>
  <c r="G176" i="26"/>
  <c r="G175" i="26"/>
  <c r="Q174" i="26"/>
  <c r="O174" i="26"/>
  <c r="N174" i="26"/>
  <c r="L174" i="26"/>
  <c r="J174" i="26"/>
  <c r="I174" i="26"/>
  <c r="E174" i="26"/>
  <c r="G173" i="26"/>
  <c r="G172" i="26"/>
  <c r="G171" i="26"/>
  <c r="G170" i="26"/>
  <c r="G169" i="26"/>
  <c r="G168" i="26"/>
  <c r="G167" i="26"/>
  <c r="G166" i="26"/>
  <c r="G165" i="26"/>
  <c r="Q164" i="26"/>
  <c r="O164" i="26"/>
  <c r="N164" i="26"/>
  <c r="L164" i="26"/>
  <c r="J164" i="26"/>
  <c r="I164" i="26"/>
  <c r="E164" i="26"/>
  <c r="E163" i="26" s="1"/>
  <c r="E162" i="26" s="1"/>
  <c r="Q163" i="26"/>
  <c r="G161" i="26"/>
  <c r="Q160" i="26"/>
  <c r="O160" i="26"/>
  <c r="N160" i="26"/>
  <c r="N151" i="26" s="1"/>
  <c r="L160" i="26"/>
  <c r="J160" i="26"/>
  <c r="I160" i="26"/>
  <c r="E160" i="26"/>
  <c r="G159" i="26"/>
  <c r="Q154" i="26"/>
  <c r="O154" i="26"/>
  <c r="N154" i="26"/>
  <c r="L154" i="26"/>
  <c r="J154" i="26"/>
  <c r="I154" i="26"/>
  <c r="E154" i="26"/>
  <c r="G153" i="26"/>
  <c r="Q152" i="26"/>
  <c r="O152" i="26"/>
  <c r="O151" i="26" s="1"/>
  <c r="N152" i="26"/>
  <c r="L152" i="26"/>
  <c r="J152" i="26"/>
  <c r="I152" i="26"/>
  <c r="E152" i="26"/>
  <c r="G150" i="26"/>
  <c r="Q149" i="26"/>
  <c r="Q148" i="26" s="1"/>
  <c r="O149" i="26"/>
  <c r="O148" i="26" s="1"/>
  <c r="N149" i="26"/>
  <c r="L149" i="26"/>
  <c r="L148" i="26" s="1"/>
  <c r="J149" i="26"/>
  <c r="J148" i="26" s="1"/>
  <c r="I149" i="26"/>
  <c r="E149" i="26"/>
  <c r="N148" i="26"/>
  <c r="E148" i="26"/>
  <c r="G147" i="26"/>
  <c r="Q146" i="26"/>
  <c r="O146" i="26"/>
  <c r="N146" i="26"/>
  <c r="L146" i="26"/>
  <c r="J146" i="26"/>
  <c r="I146" i="26"/>
  <c r="E146" i="26"/>
  <c r="G145" i="26"/>
  <c r="Q144" i="26"/>
  <c r="O144" i="26"/>
  <c r="N144" i="26"/>
  <c r="L144" i="26"/>
  <c r="J144" i="26"/>
  <c r="I144" i="26"/>
  <c r="E144" i="26"/>
  <c r="G143" i="26"/>
  <c r="Q142" i="26"/>
  <c r="O142" i="26"/>
  <c r="N142" i="26"/>
  <c r="L142" i="26"/>
  <c r="J142" i="26"/>
  <c r="G142" i="26" s="1"/>
  <c r="I142" i="26"/>
  <c r="E142" i="26"/>
  <c r="O141" i="26"/>
  <c r="I141" i="26"/>
  <c r="G140" i="26"/>
  <c r="Q139" i="26"/>
  <c r="O139" i="26"/>
  <c r="N139" i="26"/>
  <c r="L139" i="26"/>
  <c r="J139" i="26"/>
  <c r="I139" i="26"/>
  <c r="E139" i="26"/>
  <c r="G138" i="26"/>
  <c r="F138" i="26"/>
  <c r="Q137" i="26"/>
  <c r="Q134" i="26" s="1"/>
  <c r="P137" i="26"/>
  <c r="P134" i="26" s="1"/>
  <c r="P133" i="26" s="1"/>
  <c r="O137" i="26"/>
  <c r="N137" i="26"/>
  <c r="M137" i="26"/>
  <c r="L137" i="26"/>
  <c r="K137" i="26"/>
  <c r="J137" i="26"/>
  <c r="J134" i="26" s="1"/>
  <c r="I137" i="26"/>
  <c r="H137" i="26"/>
  <c r="H134" i="26" s="1"/>
  <c r="H133" i="26" s="1"/>
  <c r="G137" i="26"/>
  <c r="E137" i="26"/>
  <c r="G136" i="26"/>
  <c r="F136" i="26"/>
  <c r="Q135" i="26"/>
  <c r="O135" i="26"/>
  <c r="N135" i="26"/>
  <c r="L135" i="26"/>
  <c r="L134" i="26" s="1"/>
  <c r="J135" i="26"/>
  <c r="I135" i="26"/>
  <c r="G135" i="26" s="1"/>
  <c r="F135" i="26"/>
  <c r="E135" i="26"/>
  <c r="E134" i="26" s="1"/>
  <c r="O134" i="26"/>
  <c r="N134" i="26"/>
  <c r="M134" i="26"/>
  <c r="M133" i="26" s="1"/>
  <c r="K134" i="26"/>
  <c r="G132" i="26"/>
  <c r="G127" i="26" s="1"/>
  <c r="G126" i="26" s="1"/>
  <c r="F132" i="26"/>
  <c r="F131" i="26"/>
  <c r="F130" i="26"/>
  <c r="F129" i="26"/>
  <c r="F128" i="26"/>
  <c r="Q127" i="26"/>
  <c r="Q126" i="26" s="1"/>
  <c r="P127" i="26"/>
  <c r="O127" i="26"/>
  <c r="O126" i="26" s="1"/>
  <c r="N127" i="26"/>
  <c r="M127" i="26"/>
  <c r="M126" i="26" s="1"/>
  <c r="L127" i="26"/>
  <c r="L126" i="26" s="1"/>
  <c r="J127" i="26"/>
  <c r="J126" i="26" s="1"/>
  <c r="I127" i="26"/>
  <c r="I126" i="26" s="1"/>
  <c r="H127" i="26"/>
  <c r="H126" i="26" s="1"/>
  <c r="E127" i="26"/>
  <c r="E126" i="26" s="1"/>
  <c r="P126" i="26"/>
  <c r="N126" i="26"/>
  <c r="G125" i="26"/>
  <c r="F125" i="26"/>
  <c r="F124" i="26"/>
  <c r="Q123" i="26"/>
  <c r="Q122" i="26" s="1"/>
  <c r="P123" i="26"/>
  <c r="P122" i="26" s="1"/>
  <c r="O123" i="26"/>
  <c r="O122" i="26" s="1"/>
  <c r="N123" i="26"/>
  <c r="N122" i="26" s="1"/>
  <c r="L123" i="26"/>
  <c r="L122" i="26" s="1"/>
  <c r="L120" i="26" s="1"/>
  <c r="K123" i="26"/>
  <c r="K122" i="26" s="1"/>
  <c r="K120" i="26" s="1"/>
  <c r="J123" i="26"/>
  <c r="J122" i="26" s="1"/>
  <c r="J120" i="26" s="1"/>
  <c r="I123" i="26"/>
  <c r="I122" i="26" s="1"/>
  <c r="I120" i="26" s="1"/>
  <c r="H123" i="26"/>
  <c r="E123" i="26"/>
  <c r="E122" i="26" s="1"/>
  <c r="E120" i="26" s="1"/>
  <c r="F121" i="26"/>
  <c r="P120" i="26"/>
  <c r="G119" i="26"/>
  <c r="F119" i="26"/>
  <c r="Q118" i="26"/>
  <c r="O118" i="26"/>
  <c r="N118" i="26"/>
  <c r="L118" i="26"/>
  <c r="J118" i="26"/>
  <c r="I118" i="26"/>
  <c r="G118" i="26" s="1"/>
  <c r="F118" i="26"/>
  <c r="E118" i="26"/>
  <c r="G117" i="26"/>
  <c r="F117" i="26"/>
  <c r="Q116" i="26"/>
  <c r="Q115" i="26" s="1"/>
  <c r="O116" i="26"/>
  <c r="N116" i="26"/>
  <c r="N115" i="26" s="1"/>
  <c r="L116" i="26"/>
  <c r="L115" i="26" s="1"/>
  <c r="J116" i="26"/>
  <c r="I116" i="26"/>
  <c r="F116" i="26"/>
  <c r="E116" i="26"/>
  <c r="J115" i="26"/>
  <c r="F115" i="26"/>
  <c r="E115" i="26"/>
  <c r="G114" i="26"/>
  <c r="F114" i="26"/>
  <c r="Q113" i="26"/>
  <c r="O113" i="26"/>
  <c r="N113" i="26"/>
  <c r="L113" i="26"/>
  <c r="J113" i="26"/>
  <c r="I113" i="26"/>
  <c r="F113" i="26"/>
  <c r="E113" i="26"/>
  <c r="G112" i="26"/>
  <c r="F112" i="26"/>
  <c r="G111" i="26"/>
  <c r="F111" i="26"/>
  <c r="Q110" i="26"/>
  <c r="P110" i="26"/>
  <c r="O110" i="26"/>
  <c r="N110" i="26"/>
  <c r="M110" i="26"/>
  <c r="L110" i="26"/>
  <c r="K110" i="26"/>
  <c r="J110" i="26"/>
  <c r="I110" i="26"/>
  <c r="H110" i="26"/>
  <c r="F110" i="26" s="1"/>
  <c r="G110" i="26"/>
  <c r="E110" i="26"/>
  <c r="G109" i="26"/>
  <c r="F109" i="26"/>
  <c r="G108" i="26"/>
  <c r="F108" i="26"/>
  <c r="G107" i="26"/>
  <c r="F107" i="26"/>
  <c r="G106" i="26"/>
  <c r="F106" i="26"/>
  <c r="G105" i="26"/>
  <c r="F105" i="26"/>
  <c r="G104" i="26"/>
  <c r="F104" i="26"/>
  <c r="F103" i="26"/>
  <c r="F102" i="26"/>
  <c r="F101" i="26"/>
  <c r="F100" i="26"/>
  <c r="Q99" i="26"/>
  <c r="O99" i="26"/>
  <c r="N99" i="26"/>
  <c r="L99" i="26"/>
  <c r="J99" i="26"/>
  <c r="I99" i="26"/>
  <c r="G99" i="26" s="1"/>
  <c r="F99" i="26"/>
  <c r="E99" i="26"/>
  <c r="G98" i="26"/>
  <c r="F98" i="26"/>
  <c r="G97" i="26"/>
  <c r="F97" i="26"/>
  <c r="G96" i="26"/>
  <c r="F96" i="26"/>
  <c r="G95" i="26"/>
  <c r="F95" i="26"/>
  <c r="Q94" i="26"/>
  <c r="P94" i="26"/>
  <c r="O94" i="26"/>
  <c r="N94" i="26"/>
  <c r="M94" i="26"/>
  <c r="L94" i="26"/>
  <c r="K94" i="26"/>
  <c r="J94" i="26"/>
  <c r="I94" i="26"/>
  <c r="H94" i="26"/>
  <c r="E94" i="26"/>
  <c r="G93" i="26"/>
  <c r="F93" i="26"/>
  <c r="G92" i="26"/>
  <c r="F92" i="26"/>
  <c r="G91" i="26"/>
  <c r="F91" i="26"/>
  <c r="G90" i="26"/>
  <c r="G89" i="26"/>
  <c r="G88" i="26"/>
  <c r="Q87" i="26"/>
  <c r="Q86" i="26" s="1"/>
  <c r="P87" i="26"/>
  <c r="O87" i="26"/>
  <c r="N87" i="26"/>
  <c r="N86" i="26" s="1"/>
  <c r="M87" i="26"/>
  <c r="M86" i="26" s="1"/>
  <c r="L87" i="26"/>
  <c r="K87" i="26"/>
  <c r="K86" i="26" s="1"/>
  <c r="J87" i="26"/>
  <c r="J86" i="26" s="1"/>
  <c r="I87" i="26"/>
  <c r="H87" i="26"/>
  <c r="E87" i="26"/>
  <c r="G85" i="26"/>
  <c r="G84" i="26"/>
  <c r="Q83" i="26"/>
  <c r="O83" i="26"/>
  <c r="N83" i="26"/>
  <c r="L83" i="26"/>
  <c r="J83" i="26"/>
  <c r="I83" i="26"/>
  <c r="E83" i="26"/>
  <c r="G82" i="26"/>
  <c r="G81" i="26"/>
  <c r="G80" i="26"/>
  <c r="G79" i="26"/>
  <c r="Q78" i="26"/>
  <c r="O78" i="26"/>
  <c r="N78" i="26"/>
  <c r="L78" i="26"/>
  <c r="J78" i="26"/>
  <c r="I78" i="26"/>
  <c r="E78" i="26"/>
  <c r="G77" i="26"/>
  <c r="G76" i="26"/>
  <c r="Q75" i="26"/>
  <c r="O75" i="26"/>
  <c r="O74" i="26" s="1"/>
  <c r="N75" i="26"/>
  <c r="L75" i="26"/>
  <c r="J75" i="26"/>
  <c r="I75" i="26"/>
  <c r="E75" i="26"/>
  <c r="Q74" i="26"/>
  <c r="N74" i="26"/>
  <c r="G69" i="26"/>
  <c r="G68" i="26"/>
  <c r="G67" i="26"/>
  <c r="Q66" i="26"/>
  <c r="O66" i="26"/>
  <c r="N66" i="26"/>
  <c r="L66" i="26"/>
  <c r="J66" i="26"/>
  <c r="I66" i="26"/>
  <c r="E66" i="26"/>
  <c r="G65" i="26"/>
  <c r="G64" i="26"/>
  <c r="G63" i="26"/>
  <c r="G62" i="26"/>
  <c r="Q61" i="26"/>
  <c r="O61" i="26"/>
  <c r="N61" i="26"/>
  <c r="L61" i="26"/>
  <c r="J61" i="26"/>
  <c r="J60" i="26" s="1"/>
  <c r="I61" i="26"/>
  <c r="G61" i="26" s="1"/>
  <c r="E61" i="26"/>
  <c r="E60" i="26" s="1"/>
  <c r="Q60" i="26"/>
  <c r="O60" i="26"/>
  <c r="N60" i="26"/>
  <c r="L60" i="26"/>
  <c r="G59" i="26"/>
  <c r="G58" i="26"/>
  <c r="G57" i="26"/>
  <c r="G56" i="26"/>
  <c r="G55" i="26"/>
  <c r="G54" i="26"/>
  <c r="Q53" i="26"/>
  <c r="O53" i="26"/>
  <c r="N53" i="26"/>
  <c r="L53" i="26"/>
  <c r="J53" i="26"/>
  <c r="I53" i="26"/>
  <c r="E53" i="26"/>
  <c r="G52" i="26"/>
  <c r="G51" i="26"/>
  <c r="G50" i="26"/>
  <c r="G49" i="26"/>
  <c r="G48" i="26"/>
  <c r="G47" i="26"/>
  <c r="Q42" i="26"/>
  <c r="O42" i="26"/>
  <c r="N42" i="26"/>
  <c r="L42" i="26"/>
  <c r="J42" i="26"/>
  <c r="I42" i="26"/>
  <c r="E42" i="26"/>
  <c r="G41" i="26"/>
  <c r="G40" i="26"/>
  <c r="Q39" i="26"/>
  <c r="O39" i="26"/>
  <c r="N39" i="26"/>
  <c r="L39" i="26"/>
  <c r="J39" i="26"/>
  <c r="I39" i="26"/>
  <c r="E39" i="26"/>
  <c r="G38" i="26"/>
  <c r="G37" i="26"/>
  <c r="G36" i="26"/>
  <c r="G35" i="26"/>
  <c r="G34" i="26"/>
  <c r="G33" i="26"/>
  <c r="Q32" i="26"/>
  <c r="O32" i="26"/>
  <c r="N32" i="26"/>
  <c r="L32" i="26"/>
  <c r="J32" i="26"/>
  <c r="I32" i="26"/>
  <c r="E32" i="26"/>
  <c r="G31" i="26"/>
  <c r="G30" i="26"/>
  <c r="G29" i="26"/>
  <c r="G28" i="26"/>
  <c r="G27" i="26"/>
  <c r="Q26" i="26"/>
  <c r="O26" i="26"/>
  <c r="N26" i="26"/>
  <c r="L26" i="26"/>
  <c r="J26" i="26"/>
  <c r="I26" i="26"/>
  <c r="E26" i="26"/>
  <c r="G25" i="26"/>
  <c r="G24" i="26"/>
  <c r="G23" i="26"/>
  <c r="G22" i="26"/>
  <c r="G21" i="26"/>
  <c r="G20" i="26"/>
  <c r="Q19" i="26"/>
  <c r="O19" i="26"/>
  <c r="N19" i="26"/>
  <c r="L19" i="26"/>
  <c r="J19" i="26"/>
  <c r="I19" i="26"/>
  <c r="E19" i="26"/>
  <c r="G18" i="26"/>
  <c r="Q17" i="26"/>
  <c r="O17" i="26"/>
  <c r="N17" i="26"/>
  <c r="L17" i="26"/>
  <c r="J17" i="26"/>
  <c r="I17" i="26"/>
  <c r="E17" i="26"/>
  <c r="G16" i="26"/>
  <c r="G15" i="26"/>
  <c r="G10" i="26"/>
  <c r="Q9" i="26"/>
  <c r="O9" i="26"/>
  <c r="N9" i="26"/>
  <c r="L9" i="26"/>
  <c r="J9" i="26"/>
  <c r="I9" i="26"/>
  <c r="G9" i="26" s="1"/>
  <c r="E9" i="26"/>
  <c r="E8" i="26" s="1"/>
  <c r="J413" i="26" l="1"/>
  <c r="G530" i="26"/>
  <c r="O115" i="26"/>
  <c r="I221" i="26"/>
  <c r="G256" i="26"/>
  <c r="O186" i="26"/>
  <c r="G66" i="26"/>
  <c r="I74" i="26"/>
  <c r="K221" i="26"/>
  <c r="G539" i="26"/>
  <c r="L8" i="26"/>
  <c r="J74" i="26"/>
  <c r="L221" i="26"/>
  <c r="J394" i="26"/>
  <c r="N413" i="26"/>
  <c r="M435" i="26"/>
  <c r="M434" i="26" s="1"/>
  <c r="Q458" i="26"/>
  <c r="L486" i="26"/>
  <c r="O86" i="26"/>
  <c r="G152" i="26"/>
  <c r="K247" i="26"/>
  <c r="N314" i="26"/>
  <c r="O413" i="26"/>
  <c r="N435" i="26"/>
  <c r="N474" i="26"/>
  <c r="G219" i="28"/>
  <c r="N141" i="26"/>
  <c r="O221" i="26"/>
  <c r="O486" i="26"/>
  <c r="O485" i="26" s="1"/>
  <c r="G149" i="26"/>
  <c r="N224" i="26"/>
  <c r="G228" i="26"/>
  <c r="N286" i="26"/>
  <c r="G461" i="26"/>
  <c r="I219" i="30"/>
  <c r="G146" i="26"/>
  <c r="L163" i="26"/>
  <c r="L162" i="26" s="1"/>
  <c r="L333" i="26"/>
  <c r="E361" i="26"/>
  <c r="Q435" i="26"/>
  <c r="K538" i="29"/>
  <c r="G32" i="26"/>
  <c r="G53" i="26"/>
  <c r="I60" i="26"/>
  <c r="G60" i="26" s="1"/>
  <c r="Q186" i="26"/>
  <c r="Q162" i="26" s="1"/>
  <c r="E413" i="26"/>
  <c r="J515" i="26"/>
  <c r="N547" i="30"/>
  <c r="H86" i="26"/>
  <c r="F134" i="26"/>
  <c r="O163" i="26"/>
  <c r="N374" i="26"/>
  <c r="E435" i="26"/>
  <c r="E458" i="26"/>
  <c r="E211" i="29"/>
  <c r="K532" i="29"/>
  <c r="G174" i="26"/>
  <c r="N221" i="26"/>
  <c r="E224" i="26"/>
  <c r="G325" i="26"/>
  <c r="O333" i="26"/>
  <c r="L361" i="26"/>
  <c r="G379" i="26"/>
  <c r="N515" i="26"/>
  <c r="N485" i="26" s="1"/>
  <c r="F524" i="34"/>
  <c r="N220" i="34"/>
  <c r="F7" i="27"/>
  <c r="F6" i="27" s="1"/>
  <c r="F210" i="27" s="1"/>
  <c r="L547" i="27"/>
  <c r="G162" i="27"/>
  <c r="G210" i="27" s="1"/>
  <c r="G42" i="26"/>
  <c r="G362" i="26"/>
  <c r="L374" i="26"/>
  <c r="L515" i="26"/>
  <c r="G160" i="26"/>
  <c r="G187" i="26"/>
  <c r="G382" i="26"/>
  <c r="O133" i="26"/>
  <c r="J163" i="26"/>
  <c r="J162" i="26" s="1"/>
  <c r="O162" i="26"/>
  <c r="O314" i="26"/>
  <c r="J474" i="26"/>
  <c r="G479" i="26"/>
  <c r="Q8" i="26"/>
  <c r="Q7" i="26" s="1"/>
  <c r="G75" i="26"/>
  <c r="G113" i="26"/>
  <c r="I148" i="26"/>
  <c r="G148" i="26" s="1"/>
  <c r="G331" i="26"/>
  <c r="G477" i="26"/>
  <c r="G516" i="26"/>
  <c r="G116" i="26"/>
  <c r="G368" i="26"/>
  <c r="G355" i="26"/>
  <c r="G357" i="26"/>
  <c r="O374" i="26"/>
  <c r="G509" i="26"/>
  <c r="F87" i="26"/>
  <c r="G164" i="26"/>
  <c r="G245" i="26"/>
  <c r="G323" i="26"/>
  <c r="G471" i="26"/>
  <c r="J8" i="26"/>
  <c r="G83" i="26"/>
  <c r="I186" i="26"/>
  <c r="M303" i="26"/>
  <c r="G365" i="26"/>
  <c r="M543" i="33"/>
  <c r="M547" i="33"/>
  <c r="M547" i="31"/>
  <c r="M543" i="31"/>
  <c r="R220" i="30"/>
  <c r="F219" i="30"/>
  <c r="F541" i="30" s="1"/>
  <c r="G219" i="30"/>
  <c r="G541" i="30" s="1"/>
  <c r="M247" i="30"/>
  <c r="M220" i="30" s="1"/>
  <c r="M219" i="30" s="1"/>
  <c r="F133" i="30"/>
  <c r="F6" i="30" s="1"/>
  <c r="F210" i="30" s="1"/>
  <c r="H6" i="30"/>
  <c r="H210" i="30" s="1"/>
  <c r="I541" i="30"/>
  <c r="I210" i="30"/>
  <c r="I547" i="30" s="1"/>
  <c r="G6" i="30"/>
  <c r="G210" i="30" s="1"/>
  <c r="G547" i="30" s="1"/>
  <c r="L533" i="29"/>
  <c r="L535" i="29" s="1"/>
  <c r="J533" i="29"/>
  <c r="J535" i="29" s="1"/>
  <c r="J524" i="29"/>
  <c r="J541" i="29" s="1"/>
  <c r="M524" i="29"/>
  <c r="M541" i="29" s="1"/>
  <c r="D221" i="29"/>
  <c r="D220" i="29" s="1"/>
  <c r="D533" i="29" s="1"/>
  <c r="D532" i="29"/>
  <c r="F532" i="29" s="1"/>
  <c r="F248" i="29"/>
  <c r="N248" i="29" s="1"/>
  <c r="N222" i="29"/>
  <c r="E533" i="29"/>
  <c r="E535" i="29" s="1"/>
  <c r="E524" i="29"/>
  <c r="E540" i="29" s="1"/>
  <c r="K524" i="29"/>
  <c r="K540" i="29" s="1"/>
  <c r="L540" i="29"/>
  <c r="K534" i="29"/>
  <c r="I532" i="29"/>
  <c r="I211" i="29"/>
  <c r="H220" i="29"/>
  <c r="G221" i="29"/>
  <c r="G10" i="29"/>
  <c r="N10" i="29" s="1"/>
  <c r="H9" i="29"/>
  <c r="L541" i="29"/>
  <c r="H537" i="29"/>
  <c r="G468" i="29"/>
  <c r="N468" i="29" s="1"/>
  <c r="I538" i="29"/>
  <c r="I539" i="29"/>
  <c r="H538" i="29"/>
  <c r="G536" i="29"/>
  <c r="I524" i="29"/>
  <c r="I541" i="29" s="1"/>
  <c r="I533" i="29"/>
  <c r="I535" i="29" s="1"/>
  <c r="M534" i="29"/>
  <c r="K535" i="29"/>
  <c r="O547" i="28"/>
  <c r="J541" i="28"/>
  <c r="G485" i="28"/>
  <c r="G541" i="28" s="1"/>
  <c r="G6" i="28"/>
  <c r="G210" i="28" s="1"/>
  <c r="K6" i="28"/>
  <c r="K210" i="28" s="1"/>
  <c r="P543" i="28"/>
  <c r="P547" i="28"/>
  <c r="M247" i="28"/>
  <c r="M220" i="28" s="1"/>
  <c r="M219" i="28" s="1"/>
  <c r="M541" i="28" s="1"/>
  <c r="M543" i="28" s="1"/>
  <c r="J6" i="28"/>
  <c r="J210" i="28" s="1"/>
  <c r="R220" i="28"/>
  <c r="F219" i="28"/>
  <c r="F541" i="28" s="1"/>
  <c r="H547" i="28"/>
  <c r="H543" i="28"/>
  <c r="F7" i="28"/>
  <c r="F6" i="28" s="1"/>
  <c r="F210" i="28" s="1"/>
  <c r="I541" i="28"/>
  <c r="I547" i="28" s="1"/>
  <c r="G434" i="27"/>
  <c r="G220" i="27"/>
  <c r="I210" i="27"/>
  <c r="M247" i="27"/>
  <c r="M220" i="27" s="1"/>
  <c r="M219" i="27" s="1"/>
  <c r="R286" i="27"/>
  <c r="O547" i="27"/>
  <c r="O543" i="27"/>
  <c r="J543" i="27"/>
  <c r="J547" i="27"/>
  <c r="K547" i="27"/>
  <c r="K543" i="27"/>
  <c r="H543" i="27"/>
  <c r="H547" i="27"/>
  <c r="F219" i="27"/>
  <c r="F541" i="27" s="1"/>
  <c r="R220" i="27"/>
  <c r="G485" i="27"/>
  <c r="I541" i="27"/>
  <c r="F94" i="26"/>
  <c r="L74" i="26"/>
  <c r="G74" i="26" s="1"/>
  <c r="G87" i="26"/>
  <c r="L86" i="26"/>
  <c r="L7" i="26" s="1"/>
  <c r="Q141" i="26"/>
  <c r="L151" i="26"/>
  <c r="I163" i="26"/>
  <c r="G223" i="26"/>
  <c r="G222" i="26" s="1"/>
  <c r="G327" i="26"/>
  <c r="G371" i="26"/>
  <c r="J374" i="26"/>
  <c r="G385" i="26"/>
  <c r="G423" i="26"/>
  <c r="L435" i="26"/>
  <c r="O458" i="26"/>
  <c r="G482" i="26"/>
  <c r="I8" i="26"/>
  <c r="O8" i="26"/>
  <c r="O7" i="26" s="1"/>
  <c r="O6" i="26" s="1"/>
  <c r="O210" i="26" s="1"/>
  <c r="I86" i="26"/>
  <c r="I134" i="26"/>
  <c r="N133" i="26"/>
  <c r="G144" i="26"/>
  <c r="Q151" i="26"/>
  <c r="N186" i="26"/>
  <c r="G186" i="26" s="1"/>
  <c r="G243" i="26"/>
  <c r="J314" i="26"/>
  <c r="Q314" i="26"/>
  <c r="J333" i="26"/>
  <c r="N333" i="26"/>
  <c r="E374" i="26"/>
  <c r="G388" i="26"/>
  <c r="G374" i="26" s="1"/>
  <c r="E394" i="26"/>
  <c r="N394" i="26"/>
  <c r="G432" i="26"/>
  <c r="G413" i="26" s="1"/>
  <c r="K435" i="26"/>
  <c r="K434" i="26" s="1"/>
  <c r="G469" i="26"/>
  <c r="G483" i="26"/>
  <c r="G487" i="26"/>
  <c r="G513" i="26"/>
  <c r="E515" i="26"/>
  <c r="E485" i="26" s="1"/>
  <c r="L485" i="26"/>
  <c r="J7" i="26"/>
  <c r="G19" i="26"/>
  <c r="G39" i="26"/>
  <c r="G78" i="26"/>
  <c r="E141" i="26"/>
  <c r="G154" i="26"/>
  <c r="N163" i="26"/>
  <c r="N162" i="26" s="1"/>
  <c r="E314" i="26"/>
  <c r="G344" i="26"/>
  <c r="J361" i="26"/>
  <c r="Q361" i="26"/>
  <c r="G395" i="26"/>
  <c r="G399" i="26"/>
  <c r="J434" i="26"/>
  <c r="N434" i="26"/>
  <c r="G475" i="26"/>
  <c r="G501" i="26"/>
  <c r="I515" i="26"/>
  <c r="I485" i="26" s="1"/>
  <c r="G17" i="26"/>
  <c r="N8" i="26"/>
  <c r="N7" i="26" s="1"/>
  <c r="E74" i="26"/>
  <c r="E86" i="26"/>
  <c r="F137" i="26"/>
  <c r="L141" i="26"/>
  <c r="L133" i="26" s="1"/>
  <c r="I151" i="26"/>
  <c r="E151" i="26"/>
  <c r="E133" i="26" s="1"/>
  <c r="J221" i="26"/>
  <c r="E221" i="26"/>
  <c r="E220" i="26" s="1"/>
  <c r="L314" i="26"/>
  <c r="Q374" i="26"/>
  <c r="O434" i="26"/>
  <c r="Q434" i="26"/>
  <c r="G454" i="26"/>
  <c r="G459" i="26"/>
  <c r="G472" i="26"/>
  <c r="E474" i="26"/>
  <c r="E434" i="26" s="1"/>
  <c r="L474" i="26"/>
  <c r="G474" i="26" s="1"/>
  <c r="J486" i="26"/>
  <c r="Q486" i="26"/>
  <c r="Q485" i="26" s="1"/>
  <c r="G511" i="26"/>
  <c r="M293" i="26"/>
  <c r="M286" i="26" s="1"/>
  <c r="R286" i="26" s="1"/>
  <c r="F283" i="26"/>
  <c r="G224" i="26"/>
  <c r="F224" i="26"/>
  <c r="G275" i="26"/>
  <c r="F275" i="26"/>
  <c r="I435" i="26"/>
  <c r="G441" i="26"/>
  <c r="H435" i="26"/>
  <c r="H434" i="26" s="1"/>
  <c r="G436" i="26"/>
  <c r="P435" i="26"/>
  <c r="P434" i="26" s="1"/>
  <c r="F417" i="26"/>
  <c r="P413" i="26"/>
  <c r="F303" i="26"/>
  <c r="G283" i="26"/>
  <c r="H247" i="26"/>
  <c r="H220" i="26" s="1"/>
  <c r="L247" i="26"/>
  <c r="J247" i="26"/>
  <c r="F262" i="26"/>
  <c r="O247" i="26"/>
  <c r="O220" i="26" s="1"/>
  <c r="O219" i="26" s="1"/>
  <c r="O541" i="26" s="1"/>
  <c r="N247" i="26"/>
  <c r="N220" i="26" s="1"/>
  <c r="N219" i="26" s="1"/>
  <c r="P247" i="26"/>
  <c r="F248" i="26"/>
  <c r="G230" i="26"/>
  <c r="F230" i="26"/>
  <c r="P221" i="26"/>
  <c r="P86" i="26"/>
  <c r="P7" i="26" s="1"/>
  <c r="P6" i="26" s="1"/>
  <c r="P210" i="26" s="1"/>
  <c r="G94" i="26"/>
  <c r="G86" i="26" s="1"/>
  <c r="G8" i="26"/>
  <c r="J485" i="26"/>
  <c r="G486" i="26"/>
  <c r="R293" i="26"/>
  <c r="S293" i="26" s="1"/>
  <c r="G262" i="26"/>
  <c r="F413" i="26"/>
  <c r="I115" i="26"/>
  <c r="G115" i="26" s="1"/>
  <c r="M123" i="26"/>
  <c r="M122" i="26" s="1"/>
  <c r="M7" i="26" s="1"/>
  <c r="M6" i="26" s="1"/>
  <c r="M210" i="26" s="1"/>
  <c r="M248" i="26"/>
  <c r="I314" i="26"/>
  <c r="G314" i="26" s="1"/>
  <c r="L394" i="26"/>
  <c r="G394" i="26" s="1"/>
  <c r="F444" i="26"/>
  <c r="F441" i="26" s="1"/>
  <c r="F435" i="26" s="1"/>
  <c r="F434" i="26" s="1"/>
  <c r="N546" i="26"/>
  <c r="G26" i="26"/>
  <c r="H122" i="26"/>
  <c r="G124" i="26"/>
  <c r="G123" i="26" s="1"/>
  <c r="G122" i="26" s="1"/>
  <c r="G120" i="26" s="1"/>
  <c r="K133" i="26"/>
  <c r="F133" i="26" s="1"/>
  <c r="G139" i="26"/>
  <c r="G134" i="26" s="1"/>
  <c r="F242" i="26"/>
  <c r="F241" i="26" s="1"/>
  <c r="G249" i="26"/>
  <c r="G248" i="26" s="1"/>
  <c r="G287" i="26"/>
  <c r="F295" i="26"/>
  <c r="F294" i="26" s="1"/>
  <c r="G311" i="26"/>
  <c r="G339" i="26"/>
  <c r="G334" i="26" s="1"/>
  <c r="G333" i="26" s="1"/>
  <c r="I374" i="26"/>
  <c r="K127" i="26"/>
  <c r="J141" i="26"/>
  <c r="J151" i="26"/>
  <c r="G151" i="26" s="1"/>
  <c r="M230" i="26"/>
  <c r="M221" i="26" s="1"/>
  <c r="I458" i="26"/>
  <c r="G458" i="26" s="1"/>
  <c r="G226" i="23"/>
  <c r="G227" i="23"/>
  <c r="G224" i="23"/>
  <c r="D285" i="23"/>
  <c r="D286" i="23"/>
  <c r="D266" i="23"/>
  <c r="F266" i="23" s="1"/>
  <c r="D254" i="23"/>
  <c r="F254" i="23" s="1"/>
  <c r="D267" i="23"/>
  <c r="D252" i="23"/>
  <c r="F252" i="23" s="1"/>
  <c r="N14" i="23"/>
  <c r="N15" i="23"/>
  <c r="N16" i="23"/>
  <c r="N17" i="23"/>
  <c r="N46" i="23"/>
  <c r="N47" i="23"/>
  <c r="N48" i="23"/>
  <c r="N49" i="23"/>
  <c r="N73" i="23"/>
  <c r="N74" i="23"/>
  <c r="N75" i="23"/>
  <c r="N76" i="23"/>
  <c r="N129" i="23"/>
  <c r="N130" i="23"/>
  <c r="N131" i="23"/>
  <c r="N132" i="23"/>
  <c r="N156" i="23"/>
  <c r="N157" i="23"/>
  <c r="N158" i="23"/>
  <c r="N159" i="23"/>
  <c r="N182" i="23"/>
  <c r="N183" i="23"/>
  <c r="N184" i="23"/>
  <c r="N185" i="23"/>
  <c r="N204" i="23"/>
  <c r="N205" i="23"/>
  <c r="N206" i="23"/>
  <c r="N207" i="23"/>
  <c r="N446" i="23"/>
  <c r="N447" i="23"/>
  <c r="N448" i="23"/>
  <c r="N449" i="23"/>
  <c r="N474" i="23"/>
  <c r="N475" i="23"/>
  <c r="N476" i="23"/>
  <c r="N477" i="23"/>
  <c r="N501" i="23"/>
  <c r="N502" i="23"/>
  <c r="N503" i="23"/>
  <c r="N504" i="23"/>
  <c r="N302" i="23"/>
  <c r="N303" i="23"/>
  <c r="N304" i="23"/>
  <c r="N305" i="23"/>
  <c r="N332" i="23"/>
  <c r="N333" i="23"/>
  <c r="N334" i="23"/>
  <c r="N335" i="23"/>
  <c r="N358" i="23"/>
  <c r="N359" i="23"/>
  <c r="N360" i="23"/>
  <c r="N361" i="23"/>
  <c r="N383" i="23"/>
  <c r="N384" i="23"/>
  <c r="N385" i="23"/>
  <c r="N386" i="23"/>
  <c r="N411" i="23"/>
  <c r="N412" i="23"/>
  <c r="N413" i="23"/>
  <c r="N414" i="23"/>
  <c r="G239" i="23"/>
  <c r="N239" i="23" s="1"/>
  <c r="G234" i="23"/>
  <c r="N234" i="23" s="1"/>
  <c r="K223" i="23"/>
  <c r="D294" i="23"/>
  <c r="D295" i="23"/>
  <c r="F440" i="23"/>
  <c r="F439" i="23" s="1"/>
  <c r="F427" i="23"/>
  <c r="F428" i="23"/>
  <c r="F429" i="23"/>
  <c r="F430" i="23"/>
  <c r="F426" i="23"/>
  <c r="F422" i="23"/>
  <c r="F419" i="23" s="1"/>
  <c r="F402" i="23"/>
  <c r="F401" i="23"/>
  <c r="F399" i="23"/>
  <c r="F397" i="23" s="1"/>
  <c r="F375" i="23"/>
  <c r="F374" i="23" s="1"/>
  <c r="F322" i="23"/>
  <c r="F317" i="23" s="1"/>
  <c r="F289" i="23"/>
  <c r="F290" i="23"/>
  <c r="F291" i="23"/>
  <c r="F292" i="23"/>
  <c r="F293" i="23"/>
  <c r="F296" i="23"/>
  <c r="F288" i="23"/>
  <c r="F286" i="23"/>
  <c r="F285" i="23"/>
  <c r="F280" i="23"/>
  <c r="F281" i="23"/>
  <c r="F282" i="23"/>
  <c r="F283" i="23"/>
  <c r="F279" i="23"/>
  <c r="F268" i="23"/>
  <c r="F269" i="23"/>
  <c r="F270" i="23"/>
  <c r="F271" i="23"/>
  <c r="N271" i="23" s="1"/>
  <c r="F272" i="23"/>
  <c r="N272" i="23" s="1"/>
  <c r="F273" i="23"/>
  <c r="N273" i="23" s="1"/>
  <c r="F274" i="23"/>
  <c r="N274" i="23" s="1"/>
  <c r="F275" i="23"/>
  <c r="F265" i="23"/>
  <c r="F258" i="23"/>
  <c r="F257" i="23" s="1"/>
  <c r="F253" i="23"/>
  <c r="F255" i="23"/>
  <c r="F256" i="23"/>
  <c r="F250" i="23"/>
  <c r="F243" i="23"/>
  <c r="F242" i="23" s="1"/>
  <c r="F241" i="23"/>
  <c r="F240" i="23" s="1"/>
  <c r="F235" i="23"/>
  <c r="N235" i="23" s="1"/>
  <c r="F236" i="23"/>
  <c r="N236" i="23" s="1"/>
  <c r="F237" i="23"/>
  <c r="N237" i="23" s="1"/>
  <c r="F238" i="23"/>
  <c r="N238" i="23" s="1"/>
  <c r="F239" i="23"/>
  <c r="F234" i="23"/>
  <c r="F227" i="23"/>
  <c r="N227" i="23" s="1"/>
  <c r="F228" i="23"/>
  <c r="F230" i="23"/>
  <c r="F226" i="23"/>
  <c r="N226" i="23" s="1"/>
  <c r="F224" i="23"/>
  <c r="F223" i="23" s="1"/>
  <c r="F522" i="23"/>
  <c r="F513" i="23"/>
  <c r="F499" i="23"/>
  <c r="F496" i="23"/>
  <c r="F494" i="23"/>
  <c r="F492" i="23"/>
  <c r="F484" i="23"/>
  <c r="F470" i="23"/>
  <c r="F466" i="23"/>
  <c r="F465" i="23" s="1"/>
  <c r="F462" i="23"/>
  <c r="F460" i="23"/>
  <c r="F458" i="23"/>
  <c r="F455" i="23"/>
  <c r="F454" i="23" s="1"/>
  <c r="F452" i="23"/>
  <c r="F444" i="23"/>
  <c r="F442" i="23"/>
  <c r="F437" i="23"/>
  <c r="F435" i="23"/>
  <c r="F415" i="23"/>
  <c r="F409" i="23"/>
  <c r="F406" i="23"/>
  <c r="F382" i="23"/>
  <c r="F378" i="23"/>
  <c r="F371" i="23"/>
  <c r="F368" i="23"/>
  <c r="F365" i="23"/>
  <c r="F362" i="23"/>
  <c r="F354" i="23"/>
  <c r="F351" i="23"/>
  <c r="F348" i="23"/>
  <c r="F345" i="23"/>
  <c r="F340" i="23"/>
  <c r="F338" i="23"/>
  <c r="F327" i="23"/>
  <c r="F314" i="23"/>
  <c r="F310" i="23"/>
  <c r="F308" i="23"/>
  <c r="F306" i="23"/>
  <c r="F298" i="23"/>
  <c r="F246" i="23"/>
  <c r="F244" i="23"/>
  <c r="F139" i="23"/>
  <c r="F138" i="23" s="1"/>
  <c r="F125" i="23"/>
  <c r="F124" i="23" s="1"/>
  <c r="F123" i="23" s="1"/>
  <c r="F114" i="23"/>
  <c r="F113" i="23" s="1"/>
  <c r="F99" i="23"/>
  <c r="F100" i="23"/>
  <c r="F101" i="23"/>
  <c r="F103" i="23"/>
  <c r="N103" i="23" s="1"/>
  <c r="F104" i="23"/>
  <c r="N104" i="23" s="1"/>
  <c r="F105" i="23"/>
  <c r="N105" i="23" s="1"/>
  <c r="F106" i="23"/>
  <c r="N106" i="23" s="1"/>
  <c r="F107" i="23"/>
  <c r="F108" i="23"/>
  <c r="F109" i="23"/>
  <c r="F110" i="23"/>
  <c r="F111" i="23"/>
  <c r="F112" i="23"/>
  <c r="F98" i="23"/>
  <c r="F94" i="23"/>
  <c r="F90" i="23" s="1"/>
  <c r="F198" i="23"/>
  <c r="F188" i="23"/>
  <c r="F175" i="23"/>
  <c r="F165" i="23"/>
  <c r="F164" i="23" s="1"/>
  <c r="F161" i="23"/>
  <c r="F155" i="23"/>
  <c r="F153" i="23"/>
  <c r="F150" i="23"/>
  <c r="F149" i="23" s="1"/>
  <c r="F147" i="23"/>
  <c r="F145" i="23"/>
  <c r="F143" i="23"/>
  <c r="F142" i="23" s="1"/>
  <c r="F140" i="23"/>
  <c r="F136" i="23"/>
  <c r="F121" i="23"/>
  <c r="F119" i="23"/>
  <c r="F116" i="23"/>
  <c r="F86" i="23"/>
  <c r="F81" i="23"/>
  <c r="F78" i="23"/>
  <c r="F69" i="23"/>
  <c r="F64" i="23"/>
  <c r="F56" i="23"/>
  <c r="F45" i="23"/>
  <c r="F42" i="23"/>
  <c r="F35" i="23"/>
  <c r="F29" i="23"/>
  <c r="F22" i="23"/>
  <c r="F20" i="23"/>
  <c r="F12" i="23"/>
  <c r="D90" i="23"/>
  <c r="D522" i="23"/>
  <c r="D513" i="23"/>
  <c r="D499" i="23"/>
  <c r="D496" i="23"/>
  <c r="D494" i="23"/>
  <c r="D492" i="23"/>
  <c r="D484" i="23"/>
  <c r="D470" i="23"/>
  <c r="D466" i="23"/>
  <c r="D465" i="23" s="1"/>
  <c r="D462" i="23"/>
  <c r="D460" i="23"/>
  <c r="D458" i="23"/>
  <c r="D455" i="23"/>
  <c r="D454" i="23" s="1"/>
  <c r="D452" i="23"/>
  <c r="D444" i="23"/>
  <c r="D442" i="23"/>
  <c r="D439" i="23"/>
  <c r="D437" i="23"/>
  <c r="D435" i="23"/>
  <c r="D424" i="23"/>
  <c r="D419" i="23"/>
  <c r="D415" i="23"/>
  <c r="D409" i="23"/>
  <c r="D406" i="23"/>
  <c r="D404" i="23"/>
  <c r="D400" i="23"/>
  <c r="D397" i="23"/>
  <c r="D382" i="23"/>
  <c r="D378" i="23"/>
  <c r="D374" i="23"/>
  <c r="D371" i="23"/>
  <c r="D368" i="23"/>
  <c r="D365" i="23"/>
  <c r="D362" i="23"/>
  <c r="D354" i="23"/>
  <c r="D351" i="23"/>
  <c r="D348" i="23"/>
  <c r="D345" i="23"/>
  <c r="D340" i="23"/>
  <c r="D338" i="23"/>
  <c r="D327" i="23"/>
  <c r="D317" i="23"/>
  <c r="D276" i="23"/>
  <c r="D257" i="23"/>
  <c r="D242" i="23"/>
  <c r="D240" i="23"/>
  <c r="D231" i="23"/>
  <c r="D225" i="23"/>
  <c r="D223" i="23"/>
  <c r="D138" i="23"/>
  <c r="D136" i="23"/>
  <c r="D128" i="23"/>
  <c r="D127" i="23" s="1"/>
  <c r="D130" i="23"/>
  <c r="D129" i="23" s="1"/>
  <c r="D126" i="23"/>
  <c r="D124" i="23" s="1"/>
  <c r="D123" i="23" s="1"/>
  <c r="D113" i="23"/>
  <c r="D97" i="23"/>
  <c r="D86" i="23"/>
  <c r="D81" i="23"/>
  <c r="D78" i="23"/>
  <c r="D77" i="23" s="1"/>
  <c r="D69" i="23"/>
  <c r="D64" i="23"/>
  <c r="D56" i="23"/>
  <c r="D45" i="23"/>
  <c r="D42" i="23"/>
  <c r="D35" i="23"/>
  <c r="D29" i="23"/>
  <c r="D22" i="23"/>
  <c r="D20" i="23"/>
  <c r="D12" i="23"/>
  <c r="G94" i="23"/>
  <c r="F498" i="23" l="1"/>
  <c r="N541" i="26"/>
  <c r="F297" i="23"/>
  <c r="F457" i="23"/>
  <c r="K220" i="26"/>
  <c r="K219" i="26" s="1"/>
  <c r="K541" i="26" s="1"/>
  <c r="J220" i="26"/>
  <c r="J219" i="26" s="1"/>
  <c r="G547" i="28"/>
  <c r="F543" i="27"/>
  <c r="D441" i="23"/>
  <c r="G515" i="26"/>
  <c r="D63" i="23"/>
  <c r="H219" i="26"/>
  <c r="H541" i="26" s="1"/>
  <c r="F77" i="23"/>
  <c r="E7" i="26"/>
  <c r="E6" i="26" s="1"/>
  <c r="E210" i="26" s="1"/>
  <c r="N94" i="23"/>
  <c r="F11" i="23"/>
  <c r="F152" i="23"/>
  <c r="N6" i="26"/>
  <c r="D11" i="23"/>
  <c r="D357" i="23"/>
  <c r="I547" i="27"/>
  <c r="F541" i="34"/>
  <c r="N524" i="34"/>
  <c r="L534" i="29"/>
  <c r="G219" i="27"/>
  <c r="G541" i="27" s="1"/>
  <c r="G547" i="27" s="1"/>
  <c r="Q220" i="26"/>
  <c r="Q219" i="26" s="1"/>
  <c r="Q541" i="26" s="1"/>
  <c r="G435" i="26"/>
  <c r="I220" i="26"/>
  <c r="D498" i="23"/>
  <c r="D457" i="23"/>
  <c r="F135" i="23"/>
  <c r="F134" i="23" s="1"/>
  <c r="D316" i="23"/>
  <c r="F63" i="23"/>
  <c r="F469" i="23"/>
  <c r="D135" i="23"/>
  <c r="D134" i="23" s="1"/>
  <c r="D377" i="23"/>
  <c r="F118" i="23"/>
  <c r="F377" i="23"/>
  <c r="D469" i="23"/>
  <c r="F187" i="23"/>
  <c r="F344" i="23"/>
  <c r="F441" i="23"/>
  <c r="F231" i="23"/>
  <c r="D344" i="23"/>
  <c r="F357" i="23"/>
  <c r="D284" i="23"/>
  <c r="M541" i="30"/>
  <c r="R219" i="30"/>
  <c r="F547" i="30"/>
  <c r="F543" i="30"/>
  <c r="F549" i="30"/>
  <c r="H543" i="30"/>
  <c r="H547" i="30"/>
  <c r="D534" i="29"/>
  <c r="J534" i="29"/>
  <c r="J540" i="29"/>
  <c r="M540" i="29"/>
  <c r="D524" i="29"/>
  <c r="D541" i="29" s="1"/>
  <c r="D535" i="29"/>
  <c r="F221" i="29"/>
  <c r="F220" i="29" s="1"/>
  <c r="F524" i="29" s="1"/>
  <c r="F541" i="29" s="1"/>
  <c r="E541" i="29"/>
  <c r="F533" i="29"/>
  <c r="F535" i="29" s="1"/>
  <c r="E534" i="29"/>
  <c r="K541" i="29"/>
  <c r="H539" i="29"/>
  <c r="G537" i="29"/>
  <c r="G539" i="29" s="1"/>
  <c r="I534" i="29"/>
  <c r="H532" i="29"/>
  <c r="H211" i="29"/>
  <c r="G9" i="29"/>
  <c r="N9" i="29" s="1"/>
  <c r="H533" i="29"/>
  <c r="G220" i="29"/>
  <c r="H524" i="29"/>
  <c r="I540" i="29"/>
  <c r="K543" i="28"/>
  <c r="K547" i="28"/>
  <c r="R219" i="28"/>
  <c r="M547" i="28"/>
  <c r="F543" i="28"/>
  <c r="F549" i="28"/>
  <c r="F547" i="28"/>
  <c r="J547" i="28"/>
  <c r="J543" i="28"/>
  <c r="F547" i="27"/>
  <c r="M541" i="27"/>
  <c r="R219" i="27"/>
  <c r="E219" i="26"/>
  <c r="E541" i="26" s="1"/>
  <c r="L6" i="26"/>
  <c r="L210" i="26" s="1"/>
  <c r="Q133" i="26"/>
  <c r="Q6" i="26" s="1"/>
  <c r="Q210" i="26" s="1"/>
  <c r="G485" i="26"/>
  <c r="I133" i="26"/>
  <c r="L434" i="26"/>
  <c r="G163" i="26"/>
  <c r="I162" i="26"/>
  <c r="G162" i="26" s="1"/>
  <c r="N210" i="26"/>
  <c r="N547" i="26" s="1"/>
  <c r="G361" i="26"/>
  <c r="G293" i="26"/>
  <c r="G286" i="26" s="1"/>
  <c r="G247" i="26" s="1"/>
  <c r="F293" i="26"/>
  <c r="F286" i="26" s="1"/>
  <c r="F247" i="26" s="1"/>
  <c r="M247" i="26"/>
  <c r="M220" i="26" s="1"/>
  <c r="M219" i="26" s="1"/>
  <c r="M541" i="26" s="1"/>
  <c r="M547" i="26" s="1"/>
  <c r="P220" i="26"/>
  <c r="P219" i="26" s="1"/>
  <c r="P541" i="26" s="1"/>
  <c r="P543" i="26" s="1"/>
  <c r="G221" i="26"/>
  <c r="F221" i="26"/>
  <c r="O543" i="26"/>
  <c r="O547" i="26"/>
  <c r="J133" i="26"/>
  <c r="J6" i="26" s="1"/>
  <c r="J210" i="26" s="1"/>
  <c r="G141" i="26"/>
  <c r="G133" i="26" s="1"/>
  <c r="G434" i="26"/>
  <c r="I7" i="26"/>
  <c r="F123" i="26"/>
  <c r="J541" i="26"/>
  <c r="G7" i="26"/>
  <c r="L220" i="26"/>
  <c r="L219" i="26" s="1"/>
  <c r="L541" i="26" s="1"/>
  <c r="L547" i="26" s="1"/>
  <c r="I434" i="26"/>
  <c r="I219" i="26" s="1"/>
  <c r="I541" i="26" s="1"/>
  <c r="F127" i="26"/>
  <c r="K126" i="26"/>
  <c r="H120" i="26"/>
  <c r="F120" i="26" s="1"/>
  <c r="F86" i="26" s="1"/>
  <c r="F122" i="26"/>
  <c r="H7" i="26"/>
  <c r="H6" i="26" s="1"/>
  <c r="H210" i="26" s="1"/>
  <c r="H547" i="26" s="1"/>
  <c r="N224" i="23"/>
  <c r="D263" i="23"/>
  <c r="F267" i="23"/>
  <c r="D249" i="23"/>
  <c r="D287" i="23"/>
  <c r="F284" i="23"/>
  <c r="F424" i="23"/>
  <c r="F418" i="23" s="1"/>
  <c r="F417" i="23" s="1"/>
  <c r="F276" i="23"/>
  <c r="F225" i="23"/>
  <c r="F316" i="23"/>
  <c r="F468" i="23"/>
  <c r="F97" i="23"/>
  <c r="F163" i="23"/>
  <c r="D89" i="23"/>
  <c r="D396" i="23"/>
  <c r="D418" i="23"/>
  <c r="D417" i="23" s="1"/>
  <c r="D468" i="23"/>
  <c r="D222" i="23"/>
  <c r="G241" i="23"/>
  <c r="N241" i="23" s="1"/>
  <c r="G243" i="23"/>
  <c r="N243" i="23" s="1"/>
  <c r="G250" i="23"/>
  <c r="N250" i="23" s="1"/>
  <c r="G251" i="23"/>
  <c r="G252" i="23"/>
  <c r="N252" i="23" s="1"/>
  <c r="G253" i="23"/>
  <c r="N253" i="23" s="1"/>
  <c r="G254" i="23"/>
  <c r="N254" i="23" s="1"/>
  <c r="G258" i="23"/>
  <c r="N258" i="23" s="1"/>
  <c r="G265" i="23"/>
  <c r="N265" i="23" s="1"/>
  <c r="G266" i="23"/>
  <c r="N266" i="23" s="1"/>
  <c r="G267" i="23"/>
  <c r="G268" i="23"/>
  <c r="N268" i="23" s="1"/>
  <c r="G269" i="23"/>
  <c r="N269" i="23" s="1"/>
  <c r="G270" i="23"/>
  <c r="N270" i="23" s="1"/>
  <c r="G275" i="23"/>
  <c r="N275" i="23" s="1"/>
  <c r="G279" i="23"/>
  <c r="N279" i="23" s="1"/>
  <c r="G280" i="23"/>
  <c r="N280" i="23" s="1"/>
  <c r="G281" i="23"/>
  <c r="N281" i="23" s="1"/>
  <c r="G282" i="23"/>
  <c r="N282" i="23" s="1"/>
  <c r="G283" i="23"/>
  <c r="N283" i="23" s="1"/>
  <c r="G285" i="23"/>
  <c r="N285" i="23" s="1"/>
  <c r="G286" i="23"/>
  <c r="N286" i="23" s="1"/>
  <c r="G288" i="23"/>
  <c r="N288" i="23" s="1"/>
  <c r="G289" i="23"/>
  <c r="N289" i="23" s="1"/>
  <c r="G290" i="23"/>
  <c r="N290" i="23" s="1"/>
  <c r="G291" i="23"/>
  <c r="N291" i="23" s="1"/>
  <c r="G292" i="23"/>
  <c r="N292" i="23" s="1"/>
  <c r="G293" i="23"/>
  <c r="N293" i="23" s="1"/>
  <c r="G294" i="23"/>
  <c r="G295" i="23"/>
  <c r="G296" i="23"/>
  <c r="N296" i="23" s="1"/>
  <c r="G322" i="23"/>
  <c r="N322" i="23" s="1"/>
  <c r="G375" i="23"/>
  <c r="N375" i="23" s="1"/>
  <c r="G399" i="23"/>
  <c r="N399" i="23" s="1"/>
  <c r="G401" i="23"/>
  <c r="N401" i="23" s="1"/>
  <c r="G402" i="23"/>
  <c r="N402" i="23" s="1"/>
  <c r="G403" i="23"/>
  <c r="G405" i="23"/>
  <c r="G426" i="23"/>
  <c r="N426" i="23" s="1"/>
  <c r="G427" i="23"/>
  <c r="N427" i="23" s="1"/>
  <c r="G428" i="23"/>
  <c r="N428" i="23" s="1"/>
  <c r="G429" i="23"/>
  <c r="N429" i="23" s="1"/>
  <c r="G430" i="23"/>
  <c r="N430" i="23" s="1"/>
  <c r="G98" i="23"/>
  <c r="N98" i="23" s="1"/>
  <c r="G99" i="23"/>
  <c r="N99" i="23" s="1"/>
  <c r="G100" i="23"/>
  <c r="N100" i="23" s="1"/>
  <c r="G114" i="23"/>
  <c r="N114" i="23" s="1"/>
  <c r="G125" i="23"/>
  <c r="N125" i="23" s="1"/>
  <c r="G523" i="23"/>
  <c r="N523" i="23" s="1"/>
  <c r="M522" i="23"/>
  <c r="L522" i="23"/>
  <c r="K522" i="23"/>
  <c r="J522" i="23"/>
  <c r="I522" i="23"/>
  <c r="H522" i="23"/>
  <c r="E522" i="23"/>
  <c r="G521" i="23"/>
  <c r="N521" i="23" s="1"/>
  <c r="G520" i="23"/>
  <c r="N520" i="23" s="1"/>
  <c r="G519" i="23"/>
  <c r="N519" i="23" s="1"/>
  <c r="G518" i="23"/>
  <c r="N518" i="23" s="1"/>
  <c r="G517" i="23"/>
  <c r="N517" i="23" s="1"/>
  <c r="G516" i="23"/>
  <c r="N516" i="23" s="1"/>
  <c r="G515" i="23"/>
  <c r="N515" i="23" s="1"/>
  <c r="G514" i="23"/>
  <c r="N514" i="23" s="1"/>
  <c r="M513" i="23"/>
  <c r="L513" i="23"/>
  <c r="K513" i="23"/>
  <c r="J513" i="23"/>
  <c r="I513" i="23"/>
  <c r="H513" i="23"/>
  <c r="E513" i="23"/>
  <c r="G512" i="23"/>
  <c r="N512" i="23" s="1"/>
  <c r="G511" i="23"/>
  <c r="N511" i="23" s="1"/>
  <c r="G510" i="23"/>
  <c r="N510" i="23" s="1"/>
  <c r="G509" i="23"/>
  <c r="N509" i="23" s="1"/>
  <c r="G508" i="23"/>
  <c r="N508" i="23" s="1"/>
  <c r="G507" i="23"/>
  <c r="N507" i="23" s="1"/>
  <c r="G506" i="23"/>
  <c r="N506" i="23" s="1"/>
  <c r="G505" i="23"/>
  <c r="N505" i="23" s="1"/>
  <c r="G500" i="23"/>
  <c r="N500" i="23" s="1"/>
  <c r="M499" i="23"/>
  <c r="L499" i="23"/>
  <c r="K499" i="23"/>
  <c r="J499" i="23"/>
  <c r="I499" i="23"/>
  <c r="H499" i="23"/>
  <c r="E499" i="23"/>
  <c r="G497" i="23"/>
  <c r="N497" i="23" s="1"/>
  <c r="M496" i="23"/>
  <c r="L496" i="23"/>
  <c r="K496" i="23"/>
  <c r="J496" i="23"/>
  <c r="I496" i="23"/>
  <c r="H496" i="23"/>
  <c r="E496" i="23"/>
  <c r="G495" i="23"/>
  <c r="N495" i="23" s="1"/>
  <c r="M494" i="23"/>
  <c r="L494" i="23"/>
  <c r="K494" i="23"/>
  <c r="J494" i="23"/>
  <c r="I494" i="23"/>
  <c r="H494" i="23"/>
  <c r="E494" i="23"/>
  <c r="G493" i="23"/>
  <c r="N493" i="23" s="1"/>
  <c r="M492" i="23"/>
  <c r="L492" i="23"/>
  <c r="K492" i="23"/>
  <c r="J492" i="23"/>
  <c r="I492" i="23"/>
  <c r="H492" i="23"/>
  <c r="E492" i="23"/>
  <c r="G491" i="23"/>
  <c r="N491" i="23" s="1"/>
  <c r="G490" i="23"/>
  <c r="N490" i="23" s="1"/>
  <c r="G489" i="23"/>
  <c r="N489" i="23" s="1"/>
  <c r="G488" i="23"/>
  <c r="N488" i="23" s="1"/>
  <c r="G487" i="23"/>
  <c r="N487" i="23" s="1"/>
  <c r="G486" i="23"/>
  <c r="N486" i="23" s="1"/>
  <c r="G485" i="23"/>
  <c r="N485" i="23" s="1"/>
  <c r="M484" i="23"/>
  <c r="L484" i="23"/>
  <c r="K484" i="23"/>
  <c r="J484" i="23"/>
  <c r="I484" i="23"/>
  <c r="H484" i="23"/>
  <c r="E484" i="23"/>
  <c r="G483" i="23"/>
  <c r="N483" i="23" s="1"/>
  <c r="G482" i="23"/>
  <c r="N482" i="23" s="1"/>
  <c r="G481" i="23"/>
  <c r="N481" i="23" s="1"/>
  <c r="G480" i="23"/>
  <c r="N480" i="23" s="1"/>
  <c r="G479" i="23"/>
  <c r="N479" i="23" s="1"/>
  <c r="G478" i="23"/>
  <c r="N478" i="23" s="1"/>
  <c r="G473" i="23"/>
  <c r="N473" i="23" s="1"/>
  <c r="G472" i="23"/>
  <c r="N472" i="23" s="1"/>
  <c r="G471" i="23"/>
  <c r="N471" i="23" s="1"/>
  <c r="M470" i="23"/>
  <c r="L470" i="23"/>
  <c r="K470" i="23"/>
  <c r="J470" i="23"/>
  <c r="I470" i="23"/>
  <c r="H470" i="23"/>
  <c r="E470" i="23"/>
  <c r="G467" i="23"/>
  <c r="N467" i="23" s="1"/>
  <c r="M466" i="23"/>
  <c r="M465" i="23" s="1"/>
  <c r="L466" i="23"/>
  <c r="L465" i="23" s="1"/>
  <c r="K466" i="23"/>
  <c r="K465" i="23" s="1"/>
  <c r="J466" i="23"/>
  <c r="J465" i="23" s="1"/>
  <c r="I466" i="23"/>
  <c r="I465" i="23" s="1"/>
  <c r="H466" i="23"/>
  <c r="E466" i="23"/>
  <c r="E465" i="23"/>
  <c r="G464" i="23"/>
  <c r="N464" i="23" s="1"/>
  <c r="G463" i="23"/>
  <c r="N463" i="23" s="1"/>
  <c r="M462" i="23"/>
  <c r="L462" i="23"/>
  <c r="K462" i="23"/>
  <c r="J462" i="23"/>
  <c r="I462" i="23"/>
  <c r="H462" i="23"/>
  <c r="E462" i="23"/>
  <c r="G461" i="23"/>
  <c r="N461" i="23" s="1"/>
  <c r="M460" i="23"/>
  <c r="L460" i="23"/>
  <c r="K460" i="23"/>
  <c r="J460" i="23"/>
  <c r="I460" i="23"/>
  <c r="H460" i="23"/>
  <c r="E460" i="23"/>
  <c r="G459" i="23"/>
  <c r="N459" i="23" s="1"/>
  <c r="M458" i="23"/>
  <c r="M457" i="23" s="1"/>
  <c r="L458" i="23"/>
  <c r="K458" i="23"/>
  <c r="J458" i="23"/>
  <c r="J457" i="23" s="1"/>
  <c r="I458" i="23"/>
  <c r="H458" i="23"/>
  <c r="E458" i="23"/>
  <c r="G456" i="23"/>
  <c r="N456" i="23" s="1"/>
  <c r="M455" i="23"/>
  <c r="M454" i="23" s="1"/>
  <c r="L455" i="23"/>
  <c r="L454" i="23" s="1"/>
  <c r="K455" i="23"/>
  <c r="K454" i="23" s="1"/>
  <c r="J455" i="23"/>
  <c r="J454" i="23" s="1"/>
  <c r="I455" i="23"/>
  <c r="I454" i="23" s="1"/>
  <c r="H455" i="23"/>
  <c r="H454" i="23" s="1"/>
  <c r="E455" i="23"/>
  <c r="E454" i="23" s="1"/>
  <c r="G453" i="23"/>
  <c r="N453" i="23" s="1"/>
  <c r="M452" i="23"/>
  <c r="L452" i="23"/>
  <c r="K452" i="23"/>
  <c r="J452" i="23"/>
  <c r="I452" i="23"/>
  <c r="H452" i="23"/>
  <c r="E452" i="23"/>
  <c r="G451" i="23"/>
  <c r="N451" i="23" s="1"/>
  <c r="G450" i="23"/>
  <c r="N450" i="23" s="1"/>
  <c r="G445" i="23"/>
  <c r="N445" i="23" s="1"/>
  <c r="M444" i="23"/>
  <c r="L444" i="23"/>
  <c r="K444" i="23"/>
  <c r="J444" i="23"/>
  <c r="I444" i="23"/>
  <c r="H444" i="23"/>
  <c r="E444" i="23"/>
  <c r="G443" i="23"/>
  <c r="N443" i="23" s="1"/>
  <c r="M442" i="23"/>
  <c r="L442" i="23"/>
  <c r="L441" i="23" s="1"/>
  <c r="K442" i="23"/>
  <c r="J442" i="23"/>
  <c r="I442" i="23"/>
  <c r="H442" i="23"/>
  <c r="H441" i="23" s="1"/>
  <c r="E442" i="23"/>
  <c r="G440" i="23"/>
  <c r="N440" i="23" s="1"/>
  <c r="M439" i="23"/>
  <c r="L439" i="23"/>
  <c r="K439" i="23"/>
  <c r="J439" i="23"/>
  <c r="I439" i="23"/>
  <c r="H439" i="23"/>
  <c r="E439" i="23"/>
  <c r="G438" i="23"/>
  <c r="N438" i="23" s="1"/>
  <c r="M437" i="23"/>
  <c r="L437" i="23"/>
  <c r="K437" i="23"/>
  <c r="J437" i="23"/>
  <c r="I437" i="23"/>
  <c r="H437" i="23"/>
  <c r="E437" i="23"/>
  <c r="G436" i="23"/>
  <c r="N436" i="23" s="1"/>
  <c r="M435" i="23"/>
  <c r="L435" i="23"/>
  <c r="K435" i="23"/>
  <c r="J435" i="23"/>
  <c r="I435" i="23"/>
  <c r="H435" i="23"/>
  <c r="E435" i="23"/>
  <c r="G434" i="23"/>
  <c r="N434" i="23" s="1"/>
  <c r="G433" i="23"/>
  <c r="N433" i="23" s="1"/>
  <c r="G432" i="23"/>
  <c r="N432" i="23" s="1"/>
  <c r="G431" i="23"/>
  <c r="N431" i="23" s="1"/>
  <c r="E424" i="23"/>
  <c r="G425" i="23"/>
  <c r="N425" i="23" s="1"/>
  <c r="M424" i="23"/>
  <c r="L424" i="23"/>
  <c r="K424" i="23"/>
  <c r="J424" i="23"/>
  <c r="I424" i="23"/>
  <c r="H424" i="23"/>
  <c r="G423" i="23"/>
  <c r="N423" i="23" s="1"/>
  <c r="G422" i="23"/>
  <c r="N422" i="23" s="1"/>
  <c r="G421" i="23"/>
  <c r="N421" i="23" s="1"/>
  <c r="G420" i="23"/>
  <c r="N420" i="23" s="1"/>
  <c r="M419" i="23"/>
  <c r="L419" i="23"/>
  <c r="K419" i="23"/>
  <c r="J419" i="23"/>
  <c r="I419" i="23"/>
  <c r="H419" i="23"/>
  <c r="E419" i="23"/>
  <c r="G416" i="23"/>
  <c r="N416" i="23" s="1"/>
  <c r="M415" i="23"/>
  <c r="L415" i="23"/>
  <c r="K415" i="23"/>
  <c r="J415" i="23"/>
  <c r="I415" i="23"/>
  <c r="H415" i="23"/>
  <c r="E415" i="23"/>
  <c r="G410" i="23"/>
  <c r="N410" i="23" s="1"/>
  <c r="M409" i="23"/>
  <c r="L409" i="23"/>
  <c r="K409" i="23"/>
  <c r="J409" i="23"/>
  <c r="I409" i="23"/>
  <c r="H409" i="23"/>
  <c r="E409" i="23"/>
  <c r="G408" i="23"/>
  <c r="N408" i="23" s="1"/>
  <c r="G407" i="23"/>
  <c r="N407" i="23" s="1"/>
  <c r="M406" i="23"/>
  <c r="L406" i="23"/>
  <c r="K406" i="23"/>
  <c r="J406" i="23"/>
  <c r="I406" i="23"/>
  <c r="H406" i="23"/>
  <c r="E406" i="23"/>
  <c r="E405" i="23"/>
  <c r="F405" i="23" s="1"/>
  <c r="F404" i="23" s="1"/>
  <c r="M404" i="23"/>
  <c r="L404" i="23"/>
  <c r="K404" i="23"/>
  <c r="J404" i="23"/>
  <c r="I404" i="23"/>
  <c r="H404" i="23"/>
  <c r="E403" i="23"/>
  <c r="F403" i="23" s="1"/>
  <c r="F400" i="23" s="1"/>
  <c r="M400" i="23"/>
  <c r="L400" i="23"/>
  <c r="K400" i="23"/>
  <c r="J400" i="23"/>
  <c r="I400" i="23"/>
  <c r="H400" i="23"/>
  <c r="G398" i="23"/>
  <c r="N398" i="23" s="1"/>
  <c r="M397" i="23"/>
  <c r="L397" i="23"/>
  <c r="K397" i="23"/>
  <c r="J397" i="23"/>
  <c r="I397" i="23"/>
  <c r="H397" i="23"/>
  <c r="E397" i="23"/>
  <c r="G395" i="23"/>
  <c r="N395" i="23" s="1"/>
  <c r="G394" i="23"/>
  <c r="N394" i="23" s="1"/>
  <c r="G393" i="23"/>
  <c r="N393" i="23" s="1"/>
  <c r="G392" i="23"/>
  <c r="N392" i="23" s="1"/>
  <c r="G391" i="23"/>
  <c r="N391" i="23" s="1"/>
  <c r="G390" i="23"/>
  <c r="N390" i="23" s="1"/>
  <c r="G389" i="23"/>
  <c r="N389" i="23" s="1"/>
  <c r="G388" i="23"/>
  <c r="N388" i="23" s="1"/>
  <c r="G387" i="23"/>
  <c r="N387" i="23" s="1"/>
  <c r="M382" i="23"/>
  <c r="L382" i="23"/>
  <c r="K382" i="23"/>
  <c r="J382" i="23"/>
  <c r="I382" i="23"/>
  <c r="H382" i="23"/>
  <c r="E382" i="23"/>
  <c r="G381" i="23"/>
  <c r="N381" i="23" s="1"/>
  <c r="G380" i="23"/>
  <c r="N380" i="23" s="1"/>
  <c r="G379" i="23"/>
  <c r="N379" i="23" s="1"/>
  <c r="M378" i="23"/>
  <c r="L378" i="23"/>
  <c r="K378" i="23"/>
  <c r="J378" i="23"/>
  <c r="I378" i="23"/>
  <c r="H378" i="23"/>
  <c r="E378" i="23"/>
  <c r="G376" i="23"/>
  <c r="N376" i="23" s="1"/>
  <c r="M374" i="23"/>
  <c r="L374" i="23"/>
  <c r="K374" i="23"/>
  <c r="J374" i="23"/>
  <c r="I374" i="23"/>
  <c r="H374" i="23"/>
  <c r="E374" i="23"/>
  <c r="G373" i="23"/>
  <c r="N373" i="23" s="1"/>
  <c r="G372" i="23"/>
  <c r="N372" i="23" s="1"/>
  <c r="M371" i="23"/>
  <c r="L371" i="23"/>
  <c r="K371" i="23"/>
  <c r="J371" i="23"/>
  <c r="I371" i="23"/>
  <c r="H371" i="23"/>
  <c r="E371" i="23"/>
  <c r="G370" i="23"/>
  <c r="N370" i="23" s="1"/>
  <c r="G369" i="23"/>
  <c r="N369" i="23" s="1"/>
  <c r="M368" i="23"/>
  <c r="L368" i="23"/>
  <c r="K368" i="23"/>
  <c r="J368" i="23"/>
  <c r="I368" i="23"/>
  <c r="H368" i="23"/>
  <c r="E368" i="23"/>
  <c r="G367" i="23"/>
  <c r="N367" i="23" s="1"/>
  <c r="G366" i="23"/>
  <c r="N366" i="23" s="1"/>
  <c r="M365" i="23"/>
  <c r="L365" i="23"/>
  <c r="K365" i="23"/>
  <c r="J365" i="23"/>
  <c r="I365" i="23"/>
  <c r="H365" i="23"/>
  <c r="E365" i="23"/>
  <c r="G364" i="23"/>
  <c r="N364" i="23" s="1"/>
  <c r="G363" i="23"/>
  <c r="N363" i="23" s="1"/>
  <c r="M362" i="23"/>
  <c r="L362" i="23"/>
  <c r="K362" i="23"/>
  <c r="J362" i="23"/>
  <c r="I362" i="23"/>
  <c r="H362" i="23"/>
  <c r="E362" i="23"/>
  <c r="G356" i="23"/>
  <c r="N356" i="23" s="1"/>
  <c r="G355" i="23"/>
  <c r="N355" i="23" s="1"/>
  <c r="M354" i="23"/>
  <c r="L354" i="23"/>
  <c r="K354" i="23"/>
  <c r="J354" i="23"/>
  <c r="I354" i="23"/>
  <c r="H354" i="23"/>
  <c r="E354" i="23"/>
  <c r="G353" i="23"/>
  <c r="N353" i="23" s="1"/>
  <c r="G352" i="23"/>
  <c r="N352" i="23" s="1"/>
  <c r="M351" i="23"/>
  <c r="L351" i="23"/>
  <c r="K351" i="23"/>
  <c r="J351" i="23"/>
  <c r="I351" i="23"/>
  <c r="H351" i="23"/>
  <c r="E351" i="23"/>
  <c r="G350" i="23"/>
  <c r="N350" i="23" s="1"/>
  <c r="G349" i="23"/>
  <c r="N349" i="23" s="1"/>
  <c r="M348" i="23"/>
  <c r="L348" i="23"/>
  <c r="K348" i="23"/>
  <c r="J348" i="23"/>
  <c r="I348" i="23"/>
  <c r="H348" i="23"/>
  <c r="E348" i="23"/>
  <c r="G347" i="23"/>
  <c r="N347" i="23" s="1"/>
  <c r="G346" i="23"/>
  <c r="N346" i="23" s="1"/>
  <c r="M345" i="23"/>
  <c r="L345" i="23"/>
  <c r="K345" i="23"/>
  <c r="J345" i="23"/>
  <c r="I345" i="23"/>
  <c r="H345" i="23"/>
  <c r="E345" i="23"/>
  <c r="G343" i="23"/>
  <c r="N343" i="23" s="1"/>
  <c r="G342" i="23"/>
  <c r="N342" i="23" s="1"/>
  <c r="G341" i="23"/>
  <c r="N341" i="23" s="1"/>
  <c r="M340" i="23"/>
  <c r="L340" i="23"/>
  <c r="K340" i="23"/>
  <c r="J340" i="23"/>
  <c r="I340" i="23"/>
  <c r="H340" i="23"/>
  <c r="E340" i="23"/>
  <c r="G339" i="23"/>
  <c r="N339" i="23" s="1"/>
  <c r="M338" i="23"/>
  <c r="L338" i="23"/>
  <c r="K338" i="23"/>
  <c r="J338" i="23"/>
  <c r="I338" i="23"/>
  <c r="H338" i="23"/>
  <c r="E338" i="23"/>
  <c r="G337" i="23"/>
  <c r="N337" i="23" s="1"/>
  <c r="G336" i="23"/>
  <c r="N336" i="23" s="1"/>
  <c r="G331" i="23"/>
  <c r="N331" i="23" s="1"/>
  <c r="G330" i="23"/>
  <c r="N330" i="23" s="1"/>
  <c r="G329" i="23"/>
  <c r="N329" i="23" s="1"/>
  <c r="G328" i="23"/>
  <c r="N328" i="23" s="1"/>
  <c r="M327" i="23"/>
  <c r="L327" i="23"/>
  <c r="K327" i="23"/>
  <c r="J327" i="23"/>
  <c r="I327" i="23"/>
  <c r="H327" i="23"/>
  <c r="E327" i="23"/>
  <c r="G326" i="23"/>
  <c r="N326" i="23" s="1"/>
  <c r="G325" i="23"/>
  <c r="N325" i="23" s="1"/>
  <c r="G324" i="23"/>
  <c r="N324" i="23" s="1"/>
  <c r="G323" i="23"/>
  <c r="N323" i="23" s="1"/>
  <c r="G321" i="23"/>
  <c r="N321" i="23" s="1"/>
  <c r="G320" i="23"/>
  <c r="N320" i="23" s="1"/>
  <c r="G319" i="23"/>
  <c r="N319" i="23" s="1"/>
  <c r="G318" i="23"/>
  <c r="N318" i="23" s="1"/>
  <c r="M317" i="23"/>
  <c r="L317" i="23"/>
  <c r="K317" i="23"/>
  <c r="J317" i="23"/>
  <c r="I317" i="23"/>
  <c r="H317" i="23"/>
  <c r="E317" i="23"/>
  <c r="G315" i="23"/>
  <c r="N315" i="23" s="1"/>
  <c r="M314" i="23"/>
  <c r="L314" i="23"/>
  <c r="K314" i="23"/>
  <c r="J314" i="23"/>
  <c r="I314" i="23"/>
  <c r="H314" i="23"/>
  <c r="E314" i="23"/>
  <c r="G313" i="23"/>
  <c r="N313" i="23" s="1"/>
  <c r="G312" i="23"/>
  <c r="N312" i="23" s="1"/>
  <c r="G311" i="23"/>
  <c r="N311" i="23" s="1"/>
  <c r="M310" i="23"/>
  <c r="L310" i="23"/>
  <c r="K310" i="23"/>
  <c r="J310" i="23"/>
  <c r="I310" i="23"/>
  <c r="H310" i="23"/>
  <c r="E310" i="23"/>
  <c r="G309" i="23"/>
  <c r="N309" i="23" s="1"/>
  <c r="M308" i="23"/>
  <c r="L308" i="23"/>
  <c r="K308" i="23"/>
  <c r="J308" i="23"/>
  <c r="I308" i="23"/>
  <c r="H308" i="23"/>
  <c r="E308" i="23"/>
  <c r="G307" i="23"/>
  <c r="N307" i="23" s="1"/>
  <c r="M306" i="23"/>
  <c r="L306" i="23"/>
  <c r="K306" i="23"/>
  <c r="J306" i="23"/>
  <c r="I306" i="23"/>
  <c r="H306" i="23"/>
  <c r="E306" i="23"/>
  <c r="G301" i="23"/>
  <c r="N301" i="23" s="1"/>
  <c r="G300" i="23"/>
  <c r="N300" i="23" s="1"/>
  <c r="G299" i="23"/>
  <c r="N299" i="23" s="1"/>
  <c r="M298" i="23"/>
  <c r="L298" i="23"/>
  <c r="K298" i="23"/>
  <c r="J298" i="23"/>
  <c r="I298" i="23"/>
  <c r="H298" i="23"/>
  <c r="E298" i="23"/>
  <c r="E295" i="23"/>
  <c r="F295" i="23" s="1"/>
  <c r="E294" i="23"/>
  <c r="F294" i="23" s="1"/>
  <c r="F287" i="23" s="1"/>
  <c r="M287" i="23"/>
  <c r="L287" i="23"/>
  <c r="K287" i="23"/>
  <c r="J287" i="23"/>
  <c r="I287" i="23"/>
  <c r="H287" i="23"/>
  <c r="M284" i="23"/>
  <c r="L284" i="23"/>
  <c r="K284" i="23"/>
  <c r="J284" i="23"/>
  <c r="I284" i="23"/>
  <c r="H284" i="23"/>
  <c r="E284" i="23"/>
  <c r="G278" i="23"/>
  <c r="N278" i="23" s="1"/>
  <c r="G277" i="23"/>
  <c r="N277" i="23" s="1"/>
  <c r="M276" i="23"/>
  <c r="L276" i="23"/>
  <c r="K276" i="23"/>
  <c r="J276" i="23"/>
  <c r="I276" i="23"/>
  <c r="H276" i="23"/>
  <c r="E276" i="23"/>
  <c r="G264" i="23"/>
  <c r="N264" i="23" s="1"/>
  <c r="M263" i="23"/>
  <c r="L263" i="23"/>
  <c r="K263" i="23"/>
  <c r="J263" i="23"/>
  <c r="I263" i="23"/>
  <c r="H263" i="23"/>
  <c r="E263" i="23"/>
  <c r="G262" i="23"/>
  <c r="N262" i="23" s="1"/>
  <c r="G261" i="23"/>
  <c r="N261" i="23" s="1"/>
  <c r="G260" i="23"/>
  <c r="N260" i="23" s="1"/>
  <c r="G259" i="23"/>
  <c r="N259" i="23" s="1"/>
  <c r="M257" i="23"/>
  <c r="L257" i="23"/>
  <c r="K257" i="23"/>
  <c r="J257" i="23"/>
  <c r="I257" i="23"/>
  <c r="H257" i="23"/>
  <c r="E257" i="23"/>
  <c r="G256" i="23"/>
  <c r="N256" i="23" s="1"/>
  <c r="G255" i="23"/>
  <c r="N255" i="23" s="1"/>
  <c r="E251" i="23"/>
  <c r="M249" i="23"/>
  <c r="L249" i="23"/>
  <c r="K249" i="23"/>
  <c r="J249" i="23"/>
  <c r="I249" i="23"/>
  <c r="H249" i="23"/>
  <c r="G247" i="23"/>
  <c r="N247" i="23" s="1"/>
  <c r="M246" i="23"/>
  <c r="L246" i="23"/>
  <c r="K246" i="23"/>
  <c r="J246" i="23"/>
  <c r="I246" i="23"/>
  <c r="H246" i="23"/>
  <c r="E246" i="23"/>
  <c r="G245" i="23"/>
  <c r="N245" i="23" s="1"/>
  <c r="M244" i="23"/>
  <c r="L244" i="23"/>
  <c r="K244" i="23"/>
  <c r="J244" i="23"/>
  <c r="I244" i="23"/>
  <c r="H244" i="23"/>
  <c r="E244" i="23"/>
  <c r="M242" i="23"/>
  <c r="L242" i="23"/>
  <c r="K242" i="23"/>
  <c r="J242" i="23"/>
  <c r="I242" i="23"/>
  <c r="H242" i="23"/>
  <c r="E242" i="23"/>
  <c r="M240" i="23"/>
  <c r="L240" i="23"/>
  <c r="K240" i="23"/>
  <c r="J240" i="23"/>
  <c r="I240" i="23"/>
  <c r="H240" i="23"/>
  <c r="E240" i="23"/>
  <c r="G233" i="23"/>
  <c r="N233" i="23" s="1"/>
  <c r="G232" i="23"/>
  <c r="N232" i="23" s="1"/>
  <c r="M231" i="23"/>
  <c r="L231" i="23"/>
  <c r="K231" i="23"/>
  <c r="J231" i="23"/>
  <c r="I231" i="23"/>
  <c r="H231" i="23"/>
  <c r="G230" i="23"/>
  <c r="N230" i="23" s="1"/>
  <c r="M229" i="23"/>
  <c r="L229" i="23"/>
  <c r="K229" i="23"/>
  <c r="J229" i="23"/>
  <c r="I229" i="23"/>
  <c r="H229" i="23"/>
  <c r="E229" i="23"/>
  <c r="F229" i="23" s="1"/>
  <c r="G228" i="23"/>
  <c r="N228" i="23" s="1"/>
  <c r="M225" i="23"/>
  <c r="L225" i="23"/>
  <c r="K225" i="23"/>
  <c r="J225" i="23"/>
  <c r="I225" i="23"/>
  <c r="H225" i="23"/>
  <c r="E225" i="23"/>
  <c r="M223" i="23"/>
  <c r="L223" i="23"/>
  <c r="J223" i="23"/>
  <c r="I223" i="23"/>
  <c r="H223" i="23"/>
  <c r="E223" i="23"/>
  <c r="G210" i="23"/>
  <c r="N210" i="23" s="1"/>
  <c r="G209" i="23"/>
  <c r="N209" i="23" s="1"/>
  <c r="G208" i="23"/>
  <c r="N208" i="23" s="1"/>
  <c r="G203" i="23"/>
  <c r="N203" i="23" s="1"/>
  <c r="G202" i="23"/>
  <c r="N202" i="23" s="1"/>
  <c r="G201" i="23"/>
  <c r="N201" i="23" s="1"/>
  <c r="G200" i="23"/>
  <c r="N200" i="23" s="1"/>
  <c r="G199" i="23"/>
  <c r="N199" i="23" s="1"/>
  <c r="M198" i="23"/>
  <c r="L198" i="23"/>
  <c r="K198" i="23"/>
  <c r="J198" i="23"/>
  <c r="I198" i="23"/>
  <c r="H198" i="23"/>
  <c r="E198" i="23"/>
  <c r="G197" i="23"/>
  <c r="N197" i="23" s="1"/>
  <c r="G196" i="23"/>
  <c r="N196" i="23" s="1"/>
  <c r="G195" i="23"/>
  <c r="N195" i="23" s="1"/>
  <c r="G194" i="23"/>
  <c r="N194" i="23" s="1"/>
  <c r="G193" i="23"/>
  <c r="N193" i="23" s="1"/>
  <c r="G192" i="23"/>
  <c r="N192" i="23" s="1"/>
  <c r="G191" i="23"/>
  <c r="N191" i="23" s="1"/>
  <c r="G190" i="23"/>
  <c r="N190" i="23" s="1"/>
  <c r="G189" i="23"/>
  <c r="N189" i="23" s="1"/>
  <c r="M188" i="23"/>
  <c r="L188" i="23"/>
  <c r="K188" i="23"/>
  <c r="J188" i="23"/>
  <c r="I188" i="23"/>
  <c r="H188" i="23"/>
  <c r="E188" i="23"/>
  <c r="G186" i="23"/>
  <c r="N186" i="23" s="1"/>
  <c r="G181" i="23"/>
  <c r="N181" i="23" s="1"/>
  <c r="G180" i="23"/>
  <c r="N180" i="23" s="1"/>
  <c r="G179" i="23"/>
  <c r="N179" i="23" s="1"/>
  <c r="G178" i="23"/>
  <c r="N178" i="23" s="1"/>
  <c r="G177" i="23"/>
  <c r="N177" i="23" s="1"/>
  <c r="G176" i="23"/>
  <c r="N176" i="23" s="1"/>
  <c r="M175" i="23"/>
  <c r="L175" i="23"/>
  <c r="K175" i="23"/>
  <c r="J175" i="23"/>
  <c r="I175" i="23"/>
  <c r="H175" i="23"/>
  <c r="E175" i="23"/>
  <c r="G174" i="23"/>
  <c r="N174" i="23" s="1"/>
  <c r="G173" i="23"/>
  <c r="N173" i="23" s="1"/>
  <c r="G172" i="23"/>
  <c r="N172" i="23" s="1"/>
  <c r="G171" i="23"/>
  <c r="N171" i="23" s="1"/>
  <c r="G170" i="23"/>
  <c r="N170" i="23" s="1"/>
  <c r="G169" i="23"/>
  <c r="N169" i="23" s="1"/>
  <c r="G168" i="23"/>
  <c r="N168" i="23" s="1"/>
  <c r="G167" i="23"/>
  <c r="N167" i="23" s="1"/>
  <c r="G166" i="23"/>
  <c r="N166" i="23" s="1"/>
  <c r="M165" i="23"/>
  <c r="M164" i="23" s="1"/>
  <c r="L165" i="23"/>
  <c r="K165" i="23"/>
  <c r="J165" i="23"/>
  <c r="I165" i="23"/>
  <c r="H165" i="23"/>
  <c r="H164" i="23" s="1"/>
  <c r="E165" i="23"/>
  <c r="G162" i="23"/>
  <c r="N162" i="23" s="1"/>
  <c r="M161" i="23"/>
  <c r="L161" i="23"/>
  <c r="K161" i="23"/>
  <c r="J161" i="23"/>
  <c r="I161" i="23"/>
  <c r="H161" i="23"/>
  <c r="E161" i="23"/>
  <c r="G160" i="23"/>
  <c r="N160" i="23" s="1"/>
  <c r="M155" i="23"/>
  <c r="L155" i="23"/>
  <c r="K155" i="23"/>
  <c r="J155" i="23"/>
  <c r="I155" i="23"/>
  <c r="H155" i="23"/>
  <c r="E155" i="23"/>
  <c r="G154" i="23"/>
  <c r="N154" i="23" s="1"/>
  <c r="M153" i="23"/>
  <c r="L153" i="23"/>
  <c r="K153" i="23"/>
  <c r="J153" i="23"/>
  <c r="I153" i="23"/>
  <c r="H153" i="23"/>
  <c r="E153" i="23"/>
  <c r="G151" i="23"/>
  <c r="N151" i="23" s="1"/>
  <c r="M150" i="23"/>
  <c r="M149" i="23" s="1"/>
  <c r="L150" i="23"/>
  <c r="L149" i="23" s="1"/>
  <c r="K150" i="23"/>
  <c r="K149" i="23" s="1"/>
  <c r="J150" i="23"/>
  <c r="J149" i="23" s="1"/>
  <c r="I150" i="23"/>
  <c r="I149" i="23" s="1"/>
  <c r="H150" i="23"/>
  <c r="E150" i="23"/>
  <c r="E149" i="23" s="1"/>
  <c r="G148" i="23"/>
  <c r="N148" i="23" s="1"/>
  <c r="M147" i="23"/>
  <c r="L147" i="23"/>
  <c r="K147" i="23"/>
  <c r="J147" i="23"/>
  <c r="I147" i="23"/>
  <c r="H147" i="23"/>
  <c r="E147" i="23"/>
  <c r="G146" i="23"/>
  <c r="N146" i="23" s="1"/>
  <c r="M145" i="23"/>
  <c r="L145" i="23"/>
  <c r="K145" i="23"/>
  <c r="J145" i="23"/>
  <c r="I145" i="23"/>
  <c r="H145" i="23"/>
  <c r="E145" i="23"/>
  <c r="G144" i="23"/>
  <c r="N144" i="23" s="1"/>
  <c r="M143" i="23"/>
  <c r="L143" i="23"/>
  <c r="K143" i="23"/>
  <c r="J143" i="23"/>
  <c r="J142" i="23" s="1"/>
  <c r="I143" i="23"/>
  <c r="I142" i="23" s="1"/>
  <c r="H143" i="23"/>
  <c r="E143" i="23"/>
  <c r="G141" i="23"/>
  <c r="N141" i="23" s="1"/>
  <c r="M140" i="23"/>
  <c r="L140" i="23"/>
  <c r="K140" i="23"/>
  <c r="J140" i="23"/>
  <c r="I140" i="23"/>
  <c r="H140" i="23"/>
  <c r="E140" i="23"/>
  <c r="G139" i="23"/>
  <c r="N139" i="23" s="1"/>
  <c r="M138" i="23"/>
  <c r="L138" i="23"/>
  <c r="K138" i="23"/>
  <c r="J138" i="23"/>
  <c r="I138" i="23"/>
  <c r="H138" i="23"/>
  <c r="E138" i="23"/>
  <c r="G137" i="23"/>
  <c r="N137" i="23" s="1"/>
  <c r="M136" i="23"/>
  <c r="L136" i="23"/>
  <c r="K136" i="23"/>
  <c r="K135" i="23" s="1"/>
  <c r="J136" i="23"/>
  <c r="J135" i="23" s="1"/>
  <c r="I136" i="23"/>
  <c r="I135" i="23" s="1"/>
  <c r="H136" i="23"/>
  <c r="E136" i="23"/>
  <c r="G133" i="23"/>
  <c r="E133" i="23"/>
  <c r="M128" i="23"/>
  <c r="M127" i="23" s="1"/>
  <c r="L128" i="23"/>
  <c r="L127" i="23" s="1"/>
  <c r="K128" i="23"/>
  <c r="J128" i="23"/>
  <c r="J127" i="23" s="1"/>
  <c r="I128" i="23"/>
  <c r="I127" i="23" s="1"/>
  <c r="H128" i="23"/>
  <c r="K127" i="23"/>
  <c r="G126" i="23"/>
  <c r="N126" i="23" s="1"/>
  <c r="M124" i="23"/>
  <c r="M123" i="23" s="1"/>
  <c r="L124" i="23"/>
  <c r="L123" i="23" s="1"/>
  <c r="K124" i="23"/>
  <c r="K123" i="23" s="1"/>
  <c r="J124" i="23"/>
  <c r="J123" i="23" s="1"/>
  <c r="I124" i="23"/>
  <c r="I123" i="23" s="1"/>
  <c r="H124" i="23"/>
  <c r="H123" i="23" s="1"/>
  <c r="G122" i="23"/>
  <c r="N122" i="23" s="1"/>
  <c r="M121" i="23"/>
  <c r="L121" i="23"/>
  <c r="K121" i="23"/>
  <c r="J121" i="23"/>
  <c r="I121" i="23"/>
  <c r="H121" i="23"/>
  <c r="E121" i="23"/>
  <c r="G120" i="23"/>
  <c r="N120" i="23" s="1"/>
  <c r="M119" i="23"/>
  <c r="L119" i="23"/>
  <c r="L118" i="23" s="1"/>
  <c r="K119" i="23"/>
  <c r="J119" i="23"/>
  <c r="I119" i="23"/>
  <c r="H119" i="23"/>
  <c r="E119" i="23"/>
  <c r="G117" i="23"/>
  <c r="N117" i="23" s="1"/>
  <c r="M116" i="23"/>
  <c r="L116" i="23"/>
  <c r="K116" i="23"/>
  <c r="J116" i="23"/>
  <c r="I116" i="23"/>
  <c r="H116" i="23"/>
  <c r="E116" i="23"/>
  <c r="G115" i="23"/>
  <c r="N115" i="23" s="1"/>
  <c r="M113" i="23"/>
  <c r="L113" i="23"/>
  <c r="K113" i="23"/>
  <c r="J113" i="23"/>
  <c r="I113" i="23"/>
  <c r="H113" i="23"/>
  <c r="E113" i="23"/>
  <c r="G112" i="23"/>
  <c r="N112" i="23" s="1"/>
  <c r="G111" i="23"/>
  <c r="N111" i="23" s="1"/>
  <c r="G110" i="23"/>
  <c r="N110" i="23" s="1"/>
  <c r="G109" i="23"/>
  <c r="N109" i="23" s="1"/>
  <c r="G108" i="23"/>
  <c r="N108" i="23" s="1"/>
  <c r="G107" i="23"/>
  <c r="N107" i="23" s="1"/>
  <c r="M102" i="23"/>
  <c r="L102" i="23"/>
  <c r="K102" i="23"/>
  <c r="J102" i="23"/>
  <c r="I102" i="23"/>
  <c r="H102" i="23"/>
  <c r="E102" i="23"/>
  <c r="F102" i="23" s="1"/>
  <c r="G101" i="23"/>
  <c r="N101" i="23" s="1"/>
  <c r="M97" i="23"/>
  <c r="L97" i="23"/>
  <c r="K97" i="23"/>
  <c r="J97" i="23"/>
  <c r="I97" i="23"/>
  <c r="H97" i="23"/>
  <c r="E97" i="23"/>
  <c r="G96" i="23"/>
  <c r="N96" i="23" s="1"/>
  <c r="G95" i="23"/>
  <c r="N95" i="23" s="1"/>
  <c r="G93" i="23"/>
  <c r="N93" i="23" s="1"/>
  <c r="G92" i="23"/>
  <c r="N92" i="23" s="1"/>
  <c r="G91" i="23"/>
  <c r="N91" i="23" s="1"/>
  <c r="M90" i="23"/>
  <c r="L90" i="23"/>
  <c r="K90" i="23"/>
  <c r="J90" i="23"/>
  <c r="I90" i="23"/>
  <c r="H90" i="23"/>
  <c r="E90" i="23"/>
  <c r="G88" i="23"/>
  <c r="N88" i="23" s="1"/>
  <c r="G87" i="23"/>
  <c r="N87" i="23" s="1"/>
  <c r="M86" i="23"/>
  <c r="L86" i="23"/>
  <c r="K86" i="23"/>
  <c r="J86" i="23"/>
  <c r="I86" i="23"/>
  <c r="H86" i="23"/>
  <c r="E86" i="23"/>
  <c r="G85" i="23"/>
  <c r="N85" i="23" s="1"/>
  <c r="G84" i="23"/>
  <c r="N84" i="23" s="1"/>
  <c r="G83" i="23"/>
  <c r="N83" i="23" s="1"/>
  <c r="G82" i="23"/>
  <c r="N82" i="23" s="1"/>
  <c r="M81" i="23"/>
  <c r="L81" i="23"/>
  <c r="K81" i="23"/>
  <c r="J81" i="23"/>
  <c r="I81" i="23"/>
  <c r="H81" i="23"/>
  <c r="E81" i="23"/>
  <c r="G80" i="23"/>
  <c r="N80" i="23" s="1"/>
  <c r="G79" i="23"/>
  <c r="N79" i="23" s="1"/>
  <c r="M78" i="23"/>
  <c r="L78" i="23"/>
  <c r="K78" i="23"/>
  <c r="J78" i="23"/>
  <c r="I78" i="23"/>
  <c r="H78" i="23"/>
  <c r="E78" i="23"/>
  <c r="G72" i="23"/>
  <c r="N72" i="23" s="1"/>
  <c r="G71" i="23"/>
  <c r="N71" i="23" s="1"/>
  <c r="G70" i="23"/>
  <c r="N70" i="23" s="1"/>
  <c r="M69" i="23"/>
  <c r="L69" i="23"/>
  <c r="K69" i="23"/>
  <c r="J69" i="23"/>
  <c r="I69" i="23"/>
  <c r="H69" i="23"/>
  <c r="E69" i="23"/>
  <c r="G68" i="23"/>
  <c r="N68" i="23" s="1"/>
  <c r="G67" i="23"/>
  <c r="N67" i="23" s="1"/>
  <c r="G66" i="23"/>
  <c r="N66" i="23" s="1"/>
  <c r="G65" i="23"/>
  <c r="N65" i="23" s="1"/>
  <c r="M64" i="23"/>
  <c r="L64" i="23"/>
  <c r="K64" i="23"/>
  <c r="J64" i="23"/>
  <c r="I64" i="23"/>
  <c r="H64" i="23"/>
  <c r="E64" i="23"/>
  <c r="G62" i="23"/>
  <c r="N62" i="23" s="1"/>
  <c r="G61" i="23"/>
  <c r="N61" i="23" s="1"/>
  <c r="G60" i="23"/>
  <c r="N60" i="23" s="1"/>
  <c r="G59" i="23"/>
  <c r="N59" i="23" s="1"/>
  <c r="G58" i="23"/>
  <c r="N58" i="23" s="1"/>
  <c r="G57" i="23"/>
  <c r="N57" i="23" s="1"/>
  <c r="M56" i="23"/>
  <c r="L56" i="23"/>
  <c r="K56" i="23"/>
  <c r="J56" i="23"/>
  <c r="I56" i="23"/>
  <c r="H56" i="23"/>
  <c r="E56" i="23"/>
  <c r="G55" i="23"/>
  <c r="N55" i="23" s="1"/>
  <c r="G54" i="23"/>
  <c r="N54" i="23" s="1"/>
  <c r="G53" i="23"/>
  <c r="N53" i="23" s="1"/>
  <c r="G52" i="23"/>
  <c r="N52" i="23" s="1"/>
  <c r="G51" i="23"/>
  <c r="N51" i="23" s="1"/>
  <c r="G50" i="23"/>
  <c r="N50" i="23" s="1"/>
  <c r="M45" i="23"/>
  <c r="L45" i="23"/>
  <c r="K45" i="23"/>
  <c r="J45" i="23"/>
  <c r="I45" i="23"/>
  <c r="H45" i="23"/>
  <c r="E45" i="23"/>
  <c r="G44" i="23"/>
  <c r="N44" i="23" s="1"/>
  <c r="G43" i="23"/>
  <c r="N43" i="23" s="1"/>
  <c r="M42" i="23"/>
  <c r="L42" i="23"/>
  <c r="K42" i="23"/>
  <c r="J42" i="23"/>
  <c r="I42" i="23"/>
  <c r="H42" i="23"/>
  <c r="E42" i="23"/>
  <c r="G41" i="23"/>
  <c r="N41" i="23" s="1"/>
  <c r="G40" i="23"/>
  <c r="N40" i="23" s="1"/>
  <c r="G39" i="23"/>
  <c r="N39" i="23" s="1"/>
  <c r="G38" i="23"/>
  <c r="N38" i="23" s="1"/>
  <c r="G37" i="23"/>
  <c r="N37" i="23" s="1"/>
  <c r="G36" i="23"/>
  <c r="N36" i="23" s="1"/>
  <c r="M35" i="23"/>
  <c r="L35" i="23"/>
  <c r="K35" i="23"/>
  <c r="J35" i="23"/>
  <c r="I35" i="23"/>
  <c r="H35" i="23"/>
  <c r="E35" i="23"/>
  <c r="G34" i="23"/>
  <c r="N34" i="23" s="1"/>
  <c r="G33" i="23"/>
  <c r="N33" i="23" s="1"/>
  <c r="G32" i="23"/>
  <c r="N32" i="23" s="1"/>
  <c r="G31" i="23"/>
  <c r="N31" i="23" s="1"/>
  <c r="G30" i="23"/>
  <c r="N30" i="23" s="1"/>
  <c r="M29" i="23"/>
  <c r="L29" i="23"/>
  <c r="K29" i="23"/>
  <c r="J29" i="23"/>
  <c r="I29" i="23"/>
  <c r="H29" i="23"/>
  <c r="E29" i="23"/>
  <c r="G28" i="23"/>
  <c r="N28" i="23" s="1"/>
  <c r="G27" i="23"/>
  <c r="N27" i="23" s="1"/>
  <c r="G26" i="23"/>
  <c r="N26" i="23" s="1"/>
  <c r="G25" i="23"/>
  <c r="N25" i="23" s="1"/>
  <c r="G24" i="23"/>
  <c r="N24" i="23" s="1"/>
  <c r="G23" i="23"/>
  <c r="N23" i="23" s="1"/>
  <c r="M22" i="23"/>
  <c r="L22" i="23"/>
  <c r="K22" i="23"/>
  <c r="J22" i="23"/>
  <c r="I22" i="23"/>
  <c r="H22" i="23"/>
  <c r="E22" i="23"/>
  <c r="G21" i="23"/>
  <c r="N21" i="23" s="1"/>
  <c r="M20" i="23"/>
  <c r="L20" i="23"/>
  <c r="K20" i="23"/>
  <c r="J20" i="23"/>
  <c r="I20" i="23"/>
  <c r="H20" i="23"/>
  <c r="E20" i="23"/>
  <c r="G19" i="23"/>
  <c r="N19" i="23" s="1"/>
  <c r="G18" i="23"/>
  <c r="N18" i="23" s="1"/>
  <c r="G13" i="23"/>
  <c r="N13" i="23" s="1"/>
  <c r="M12" i="23"/>
  <c r="L12" i="23"/>
  <c r="K12" i="23"/>
  <c r="J12" i="23"/>
  <c r="I12" i="23"/>
  <c r="H12" i="23"/>
  <c r="E12" i="23"/>
  <c r="I457" i="23" l="1"/>
  <c r="L142" i="23"/>
  <c r="M142" i="23"/>
  <c r="F396" i="23"/>
  <c r="L457" i="23"/>
  <c r="I164" i="23"/>
  <c r="J164" i="23"/>
  <c r="G538" i="29"/>
  <c r="E135" i="23"/>
  <c r="K164" i="23"/>
  <c r="N267" i="23"/>
  <c r="L152" i="23"/>
  <c r="L164" i="23"/>
  <c r="D10" i="23"/>
  <c r="D9" i="23" s="1"/>
  <c r="I6" i="26"/>
  <c r="I210" i="26" s="1"/>
  <c r="N403" i="23"/>
  <c r="N294" i="23"/>
  <c r="N405" i="23"/>
  <c r="N295" i="23"/>
  <c r="E249" i="23"/>
  <c r="F251" i="23"/>
  <c r="F249" i="23" s="1"/>
  <c r="N133" i="23"/>
  <c r="F89" i="23"/>
  <c r="F10" i="23" s="1"/>
  <c r="F9" i="23" s="1"/>
  <c r="F211" i="23" s="1"/>
  <c r="E127" i="23"/>
  <c r="E128" i="23"/>
  <c r="F133" i="23"/>
  <c r="F128" i="23" s="1"/>
  <c r="F127" i="23" s="1"/>
  <c r="M547" i="30"/>
  <c r="M543" i="30"/>
  <c r="N220" i="29"/>
  <c r="N221" i="29"/>
  <c r="F534" i="29"/>
  <c r="G532" i="29"/>
  <c r="H534" i="29"/>
  <c r="H540" i="29"/>
  <c r="G211" i="29"/>
  <c r="H541" i="29"/>
  <c r="G524" i="29"/>
  <c r="H535" i="29"/>
  <c r="G533" i="29"/>
  <c r="M543" i="27"/>
  <c r="M547" i="27"/>
  <c r="G220" i="26"/>
  <c r="G219" i="26" s="1"/>
  <c r="G541" i="26" s="1"/>
  <c r="G547" i="26" s="1"/>
  <c r="F220" i="26"/>
  <c r="R220" i="26" s="1"/>
  <c r="P547" i="26"/>
  <c r="M543" i="26"/>
  <c r="R219" i="26"/>
  <c r="F126" i="26"/>
  <c r="F7" i="26" s="1"/>
  <c r="F6" i="26" s="1"/>
  <c r="F210" i="26" s="1"/>
  <c r="K7" i="26"/>
  <c r="K6" i="26" s="1"/>
  <c r="K210" i="26" s="1"/>
  <c r="J543" i="26"/>
  <c r="J547" i="26"/>
  <c r="G6" i="26"/>
  <c r="G210" i="26" s="1"/>
  <c r="I547" i="26"/>
  <c r="H543" i="26"/>
  <c r="F222" i="23"/>
  <c r="D248" i="23"/>
  <c r="D221" i="23" s="1"/>
  <c r="D220" i="23" s="1"/>
  <c r="F263" i="23"/>
  <c r="D532" i="23"/>
  <c r="D211" i="23"/>
  <c r="I63" i="23"/>
  <c r="M63" i="23"/>
  <c r="H63" i="23"/>
  <c r="L63" i="23"/>
  <c r="I498" i="23"/>
  <c r="M498" i="23"/>
  <c r="I187" i="23"/>
  <c r="M187" i="23"/>
  <c r="E418" i="23"/>
  <c r="E316" i="23"/>
  <c r="K316" i="23"/>
  <c r="H316" i="23"/>
  <c r="L316" i="23"/>
  <c r="G338" i="23"/>
  <c r="N338" i="23" s="1"/>
  <c r="M441" i="23"/>
  <c r="G513" i="23"/>
  <c r="N513" i="23" s="1"/>
  <c r="I222" i="23"/>
  <c r="L248" i="23"/>
  <c r="E377" i="23"/>
  <c r="L469" i="23"/>
  <c r="I118" i="23"/>
  <c r="J63" i="23"/>
  <c r="G140" i="23"/>
  <c r="N140" i="23" s="1"/>
  <c r="G229" i="23"/>
  <c r="N229" i="23" s="1"/>
  <c r="J297" i="23"/>
  <c r="J344" i="23"/>
  <c r="K377" i="23"/>
  <c r="M118" i="23"/>
  <c r="K11" i="23"/>
  <c r="I152" i="23"/>
  <c r="I134" i="23" s="1"/>
  <c r="G165" i="23"/>
  <c r="N165" i="23" s="1"/>
  <c r="G415" i="23"/>
  <c r="N415" i="23" s="1"/>
  <c r="E498" i="23"/>
  <c r="K498" i="23"/>
  <c r="E187" i="23"/>
  <c r="K187" i="23"/>
  <c r="E297" i="23"/>
  <c r="K297" i="23"/>
  <c r="G314" i="23"/>
  <c r="N314" i="23" s="1"/>
  <c r="G354" i="23"/>
  <c r="N354" i="23" s="1"/>
  <c r="G484" i="23"/>
  <c r="N484" i="23" s="1"/>
  <c r="G81" i="23"/>
  <c r="N81" i="23" s="1"/>
  <c r="G12" i="23"/>
  <c r="N12" i="23" s="1"/>
  <c r="L11" i="23"/>
  <c r="G20" i="23"/>
  <c r="N20" i="23" s="1"/>
  <c r="G29" i="23"/>
  <c r="N29" i="23" s="1"/>
  <c r="G42" i="23"/>
  <c r="N42" i="23" s="1"/>
  <c r="G64" i="23"/>
  <c r="N64" i="23" s="1"/>
  <c r="E89" i="23"/>
  <c r="K89" i="23"/>
  <c r="E118" i="23"/>
  <c r="K118" i="23"/>
  <c r="G143" i="23"/>
  <c r="N143" i="23" s="1"/>
  <c r="M152" i="23"/>
  <c r="E231" i="23"/>
  <c r="E222" i="23" s="1"/>
  <c r="E344" i="23"/>
  <c r="K344" i="23"/>
  <c r="M344" i="23"/>
  <c r="G406" i="23"/>
  <c r="N406" i="23" s="1"/>
  <c r="G458" i="23"/>
  <c r="N458" i="23" s="1"/>
  <c r="G460" i="23"/>
  <c r="N460" i="23" s="1"/>
  <c r="L498" i="23"/>
  <c r="E441" i="23"/>
  <c r="E457" i="23"/>
  <c r="G466" i="23"/>
  <c r="N466" i="23" s="1"/>
  <c r="G470" i="23"/>
  <c r="N470" i="23" s="1"/>
  <c r="G492" i="23"/>
  <c r="N492" i="23" s="1"/>
  <c r="K142" i="23"/>
  <c r="G56" i="23"/>
  <c r="N56" i="23" s="1"/>
  <c r="G78" i="23"/>
  <c r="N78" i="23" s="1"/>
  <c r="L77" i="23"/>
  <c r="K77" i="23"/>
  <c r="G121" i="23"/>
  <c r="N121" i="23" s="1"/>
  <c r="E152" i="23"/>
  <c r="K152" i="23"/>
  <c r="E164" i="23"/>
  <c r="L187" i="23"/>
  <c r="L163" i="23" s="1"/>
  <c r="L536" i="23" s="1"/>
  <c r="G246" i="23"/>
  <c r="N246" i="23" s="1"/>
  <c r="G306" i="23"/>
  <c r="N306" i="23" s="1"/>
  <c r="G327" i="23"/>
  <c r="N327" i="23" s="1"/>
  <c r="G368" i="23"/>
  <c r="N368" i="23" s="1"/>
  <c r="E357" i="23"/>
  <c r="G435" i="23"/>
  <c r="N435" i="23" s="1"/>
  <c r="G444" i="23"/>
  <c r="N444" i="23" s="1"/>
  <c r="G452" i="23"/>
  <c r="N452" i="23" s="1"/>
  <c r="K469" i="23"/>
  <c r="J498" i="23"/>
  <c r="G45" i="23"/>
  <c r="N45" i="23" s="1"/>
  <c r="M77" i="23"/>
  <c r="G128" i="23"/>
  <c r="N128" i="23" s="1"/>
  <c r="G308" i="23"/>
  <c r="N308" i="23" s="1"/>
  <c r="G362" i="23"/>
  <c r="N362" i="23" s="1"/>
  <c r="H357" i="23"/>
  <c r="L357" i="23"/>
  <c r="G378" i="23"/>
  <c r="N378" i="23" s="1"/>
  <c r="G382" i="23"/>
  <c r="N382" i="23" s="1"/>
  <c r="L377" i="23"/>
  <c r="M418" i="23"/>
  <c r="M417" i="23" s="1"/>
  <c r="M11" i="23"/>
  <c r="K63" i="23"/>
  <c r="G69" i="23"/>
  <c r="N69" i="23" s="1"/>
  <c r="J77" i="23"/>
  <c r="G86" i="23"/>
  <c r="N86" i="23" s="1"/>
  <c r="G145" i="23"/>
  <c r="N145" i="23" s="1"/>
  <c r="G155" i="23"/>
  <c r="N155" i="23" s="1"/>
  <c r="I163" i="23"/>
  <c r="I536" i="23" s="1"/>
  <c r="M163" i="23"/>
  <c r="M536" i="23" s="1"/>
  <c r="G257" i="23"/>
  <c r="N257" i="23" s="1"/>
  <c r="H297" i="23"/>
  <c r="L297" i="23"/>
  <c r="J316" i="23"/>
  <c r="J357" i="23"/>
  <c r="J377" i="23"/>
  <c r="I396" i="23"/>
  <c r="K418" i="23"/>
  <c r="G454" i="23"/>
  <c r="N454" i="23" s="1"/>
  <c r="G455" i="23"/>
  <c r="N455" i="23" s="1"/>
  <c r="G462" i="23"/>
  <c r="N462" i="23" s="1"/>
  <c r="H465" i="23"/>
  <c r="G465" i="23" s="1"/>
  <c r="N465" i="23" s="1"/>
  <c r="J469" i="23"/>
  <c r="G494" i="23"/>
  <c r="N494" i="23" s="1"/>
  <c r="M469" i="23"/>
  <c r="G522" i="23"/>
  <c r="N522" i="23" s="1"/>
  <c r="E63" i="23"/>
  <c r="G102" i="23"/>
  <c r="N102" i="23" s="1"/>
  <c r="G116" i="23"/>
  <c r="N116" i="23" s="1"/>
  <c r="G119" i="23"/>
  <c r="N119" i="23" s="1"/>
  <c r="M135" i="23"/>
  <c r="G147" i="23"/>
  <c r="N147" i="23" s="1"/>
  <c r="G150" i="23"/>
  <c r="N150" i="23" s="1"/>
  <c r="G153" i="23"/>
  <c r="N153" i="23" s="1"/>
  <c r="G175" i="23"/>
  <c r="N175" i="23" s="1"/>
  <c r="G188" i="23"/>
  <c r="N188" i="23" s="1"/>
  <c r="G231" i="23"/>
  <c r="N231" i="23" s="1"/>
  <c r="G244" i="23"/>
  <c r="N244" i="23" s="1"/>
  <c r="M316" i="23"/>
  <c r="G345" i="23"/>
  <c r="N345" i="23" s="1"/>
  <c r="L344" i="23"/>
  <c r="G348" i="23"/>
  <c r="N348" i="23" s="1"/>
  <c r="G351" i="23"/>
  <c r="N351" i="23" s="1"/>
  <c r="G371" i="23"/>
  <c r="N371" i="23" s="1"/>
  <c r="H377" i="23"/>
  <c r="G404" i="23"/>
  <c r="N404" i="23" s="1"/>
  <c r="G419" i="23"/>
  <c r="N419" i="23" s="1"/>
  <c r="L418" i="23"/>
  <c r="L417" i="23" s="1"/>
  <c r="G439" i="23"/>
  <c r="N439" i="23" s="1"/>
  <c r="J441" i="23"/>
  <c r="G442" i="23"/>
  <c r="N442" i="23" s="1"/>
  <c r="G496" i="23"/>
  <c r="N496" i="23" s="1"/>
  <c r="G164" i="23"/>
  <c r="N164" i="23" s="1"/>
  <c r="K163" i="23"/>
  <c r="K536" i="23" s="1"/>
  <c r="E11" i="23"/>
  <c r="J11" i="23"/>
  <c r="G22" i="23"/>
  <c r="N22" i="23" s="1"/>
  <c r="G35" i="23"/>
  <c r="N35" i="23" s="1"/>
  <c r="E77" i="23"/>
  <c r="J118" i="23"/>
  <c r="G124" i="23"/>
  <c r="N124" i="23" s="1"/>
  <c r="G136" i="23"/>
  <c r="N136" i="23" s="1"/>
  <c r="L135" i="23"/>
  <c r="L134" i="23" s="1"/>
  <c r="E142" i="23"/>
  <c r="J152" i="23"/>
  <c r="J134" i="23" s="1"/>
  <c r="G161" i="23"/>
  <c r="N161" i="23" s="1"/>
  <c r="J187" i="23"/>
  <c r="J163" i="23" s="1"/>
  <c r="J536" i="23" s="1"/>
  <c r="G198" i="23"/>
  <c r="N198" i="23" s="1"/>
  <c r="G298" i="23"/>
  <c r="N298" i="23" s="1"/>
  <c r="M297" i="23"/>
  <c r="G340" i="23"/>
  <c r="N340" i="23" s="1"/>
  <c r="I377" i="23"/>
  <c r="M377" i="23"/>
  <c r="G409" i="23"/>
  <c r="N409" i="23" s="1"/>
  <c r="J418" i="23"/>
  <c r="G437" i="23"/>
  <c r="N437" i="23" s="1"/>
  <c r="K441" i="23"/>
  <c r="H457" i="23"/>
  <c r="K457" i="23"/>
  <c r="E469" i="23"/>
  <c r="G499" i="23"/>
  <c r="N499" i="23" s="1"/>
  <c r="G400" i="23"/>
  <c r="N400" i="23" s="1"/>
  <c r="G249" i="23"/>
  <c r="G242" i="23"/>
  <c r="N242" i="23" s="1"/>
  <c r="G138" i="23"/>
  <c r="N138" i="23" s="1"/>
  <c r="M89" i="23"/>
  <c r="M222" i="23"/>
  <c r="J248" i="23"/>
  <c r="G263" i="23"/>
  <c r="G276" i="23"/>
  <c r="N276" i="23" s="1"/>
  <c r="G284" i="23"/>
  <c r="N284" i="23" s="1"/>
  <c r="H248" i="23"/>
  <c r="G287" i="23"/>
  <c r="N287" i="23" s="1"/>
  <c r="G317" i="23"/>
  <c r="N317" i="23" s="1"/>
  <c r="M357" i="23"/>
  <c r="K357" i="23"/>
  <c r="M396" i="23"/>
  <c r="L396" i="23"/>
  <c r="J396" i="23"/>
  <c r="G113" i="23"/>
  <c r="N113" i="23" s="1"/>
  <c r="G123" i="23"/>
  <c r="N123" i="23" s="1"/>
  <c r="L89" i="23"/>
  <c r="J89" i="23"/>
  <c r="G97" i="23"/>
  <c r="N97" i="23" s="1"/>
  <c r="G90" i="23"/>
  <c r="N90" i="23" s="1"/>
  <c r="G424" i="23"/>
  <c r="N424" i="23" s="1"/>
  <c r="K396" i="23"/>
  <c r="G397" i="23"/>
  <c r="N397" i="23" s="1"/>
  <c r="G374" i="23"/>
  <c r="N374" i="23" s="1"/>
  <c r="I248" i="23"/>
  <c r="M248" i="23"/>
  <c r="K248" i="23"/>
  <c r="L222" i="23"/>
  <c r="G240" i="23"/>
  <c r="N240" i="23" s="1"/>
  <c r="J222" i="23"/>
  <c r="G225" i="23"/>
  <c r="N225" i="23" s="1"/>
  <c r="G223" i="23"/>
  <c r="N223" i="23" s="1"/>
  <c r="K222" i="23"/>
  <c r="E163" i="23"/>
  <c r="E536" i="23" s="1"/>
  <c r="G377" i="23"/>
  <c r="N377" i="23" s="1"/>
  <c r="E124" i="23"/>
  <c r="E123" i="23" s="1"/>
  <c r="H127" i="23"/>
  <c r="G127" i="23" s="1"/>
  <c r="N127" i="23" s="1"/>
  <c r="H142" i="23"/>
  <c r="G142" i="23" s="1"/>
  <c r="N142" i="23" s="1"/>
  <c r="H187" i="23"/>
  <c r="H222" i="23"/>
  <c r="E287" i="23"/>
  <c r="E248" i="23" s="1"/>
  <c r="I297" i="23"/>
  <c r="G310" i="23"/>
  <c r="N310" i="23" s="1"/>
  <c r="I316" i="23"/>
  <c r="I357" i="23"/>
  <c r="G365" i="23"/>
  <c r="N365" i="23" s="1"/>
  <c r="H396" i="23"/>
  <c r="E400" i="23"/>
  <c r="E404" i="23"/>
  <c r="I441" i="23"/>
  <c r="I11" i="23"/>
  <c r="I77" i="23"/>
  <c r="I89" i="23"/>
  <c r="I344" i="23"/>
  <c r="I418" i="23"/>
  <c r="I469" i="23"/>
  <c r="I468" i="23" s="1"/>
  <c r="I537" i="23" s="1"/>
  <c r="I539" i="23" s="1"/>
  <c r="H11" i="23"/>
  <c r="H77" i="23"/>
  <c r="H89" i="23"/>
  <c r="H118" i="23"/>
  <c r="H135" i="23"/>
  <c r="H149" i="23"/>
  <c r="G149" i="23" s="1"/>
  <c r="N149" i="23" s="1"/>
  <c r="H152" i="23"/>
  <c r="H344" i="23"/>
  <c r="H418" i="23"/>
  <c r="H469" i="23"/>
  <c r="H498" i="23"/>
  <c r="P121" i="22"/>
  <c r="P282" i="22"/>
  <c r="P447" i="22"/>
  <c r="G447" i="22" s="1"/>
  <c r="M287" i="22"/>
  <c r="F287" i="22" s="1"/>
  <c r="M313" i="22"/>
  <c r="G540" i="22"/>
  <c r="Q539" i="22"/>
  <c r="O539" i="22"/>
  <c r="N539" i="22"/>
  <c r="L539" i="22"/>
  <c r="J539" i="22"/>
  <c r="I539" i="22"/>
  <c r="E539" i="22"/>
  <c r="G538" i="22"/>
  <c r="G537" i="22"/>
  <c r="G536" i="22"/>
  <c r="G535" i="22"/>
  <c r="G534" i="22"/>
  <c r="G533" i="22"/>
  <c r="G532" i="22"/>
  <c r="G531" i="22"/>
  <c r="Q530" i="22"/>
  <c r="O530" i="22"/>
  <c r="N530" i="22"/>
  <c r="L530" i="22"/>
  <c r="J530" i="22"/>
  <c r="I530" i="22"/>
  <c r="E530" i="22"/>
  <c r="G529" i="22"/>
  <c r="G528" i="22"/>
  <c r="G527" i="22"/>
  <c r="G526" i="22"/>
  <c r="G525" i="22"/>
  <c r="G524" i="22"/>
  <c r="G523" i="22"/>
  <c r="G522" i="22"/>
  <c r="G517" i="22"/>
  <c r="Q516" i="22"/>
  <c r="O516" i="22"/>
  <c r="N516" i="22"/>
  <c r="N515" i="22" s="1"/>
  <c r="L516" i="22"/>
  <c r="J516" i="22"/>
  <c r="I516" i="22"/>
  <c r="E516" i="22"/>
  <c r="E515" i="22" s="1"/>
  <c r="G514" i="22"/>
  <c r="Q513" i="22"/>
  <c r="O513" i="22"/>
  <c r="N513" i="22"/>
  <c r="L513" i="22"/>
  <c r="J513" i="22"/>
  <c r="I513" i="22"/>
  <c r="E513" i="22"/>
  <c r="G512" i="22"/>
  <c r="Q511" i="22"/>
  <c r="O511" i="22"/>
  <c r="N511" i="22"/>
  <c r="L511" i="22"/>
  <c r="J511" i="22"/>
  <c r="I511" i="22"/>
  <c r="E511" i="22"/>
  <c r="G510" i="22"/>
  <c r="Q509" i="22"/>
  <c r="Q486" i="22" s="1"/>
  <c r="O509" i="22"/>
  <c r="N509" i="22"/>
  <c r="L509" i="22"/>
  <c r="J509" i="22"/>
  <c r="I509" i="22"/>
  <c r="E509" i="22"/>
  <c r="G508" i="22"/>
  <c r="G507" i="22"/>
  <c r="G506" i="22"/>
  <c r="G505" i="22"/>
  <c r="G504" i="22"/>
  <c r="G503" i="22"/>
  <c r="G502" i="22"/>
  <c r="Q501" i="22"/>
  <c r="O501" i="22"/>
  <c r="N501" i="22"/>
  <c r="L501" i="22"/>
  <c r="J501" i="22"/>
  <c r="I501" i="22"/>
  <c r="E501" i="22"/>
  <c r="G500" i="22"/>
  <c r="G499" i="22"/>
  <c r="G498" i="22"/>
  <c r="G497" i="22"/>
  <c r="G496" i="22"/>
  <c r="G495" i="22"/>
  <c r="G490" i="22"/>
  <c r="G489" i="22"/>
  <c r="G488" i="22"/>
  <c r="Q487" i="22"/>
  <c r="O487" i="22"/>
  <c r="N487" i="22"/>
  <c r="L487" i="22"/>
  <c r="L486" i="22" s="1"/>
  <c r="J487" i="22"/>
  <c r="I487" i="22"/>
  <c r="E487" i="22"/>
  <c r="E486" i="22" s="1"/>
  <c r="G484" i="22"/>
  <c r="Q483" i="22"/>
  <c r="O483" i="22"/>
  <c r="N483" i="22"/>
  <c r="L483" i="22"/>
  <c r="J483" i="22"/>
  <c r="J482" i="22" s="1"/>
  <c r="I483" i="22"/>
  <c r="G483" i="22" s="1"/>
  <c r="E483" i="22"/>
  <c r="E482" i="22" s="1"/>
  <c r="Q482" i="22"/>
  <c r="O482" i="22"/>
  <c r="N482" i="22"/>
  <c r="L482" i="22"/>
  <c r="G481" i="22"/>
  <c r="G480" i="22"/>
  <c r="Q479" i="22"/>
  <c r="O479" i="22"/>
  <c r="N479" i="22"/>
  <c r="L479" i="22"/>
  <c r="L474" i="22" s="1"/>
  <c r="J479" i="22"/>
  <c r="I479" i="22"/>
  <c r="E479" i="22"/>
  <c r="G478" i="22"/>
  <c r="Q477" i="22"/>
  <c r="O477" i="22"/>
  <c r="N477" i="22"/>
  <c r="L477" i="22"/>
  <c r="J477" i="22"/>
  <c r="I477" i="22"/>
  <c r="E477" i="22"/>
  <c r="G476" i="22"/>
  <c r="Q475" i="22"/>
  <c r="O475" i="22"/>
  <c r="N475" i="22"/>
  <c r="N474" i="22" s="1"/>
  <c r="L475" i="22"/>
  <c r="J475" i="22"/>
  <c r="I475" i="22"/>
  <c r="E475" i="22"/>
  <c r="G473" i="22"/>
  <c r="Q472" i="22"/>
  <c r="Q471" i="22" s="1"/>
  <c r="O472" i="22"/>
  <c r="O471" i="22" s="1"/>
  <c r="N472" i="22"/>
  <c r="N471" i="22" s="1"/>
  <c r="L472" i="22"/>
  <c r="L471" i="22" s="1"/>
  <c r="J472" i="22"/>
  <c r="J471" i="22" s="1"/>
  <c r="I472" i="22"/>
  <c r="E472" i="22"/>
  <c r="I471" i="22"/>
  <c r="E471" i="22"/>
  <c r="G470" i="22"/>
  <c r="Q469" i="22"/>
  <c r="O469" i="22"/>
  <c r="N469" i="22"/>
  <c r="L469" i="22"/>
  <c r="J469" i="22"/>
  <c r="I469" i="22"/>
  <c r="E469" i="22"/>
  <c r="G468" i="22"/>
  <c r="G467" i="22"/>
  <c r="G462" i="22"/>
  <c r="Q461" i="22"/>
  <c r="O461" i="22"/>
  <c r="N461" i="22"/>
  <c r="L461" i="22"/>
  <c r="J461" i="22"/>
  <c r="J458" i="22" s="1"/>
  <c r="I461" i="22"/>
  <c r="I458" i="22" s="1"/>
  <c r="E461" i="22"/>
  <c r="G460" i="22"/>
  <c r="Q459" i="22"/>
  <c r="O459" i="22"/>
  <c r="N459" i="22"/>
  <c r="L459" i="22"/>
  <c r="J459" i="22"/>
  <c r="I459" i="22"/>
  <c r="E459" i="22"/>
  <c r="E458" i="22" s="1"/>
  <c r="F457" i="22"/>
  <c r="F456" i="22" s="1"/>
  <c r="G457" i="22"/>
  <c r="G456" i="22" s="1"/>
  <c r="Q456" i="22"/>
  <c r="P456" i="22"/>
  <c r="O456" i="22"/>
  <c r="N456" i="22"/>
  <c r="M456" i="22"/>
  <c r="L456" i="22"/>
  <c r="K456" i="22"/>
  <c r="J456" i="22"/>
  <c r="I456" i="22"/>
  <c r="H456" i="22"/>
  <c r="E456" i="22"/>
  <c r="G455" i="22"/>
  <c r="Q454" i="22"/>
  <c r="O454" i="22"/>
  <c r="N454" i="22"/>
  <c r="L454" i="22"/>
  <c r="J454" i="22"/>
  <c r="I454" i="22"/>
  <c r="E454" i="22"/>
  <c r="G453" i="22"/>
  <c r="Q452" i="22"/>
  <c r="O452" i="22"/>
  <c r="N452" i="22"/>
  <c r="L452" i="22"/>
  <c r="J452" i="22"/>
  <c r="I452" i="22"/>
  <c r="E452" i="22"/>
  <c r="G451" i="22"/>
  <c r="G450" i="22"/>
  <c r="G449" i="22"/>
  <c r="G448" i="22"/>
  <c r="H447" i="22"/>
  <c r="G446" i="22"/>
  <c r="G445" i="22"/>
  <c r="T444" i="22"/>
  <c r="P444" i="22"/>
  <c r="G444" i="22" s="1"/>
  <c r="P443" i="22"/>
  <c r="F443" i="22"/>
  <c r="G442" i="22"/>
  <c r="Q441" i="22"/>
  <c r="O441" i="22"/>
  <c r="N441" i="22"/>
  <c r="M441" i="22"/>
  <c r="L441" i="22"/>
  <c r="K441" i="22"/>
  <c r="J441" i="22"/>
  <c r="J435" i="22" s="1"/>
  <c r="I441" i="22"/>
  <c r="H441" i="22"/>
  <c r="E441" i="22"/>
  <c r="G440" i="22"/>
  <c r="G439" i="22"/>
  <c r="F439" i="22"/>
  <c r="F436" i="22" s="1"/>
  <c r="G438" i="22"/>
  <c r="G437" i="22"/>
  <c r="Q436" i="22"/>
  <c r="Q435" i="22" s="1"/>
  <c r="P436" i="22"/>
  <c r="O436" i="22"/>
  <c r="N436" i="22"/>
  <c r="N435" i="22" s="1"/>
  <c r="M436" i="22"/>
  <c r="M435" i="22" s="1"/>
  <c r="M434" i="22" s="1"/>
  <c r="L436" i="22"/>
  <c r="L435" i="22" s="1"/>
  <c r="K436" i="22"/>
  <c r="J436" i="22"/>
  <c r="I436" i="22"/>
  <c r="H436" i="22"/>
  <c r="E436" i="22"/>
  <c r="G433" i="22"/>
  <c r="Q432" i="22"/>
  <c r="O432" i="22"/>
  <c r="N432" i="22"/>
  <c r="L432" i="22"/>
  <c r="J432" i="22"/>
  <c r="I432" i="22"/>
  <c r="E432" i="22"/>
  <c r="G427" i="22"/>
  <c r="Q426" i="22"/>
  <c r="O426" i="22"/>
  <c r="N426" i="22"/>
  <c r="L426" i="22"/>
  <c r="J426" i="22"/>
  <c r="I426" i="22"/>
  <c r="E426" i="22"/>
  <c r="G425" i="22"/>
  <c r="G424" i="22"/>
  <c r="Q423" i="22"/>
  <c r="O423" i="22"/>
  <c r="N423" i="22"/>
  <c r="L423" i="22"/>
  <c r="J423" i="22"/>
  <c r="I423" i="22"/>
  <c r="G423" i="22" s="1"/>
  <c r="E423" i="22"/>
  <c r="G422" i="22"/>
  <c r="F422" i="22"/>
  <c r="Q421" i="22"/>
  <c r="P421" i="22"/>
  <c r="O421" i="22"/>
  <c r="N421" i="22"/>
  <c r="M421" i="22"/>
  <c r="L421" i="22"/>
  <c r="K421" i="22"/>
  <c r="J421" i="22"/>
  <c r="I421" i="22"/>
  <c r="H421" i="22"/>
  <c r="G421" i="22"/>
  <c r="F421" i="22"/>
  <c r="E421" i="22"/>
  <c r="G420" i="22"/>
  <c r="F420" i="22"/>
  <c r="G419" i="22"/>
  <c r="F419" i="22"/>
  <c r="P418" i="22"/>
  <c r="F418" i="22" s="1"/>
  <c r="F417" i="22" s="1"/>
  <c r="Q417" i="22"/>
  <c r="P417" i="22"/>
  <c r="O417" i="22"/>
  <c r="N417" i="22"/>
  <c r="M417" i="22"/>
  <c r="L417" i="22"/>
  <c r="K417" i="22"/>
  <c r="K413" i="22" s="1"/>
  <c r="J417" i="22"/>
  <c r="I417" i="22"/>
  <c r="H417" i="22"/>
  <c r="E417" i="22"/>
  <c r="G416" i="22"/>
  <c r="F416" i="22"/>
  <c r="G415" i="22"/>
  <c r="G414" i="22" s="1"/>
  <c r="Q414" i="22"/>
  <c r="P414" i="22"/>
  <c r="O414" i="22"/>
  <c r="N414" i="22"/>
  <c r="N413" i="22" s="1"/>
  <c r="M414" i="22"/>
  <c r="L414" i="22"/>
  <c r="K414" i="22"/>
  <c r="J414" i="22"/>
  <c r="I414" i="22"/>
  <c r="H414" i="22"/>
  <c r="F414" i="22"/>
  <c r="E414" i="22"/>
  <c r="O413" i="22"/>
  <c r="G412" i="22"/>
  <c r="G411" i="22"/>
  <c r="G410" i="22"/>
  <c r="G409" i="22"/>
  <c r="G408" i="22"/>
  <c r="G407" i="22"/>
  <c r="G406" i="22"/>
  <c r="G405" i="22"/>
  <c r="G404" i="22"/>
  <c r="Q399" i="22"/>
  <c r="O399" i="22"/>
  <c r="N399" i="22"/>
  <c r="L399" i="22"/>
  <c r="J399" i="22"/>
  <c r="I399" i="22"/>
  <c r="I394" i="22" s="1"/>
  <c r="E399" i="22"/>
  <c r="G398" i="22"/>
  <c r="G397" i="22"/>
  <c r="G396" i="22"/>
  <c r="Q395" i="22"/>
  <c r="O395" i="22"/>
  <c r="N395" i="22"/>
  <c r="L395" i="22"/>
  <c r="L394" i="22" s="1"/>
  <c r="J395" i="22"/>
  <c r="I395" i="22"/>
  <c r="E395" i="22"/>
  <c r="O394" i="22"/>
  <c r="G393" i="22"/>
  <c r="M392" i="22"/>
  <c r="G392" i="22" s="1"/>
  <c r="Q391" i="22"/>
  <c r="P391" i="22"/>
  <c r="O391" i="22"/>
  <c r="N391" i="22"/>
  <c r="L391" i="22"/>
  <c r="K391" i="22"/>
  <c r="K374" i="22" s="1"/>
  <c r="J391" i="22"/>
  <c r="I391" i="22"/>
  <c r="H391" i="22"/>
  <c r="H374" i="22" s="1"/>
  <c r="E391" i="22"/>
  <c r="G390" i="22"/>
  <c r="G389" i="22"/>
  <c r="Q388" i="22"/>
  <c r="O388" i="22"/>
  <c r="N388" i="22"/>
  <c r="L388" i="22"/>
  <c r="J388" i="22"/>
  <c r="I388" i="22"/>
  <c r="E388" i="22"/>
  <c r="G387" i="22"/>
  <c r="G386" i="22"/>
  <c r="Q385" i="22"/>
  <c r="O385" i="22"/>
  <c r="N385" i="22"/>
  <c r="L385" i="22"/>
  <c r="J385" i="22"/>
  <c r="I385" i="22"/>
  <c r="E385" i="22"/>
  <c r="G384" i="22"/>
  <c r="G383" i="22"/>
  <c r="Q382" i="22"/>
  <c r="O382" i="22"/>
  <c r="N382" i="22"/>
  <c r="L382" i="22"/>
  <c r="J382" i="22"/>
  <c r="I382" i="22"/>
  <c r="E382" i="22"/>
  <c r="G381" i="22"/>
  <c r="G380" i="22"/>
  <c r="Q379" i="22"/>
  <c r="O379" i="22"/>
  <c r="N379" i="22"/>
  <c r="L379" i="22"/>
  <c r="J379" i="22"/>
  <c r="J374" i="22" s="1"/>
  <c r="I379" i="22"/>
  <c r="E379" i="22"/>
  <c r="P374" i="22"/>
  <c r="G373" i="22"/>
  <c r="G372" i="22"/>
  <c r="Q371" i="22"/>
  <c r="O371" i="22"/>
  <c r="N371" i="22"/>
  <c r="L371" i="22"/>
  <c r="J371" i="22"/>
  <c r="I371" i="22"/>
  <c r="E371" i="22"/>
  <c r="G370" i="22"/>
  <c r="G369" i="22"/>
  <c r="Q368" i="22"/>
  <c r="O368" i="22"/>
  <c r="N368" i="22"/>
  <c r="L368" i="22"/>
  <c r="J368" i="22"/>
  <c r="I368" i="22"/>
  <c r="E368" i="22"/>
  <c r="G367" i="22"/>
  <c r="G366" i="22"/>
  <c r="Q365" i="22"/>
  <c r="O365" i="22"/>
  <c r="N365" i="22"/>
  <c r="L365" i="22"/>
  <c r="J365" i="22"/>
  <c r="I365" i="22"/>
  <c r="E365" i="22"/>
  <c r="G364" i="22"/>
  <c r="G363" i="22"/>
  <c r="Q362" i="22"/>
  <c r="Q361" i="22" s="1"/>
  <c r="O362" i="22"/>
  <c r="N362" i="22"/>
  <c r="L362" i="22"/>
  <c r="L361" i="22" s="1"/>
  <c r="J362" i="22"/>
  <c r="J361" i="22" s="1"/>
  <c r="I362" i="22"/>
  <c r="E362" i="22"/>
  <c r="E361" i="22" s="1"/>
  <c r="G360" i="22"/>
  <c r="G359" i="22"/>
  <c r="G358" i="22"/>
  <c r="Q357" i="22"/>
  <c r="O357" i="22"/>
  <c r="N357" i="22"/>
  <c r="L357" i="22"/>
  <c r="J357" i="22"/>
  <c r="I357" i="22"/>
  <c r="E357" i="22"/>
  <c r="G356" i="22"/>
  <c r="Q355" i="22"/>
  <c r="O355" i="22"/>
  <c r="N355" i="22"/>
  <c r="L355" i="22"/>
  <c r="J355" i="22"/>
  <c r="I355" i="22"/>
  <c r="E355" i="22"/>
  <c r="G354" i="22"/>
  <c r="G353" i="22"/>
  <c r="G348" i="22"/>
  <c r="G347" i="22"/>
  <c r="G346" i="22"/>
  <c r="G345" i="22"/>
  <c r="Q344" i="22"/>
  <c r="O344" i="22"/>
  <c r="N344" i="22"/>
  <c r="L344" i="22"/>
  <c r="J344" i="22"/>
  <c r="I344" i="22"/>
  <c r="E344" i="22"/>
  <c r="G343" i="22"/>
  <c r="G342" i="22"/>
  <c r="G341" i="22"/>
  <c r="G340" i="22"/>
  <c r="P339" i="22"/>
  <c r="F339" i="22" s="1"/>
  <c r="F334" i="22" s="1"/>
  <c r="F333" i="22" s="1"/>
  <c r="G338" i="22"/>
  <c r="G337" i="22"/>
  <c r="G336" i="22"/>
  <c r="G335" i="22"/>
  <c r="Q334" i="22"/>
  <c r="P334" i="22"/>
  <c r="P333" i="22" s="1"/>
  <c r="O334" i="22"/>
  <c r="O333" i="22" s="1"/>
  <c r="N334" i="22"/>
  <c r="M334" i="22"/>
  <c r="M333" i="22" s="1"/>
  <c r="L334" i="22"/>
  <c r="K334" i="22"/>
  <c r="K333" i="22" s="1"/>
  <c r="J334" i="22"/>
  <c r="I334" i="22"/>
  <c r="H334" i="22"/>
  <c r="E334" i="22"/>
  <c r="H333" i="22"/>
  <c r="G332" i="22"/>
  <c r="Q331" i="22"/>
  <c r="O331" i="22"/>
  <c r="N331" i="22"/>
  <c r="L331" i="22"/>
  <c r="J331" i="22"/>
  <c r="I331" i="22"/>
  <c r="E331" i="22"/>
  <c r="G330" i="22"/>
  <c r="G329" i="22"/>
  <c r="G328" i="22"/>
  <c r="Q327" i="22"/>
  <c r="O327" i="22"/>
  <c r="N327" i="22"/>
  <c r="L327" i="22"/>
  <c r="J327" i="22"/>
  <c r="I327" i="22"/>
  <c r="E327" i="22"/>
  <c r="G326" i="22"/>
  <c r="Q325" i="22"/>
  <c r="O325" i="22"/>
  <c r="N325" i="22"/>
  <c r="L325" i="22"/>
  <c r="J325" i="22"/>
  <c r="I325" i="22"/>
  <c r="E325" i="22"/>
  <c r="G324" i="22"/>
  <c r="Q323" i="22"/>
  <c r="O323" i="22"/>
  <c r="N323" i="22"/>
  <c r="L323" i="22"/>
  <c r="J323" i="22"/>
  <c r="I323" i="22"/>
  <c r="E323" i="22"/>
  <c r="G318" i="22"/>
  <c r="G317" i="22"/>
  <c r="G316" i="22"/>
  <c r="Q315" i="22"/>
  <c r="Q314" i="22" s="1"/>
  <c r="O315" i="22"/>
  <c r="N315" i="22"/>
  <c r="L315" i="22"/>
  <c r="J315" i="22"/>
  <c r="J314" i="22" s="1"/>
  <c r="I315" i="22"/>
  <c r="E315" i="22"/>
  <c r="P313" i="22"/>
  <c r="P286" i="22" s="1"/>
  <c r="N313" i="22"/>
  <c r="K313" i="22"/>
  <c r="H313" i="22"/>
  <c r="N312" i="22"/>
  <c r="G312" i="22" s="1"/>
  <c r="F312" i="22"/>
  <c r="M311" i="22"/>
  <c r="G311" i="22" s="1"/>
  <c r="F311" i="22"/>
  <c r="F310" i="22"/>
  <c r="F309" i="22"/>
  <c r="F308" i="22"/>
  <c r="F307" i="22"/>
  <c r="M306" i="22"/>
  <c r="F306" i="22" s="1"/>
  <c r="F305" i="22"/>
  <c r="F304" i="22"/>
  <c r="M302" i="22"/>
  <c r="F302" i="22" s="1"/>
  <c r="M301" i="22"/>
  <c r="F301" i="22" s="1"/>
  <c r="F299" i="22"/>
  <c r="F298" i="22"/>
  <c r="F297" i="22"/>
  <c r="M296" i="22"/>
  <c r="F296" i="22" s="1"/>
  <c r="M295" i="22"/>
  <c r="F295" i="22" s="1"/>
  <c r="M293" i="22"/>
  <c r="F293" i="22" s="1"/>
  <c r="G292" i="22"/>
  <c r="G291" i="22"/>
  <c r="N290" i="22"/>
  <c r="M290" i="22"/>
  <c r="F290" i="22" s="1"/>
  <c r="G289" i="22"/>
  <c r="F289" i="22"/>
  <c r="G288" i="22"/>
  <c r="Q286" i="22"/>
  <c r="O286" i="22"/>
  <c r="L286" i="22"/>
  <c r="K286" i="22"/>
  <c r="J286" i="22"/>
  <c r="I286" i="22"/>
  <c r="H286" i="22"/>
  <c r="E286" i="22"/>
  <c r="P285" i="22"/>
  <c r="G285" i="22" s="1"/>
  <c r="G283" i="22" s="1"/>
  <c r="N285" i="22"/>
  <c r="N283" i="22" s="1"/>
  <c r="M285" i="22"/>
  <c r="F285" i="22"/>
  <c r="F283" i="22" s="1"/>
  <c r="G284" i="22"/>
  <c r="F284" i="22"/>
  <c r="Q283" i="22"/>
  <c r="P283" i="22"/>
  <c r="O283" i="22"/>
  <c r="M283" i="22"/>
  <c r="L283" i="22"/>
  <c r="K283" i="22"/>
  <c r="J283" i="22"/>
  <c r="I283" i="22"/>
  <c r="H283" i="22"/>
  <c r="E283" i="22"/>
  <c r="G282" i="22"/>
  <c r="H282" i="22"/>
  <c r="F282" i="22" s="1"/>
  <c r="P281" i="22"/>
  <c r="G281" i="22" s="1"/>
  <c r="G280" i="22"/>
  <c r="G279" i="22"/>
  <c r="M278" i="22"/>
  <c r="F278" i="22" s="1"/>
  <c r="G277" i="22"/>
  <c r="G276" i="22"/>
  <c r="Q275" i="22"/>
  <c r="O275" i="22"/>
  <c r="N275" i="22"/>
  <c r="L275" i="22"/>
  <c r="K275" i="22"/>
  <c r="J275" i="22"/>
  <c r="I275" i="22"/>
  <c r="E275" i="22"/>
  <c r="G274" i="22"/>
  <c r="F274" i="22"/>
  <c r="G269" i="22"/>
  <c r="F269" i="22"/>
  <c r="G268" i="22"/>
  <c r="G267" i="22"/>
  <c r="F267" i="22"/>
  <c r="M266" i="22"/>
  <c r="F266" i="22" s="1"/>
  <c r="G266" i="22"/>
  <c r="P265" i="22"/>
  <c r="F265" i="22" s="1"/>
  <c r="M264" i="22"/>
  <c r="G264" i="22" s="1"/>
  <c r="G263" i="22"/>
  <c r="Q262" i="22"/>
  <c r="O262" i="22"/>
  <c r="N262" i="22"/>
  <c r="L262" i="22"/>
  <c r="K262" i="22"/>
  <c r="J262" i="22"/>
  <c r="I262" i="22"/>
  <c r="H262" i="22"/>
  <c r="E262" i="22"/>
  <c r="G261" i="22"/>
  <c r="G260" i="22"/>
  <c r="G259" i="22"/>
  <c r="G258" i="22"/>
  <c r="G257" i="22"/>
  <c r="F257" i="22"/>
  <c r="F256" i="22" s="1"/>
  <c r="Q256" i="22"/>
  <c r="P256" i="22"/>
  <c r="O256" i="22"/>
  <c r="N256" i="22"/>
  <c r="M256" i="22"/>
  <c r="L256" i="22"/>
  <c r="K256" i="22"/>
  <c r="J256" i="22"/>
  <c r="I256" i="22"/>
  <c r="H256" i="22"/>
  <c r="G256" i="22"/>
  <c r="E256" i="22"/>
  <c r="G255" i="22"/>
  <c r="G254" i="22"/>
  <c r="M253" i="22"/>
  <c r="F253" i="22" s="1"/>
  <c r="M252" i="22"/>
  <c r="F252" i="22" s="1"/>
  <c r="P251" i="22"/>
  <c r="P248" i="22" s="1"/>
  <c r="M251" i="22"/>
  <c r="M250" i="22"/>
  <c r="G250" i="22" s="1"/>
  <c r="M249" i="22"/>
  <c r="F249" i="22" s="1"/>
  <c r="G249" i="22"/>
  <c r="Q248" i="22"/>
  <c r="O248" i="22"/>
  <c r="O247" i="22" s="1"/>
  <c r="N248" i="22"/>
  <c r="L248" i="22"/>
  <c r="L247" i="22" s="1"/>
  <c r="K248" i="22"/>
  <c r="J248" i="22"/>
  <c r="I248" i="22"/>
  <c r="H248" i="22"/>
  <c r="E248" i="22"/>
  <c r="G246" i="22"/>
  <c r="Q245" i="22"/>
  <c r="O245" i="22"/>
  <c r="N245" i="22"/>
  <c r="L245" i="22"/>
  <c r="J245" i="22"/>
  <c r="I245" i="22"/>
  <c r="E245" i="22"/>
  <c r="G244" i="22"/>
  <c r="Q243" i="22"/>
  <c r="O243" i="22"/>
  <c r="N243" i="22"/>
  <c r="L243" i="22"/>
  <c r="J243" i="22"/>
  <c r="I243" i="22"/>
  <c r="G243" i="22" s="1"/>
  <c r="E243" i="22"/>
  <c r="M242" i="22"/>
  <c r="F242" i="22" s="1"/>
  <c r="F241" i="22" s="1"/>
  <c r="Q241" i="22"/>
  <c r="P241" i="22"/>
  <c r="O241" i="22"/>
  <c r="N241" i="22"/>
  <c r="L241" i="22"/>
  <c r="K241" i="22"/>
  <c r="J241" i="22"/>
  <c r="I241" i="22"/>
  <c r="H241" i="22"/>
  <c r="E241" i="22"/>
  <c r="G240" i="22"/>
  <c r="F240" i="22"/>
  <c r="F239" i="22" s="1"/>
  <c r="Q239" i="22"/>
  <c r="P239" i="22"/>
  <c r="O239" i="22"/>
  <c r="N239" i="22"/>
  <c r="M239" i="22"/>
  <c r="L239" i="22"/>
  <c r="K239" i="22"/>
  <c r="J239" i="22"/>
  <c r="I239" i="22"/>
  <c r="H239" i="22"/>
  <c r="G239" i="22"/>
  <c r="E239" i="22"/>
  <c r="M238" i="22"/>
  <c r="F238" i="22" s="1"/>
  <c r="M233" i="22"/>
  <c r="G233" i="22" s="1"/>
  <c r="G232" i="22"/>
  <c r="G231" i="22"/>
  <c r="Q230" i="22"/>
  <c r="P230" i="22"/>
  <c r="O230" i="22"/>
  <c r="N230" i="22"/>
  <c r="M230" i="22"/>
  <c r="L230" i="22"/>
  <c r="K230" i="22"/>
  <c r="J230" i="22"/>
  <c r="I230" i="22"/>
  <c r="H230" i="22"/>
  <c r="E230" i="22"/>
  <c r="G229" i="22"/>
  <c r="Q228" i="22"/>
  <c r="O228" i="22"/>
  <c r="N228" i="22"/>
  <c r="L228" i="22"/>
  <c r="J228" i="22"/>
  <c r="I228" i="22"/>
  <c r="E228" i="22"/>
  <c r="G227" i="22"/>
  <c r="N226" i="22"/>
  <c r="G226" i="22"/>
  <c r="F226" i="22"/>
  <c r="E226" i="22"/>
  <c r="N225" i="22"/>
  <c r="N224" i="22" s="1"/>
  <c r="F225" i="22"/>
  <c r="F224" i="22" s="1"/>
  <c r="E225" i="22"/>
  <c r="Q224" i="22"/>
  <c r="P224" i="22"/>
  <c r="O224" i="22"/>
  <c r="M224" i="22"/>
  <c r="L224" i="22"/>
  <c r="K224" i="22"/>
  <c r="J224" i="22"/>
  <c r="I224" i="22"/>
  <c r="H224" i="22"/>
  <c r="R223" i="22"/>
  <c r="N223" i="22"/>
  <c r="G223" i="22" s="1"/>
  <c r="G222" i="22" s="1"/>
  <c r="F223" i="22"/>
  <c r="E223" i="22"/>
  <c r="E222" i="22" s="1"/>
  <c r="Q222" i="22"/>
  <c r="P222" i="22"/>
  <c r="P221" i="22" s="1"/>
  <c r="O222" i="22"/>
  <c r="O221" i="22" s="1"/>
  <c r="M222" i="22"/>
  <c r="L222" i="22"/>
  <c r="K222" i="22"/>
  <c r="J222" i="22"/>
  <c r="I222" i="22"/>
  <c r="H222" i="22"/>
  <c r="F222" i="22"/>
  <c r="K221" i="22"/>
  <c r="G209" i="22"/>
  <c r="G208" i="22"/>
  <c r="G207" i="22"/>
  <c r="G202" i="22"/>
  <c r="G201" i="22"/>
  <c r="G200" i="22"/>
  <c r="G199" i="22"/>
  <c r="G198" i="22"/>
  <c r="Q197" i="22"/>
  <c r="O197" i="22"/>
  <c r="N197" i="22"/>
  <c r="L197" i="22"/>
  <c r="J197" i="22"/>
  <c r="I197" i="22"/>
  <c r="I186" i="22" s="1"/>
  <c r="E197" i="22"/>
  <c r="G196" i="22"/>
  <c r="G195" i="22"/>
  <c r="G194" i="22"/>
  <c r="G193" i="22"/>
  <c r="G192" i="22"/>
  <c r="G191" i="22"/>
  <c r="G190" i="22"/>
  <c r="G189" i="22"/>
  <c r="G188" i="22"/>
  <c r="Q187" i="22"/>
  <c r="O187" i="22"/>
  <c r="O186" i="22" s="1"/>
  <c r="N187" i="22"/>
  <c r="N186" i="22" s="1"/>
  <c r="L187" i="22"/>
  <c r="J187" i="22"/>
  <c r="I187" i="22"/>
  <c r="E187" i="22"/>
  <c r="G185" i="22"/>
  <c r="G180" i="22"/>
  <c r="G179" i="22"/>
  <c r="G178" i="22"/>
  <c r="G177" i="22"/>
  <c r="G176" i="22"/>
  <c r="G175" i="22"/>
  <c r="Q174" i="22"/>
  <c r="O174" i="22"/>
  <c r="N174" i="22"/>
  <c r="L174" i="22"/>
  <c r="J174" i="22"/>
  <c r="I174" i="22"/>
  <c r="E174" i="22"/>
  <c r="G173" i="22"/>
  <c r="G172" i="22"/>
  <c r="G171" i="22"/>
  <c r="G170" i="22"/>
  <c r="G169" i="22"/>
  <c r="G168" i="22"/>
  <c r="G167" i="22"/>
  <c r="G166" i="22"/>
  <c r="G165" i="22"/>
  <c r="Q164" i="22"/>
  <c r="O164" i="22"/>
  <c r="O163" i="22" s="1"/>
  <c r="N164" i="22"/>
  <c r="N163" i="22" s="1"/>
  <c r="L164" i="22"/>
  <c r="L163" i="22" s="1"/>
  <c r="J164" i="22"/>
  <c r="I164" i="22"/>
  <c r="I163" i="22" s="1"/>
  <c r="E164" i="22"/>
  <c r="E163" i="22" s="1"/>
  <c r="G161" i="22"/>
  <c r="Q160" i="22"/>
  <c r="O160" i="22"/>
  <c r="N160" i="22"/>
  <c r="L160" i="22"/>
  <c r="J160" i="22"/>
  <c r="I160" i="22"/>
  <c r="E160" i="22"/>
  <c r="G159" i="22"/>
  <c r="Q154" i="22"/>
  <c r="O154" i="22"/>
  <c r="N154" i="22"/>
  <c r="L154" i="22"/>
  <c r="J154" i="22"/>
  <c r="I154" i="22"/>
  <c r="E154" i="22"/>
  <c r="G153" i="22"/>
  <c r="Q152" i="22"/>
  <c r="Q151" i="22" s="1"/>
  <c r="O152" i="22"/>
  <c r="N152" i="22"/>
  <c r="L152" i="22"/>
  <c r="L151" i="22" s="1"/>
  <c r="J152" i="22"/>
  <c r="J151" i="22" s="1"/>
  <c r="I152" i="22"/>
  <c r="E152" i="22"/>
  <c r="G150" i="22"/>
  <c r="Q149" i="22"/>
  <c r="Q148" i="22" s="1"/>
  <c r="O149" i="22"/>
  <c r="N149" i="22"/>
  <c r="L149" i="22"/>
  <c r="L148" i="22" s="1"/>
  <c r="J149" i="22"/>
  <c r="I149" i="22"/>
  <c r="I148" i="22" s="1"/>
  <c r="E149" i="22"/>
  <c r="E148" i="22" s="1"/>
  <c r="O148" i="22"/>
  <c r="N148" i="22"/>
  <c r="G147" i="22"/>
  <c r="Q146" i="22"/>
  <c r="O146" i="22"/>
  <c r="N146" i="22"/>
  <c r="L146" i="22"/>
  <c r="J146" i="22"/>
  <c r="I146" i="22"/>
  <c r="E146" i="22"/>
  <c r="G145" i="22"/>
  <c r="Q144" i="22"/>
  <c r="O144" i="22"/>
  <c r="N144" i="22"/>
  <c r="L144" i="22"/>
  <c r="J144" i="22"/>
  <c r="I144" i="22"/>
  <c r="E144" i="22"/>
  <c r="G143" i="22"/>
  <c r="Q142" i="22"/>
  <c r="Q141" i="22" s="1"/>
  <c r="O142" i="22"/>
  <c r="N142" i="22"/>
  <c r="L142" i="22"/>
  <c r="J142" i="22"/>
  <c r="I142" i="22"/>
  <c r="E142" i="22"/>
  <c r="G140" i="22"/>
  <c r="Q139" i="22"/>
  <c r="O139" i="22"/>
  <c r="N139" i="22"/>
  <c r="L139" i="22"/>
  <c r="J139" i="22"/>
  <c r="I139" i="22"/>
  <c r="E139" i="22"/>
  <c r="P138" i="22"/>
  <c r="G138" i="22" s="1"/>
  <c r="G137" i="22" s="1"/>
  <c r="Q137" i="22"/>
  <c r="O137" i="22"/>
  <c r="N137" i="22"/>
  <c r="M137" i="22"/>
  <c r="M134" i="22" s="1"/>
  <c r="M133" i="22" s="1"/>
  <c r="L137" i="22"/>
  <c r="K137" i="22"/>
  <c r="K134" i="22" s="1"/>
  <c r="K133" i="22" s="1"/>
  <c r="J137" i="22"/>
  <c r="I137" i="22"/>
  <c r="H137" i="22"/>
  <c r="E137" i="22"/>
  <c r="G136" i="22"/>
  <c r="F136" i="22"/>
  <c r="Q135" i="22"/>
  <c r="Q134" i="22" s="1"/>
  <c r="O135" i="22"/>
  <c r="N135" i="22"/>
  <c r="N134" i="22" s="1"/>
  <c r="L135" i="22"/>
  <c r="J135" i="22"/>
  <c r="J134" i="22" s="1"/>
  <c r="I135" i="22"/>
  <c r="I134" i="22" s="1"/>
  <c r="F135" i="22"/>
  <c r="E135" i="22"/>
  <c r="H134" i="22"/>
  <c r="H133" i="22" s="1"/>
  <c r="E134" i="22"/>
  <c r="K132" i="22"/>
  <c r="G132" i="22" s="1"/>
  <c r="G127" i="22" s="1"/>
  <c r="G126" i="22" s="1"/>
  <c r="H132" i="22"/>
  <c r="F132" i="22" s="1"/>
  <c r="F131" i="22"/>
  <c r="F130" i="22"/>
  <c r="F129" i="22"/>
  <c r="F128" i="22"/>
  <c r="Q127" i="22"/>
  <c r="Q126" i="22" s="1"/>
  <c r="P127" i="22"/>
  <c r="O127" i="22"/>
  <c r="O126" i="22" s="1"/>
  <c r="N127" i="22"/>
  <c r="N126" i="22" s="1"/>
  <c r="M127" i="22"/>
  <c r="M126" i="22" s="1"/>
  <c r="L127" i="22"/>
  <c r="L126" i="22" s="1"/>
  <c r="K127" i="22"/>
  <c r="K126" i="22" s="1"/>
  <c r="J127" i="22"/>
  <c r="J126" i="22" s="1"/>
  <c r="I127" i="22"/>
  <c r="I126" i="22" s="1"/>
  <c r="E127" i="22"/>
  <c r="E126" i="22" s="1"/>
  <c r="P126" i="22"/>
  <c r="G125" i="22"/>
  <c r="F125" i="22"/>
  <c r="M124" i="22"/>
  <c r="G124" i="22" s="1"/>
  <c r="G123" i="22" s="1"/>
  <c r="G122" i="22" s="1"/>
  <c r="G120" i="22" s="1"/>
  <c r="Q123" i="22"/>
  <c r="Q122" i="22" s="1"/>
  <c r="P123" i="22"/>
  <c r="P122" i="22" s="1"/>
  <c r="O123" i="22"/>
  <c r="O122" i="22" s="1"/>
  <c r="N123" i="22"/>
  <c r="N122" i="22" s="1"/>
  <c r="L123" i="22"/>
  <c r="L122" i="22" s="1"/>
  <c r="L120" i="22" s="1"/>
  <c r="K123" i="22"/>
  <c r="K122" i="22" s="1"/>
  <c r="K120" i="22" s="1"/>
  <c r="J123" i="22"/>
  <c r="J122" i="22" s="1"/>
  <c r="J120" i="22" s="1"/>
  <c r="I123" i="22"/>
  <c r="H123" i="22"/>
  <c r="E123" i="22"/>
  <c r="E122" i="22" s="1"/>
  <c r="E120" i="22" s="1"/>
  <c r="I122" i="22"/>
  <c r="I120" i="22" s="1"/>
  <c r="H122" i="22"/>
  <c r="F121" i="22"/>
  <c r="P120" i="22"/>
  <c r="G119" i="22"/>
  <c r="F119" i="22"/>
  <c r="Q118" i="22"/>
  <c r="O118" i="22"/>
  <c r="N118" i="22"/>
  <c r="L118" i="22"/>
  <c r="J118" i="22"/>
  <c r="I118" i="22"/>
  <c r="F118" i="22"/>
  <c r="E118" i="22"/>
  <c r="G117" i="22"/>
  <c r="F117" i="22"/>
  <c r="Q116" i="22"/>
  <c r="O116" i="22"/>
  <c r="O115" i="22" s="1"/>
  <c r="N116" i="22"/>
  <c r="N115" i="22" s="1"/>
  <c r="L116" i="22"/>
  <c r="J116" i="22"/>
  <c r="I116" i="22"/>
  <c r="F116" i="22"/>
  <c r="E116" i="22"/>
  <c r="E115" i="22" s="1"/>
  <c r="I115" i="22"/>
  <c r="F115" i="22"/>
  <c r="G114" i="22"/>
  <c r="F114" i="22"/>
  <c r="Q113" i="22"/>
  <c r="O113" i="22"/>
  <c r="N113" i="22"/>
  <c r="L113" i="22"/>
  <c r="J113" i="22"/>
  <c r="I113" i="22"/>
  <c r="F113" i="22"/>
  <c r="E113" i="22"/>
  <c r="G112" i="22"/>
  <c r="F112" i="22"/>
  <c r="G111" i="22"/>
  <c r="F111" i="22"/>
  <c r="Q110" i="22"/>
  <c r="P110" i="22"/>
  <c r="O110" i="22"/>
  <c r="N110" i="22"/>
  <c r="M110" i="22"/>
  <c r="L110" i="22"/>
  <c r="K110" i="22"/>
  <c r="J110" i="22"/>
  <c r="I110" i="22"/>
  <c r="H110" i="22"/>
  <c r="E110" i="22"/>
  <c r="G109" i="22"/>
  <c r="F109" i="22"/>
  <c r="G108" i="22"/>
  <c r="F108" i="22"/>
  <c r="G107" i="22"/>
  <c r="F107" i="22"/>
  <c r="G106" i="22"/>
  <c r="F106" i="22"/>
  <c r="G105" i="22"/>
  <c r="F105" i="22"/>
  <c r="G104" i="22"/>
  <c r="F104" i="22"/>
  <c r="F103" i="22"/>
  <c r="F102" i="22"/>
  <c r="F101" i="22"/>
  <c r="F100" i="22"/>
  <c r="Q99" i="22"/>
  <c r="O99" i="22"/>
  <c r="N99" i="22"/>
  <c r="L99" i="22"/>
  <c r="J99" i="22"/>
  <c r="I99" i="22"/>
  <c r="G99" i="22" s="1"/>
  <c r="F99" i="22"/>
  <c r="E99" i="22"/>
  <c r="G98" i="22"/>
  <c r="F98" i="22"/>
  <c r="G97" i="22"/>
  <c r="F97" i="22"/>
  <c r="G96" i="22"/>
  <c r="F96" i="22"/>
  <c r="G95" i="22"/>
  <c r="F95" i="22"/>
  <c r="Q94" i="22"/>
  <c r="P94" i="22"/>
  <c r="O94" i="22"/>
  <c r="N94" i="22"/>
  <c r="M94" i="22"/>
  <c r="L94" i="22"/>
  <c r="K94" i="22"/>
  <c r="J94" i="22"/>
  <c r="I94" i="22"/>
  <c r="H94" i="22"/>
  <c r="E94" i="22"/>
  <c r="G93" i="22"/>
  <c r="F93" i="22"/>
  <c r="G92" i="22"/>
  <c r="F92" i="22"/>
  <c r="G91" i="22"/>
  <c r="F91" i="22"/>
  <c r="G90" i="22"/>
  <c r="G89" i="22"/>
  <c r="G88" i="22"/>
  <c r="Q87" i="22"/>
  <c r="P87" i="22"/>
  <c r="O87" i="22"/>
  <c r="N87" i="22"/>
  <c r="M87" i="22"/>
  <c r="L87" i="22"/>
  <c r="L86" i="22" s="1"/>
  <c r="K87" i="22"/>
  <c r="J87" i="22"/>
  <c r="I87" i="22"/>
  <c r="I86" i="22" s="1"/>
  <c r="H87" i="22"/>
  <c r="H86" i="22" s="1"/>
  <c r="E87" i="22"/>
  <c r="E86" i="22" s="1"/>
  <c r="N86" i="22"/>
  <c r="G85" i="22"/>
  <c r="G84" i="22"/>
  <c r="Q83" i="22"/>
  <c r="O83" i="22"/>
  <c r="N83" i="22"/>
  <c r="L83" i="22"/>
  <c r="J83" i="22"/>
  <c r="I83" i="22"/>
  <c r="E83" i="22"/>
  <c r="G82" i="22"/>
  <c r="G81" i="22"/>
  <c r="G80" i="22"/>
  <c r="G79" i="22"/>
  <c r="Q78" i="22"/>
  <c r="O78" i="22"/>
  <c r="N78" i="22"/>
  <c r="N74" i="22" s="1"/>
  <c r="L78" i="22"/>
  <c r="J78" i="22"/>
  <c r="I78" i="22"/>
  <c r="E78" i="22"/>
  <c r="E74" i="22" s="1"/>
  <c r="G77" i="22"/>
  <c r="G76" i="22"/>
  <c r="Q75" i="22"/>
  <c r="Q74" i="22" s="1"/>
  <c r="O75" i="22"/>
  <c r="N75" i="22"/>
  <c r="L75" i="22"/>
  <c r="L74" i="22" s="1"/>
  <c r="J75" i="22"/>
  <c r="I75" i="22"/>
  <c r="E75" i="22"/>
  <c r="G69" i="22"/>
  <c r="G68" i="22"/>
  <c r="G67" i="22"/>
  <c r="Q66" i="22"/>
  <c r="O66" i="22"/>
  <c r="N66" i="22"/>
  <c r="L66" i="22"/>
  <c r="J66" i="22"/>
  <c r="I66" i="22"/>
  <c r="E66" i="22"/>
  <c r="G65" i="22"/>
  <c r="G64" i="22"/>
  <c r="G63" i="22"/>
  <c r="G62" i="22"/>
  <c r="Q61" i="22"/>
  <c r="Q60" i="22" s="1"/>
  <c r="O61" i="22"/>
  <c r="N61" i="22"/>
  <c r="N60" i="22" s="1"/>
  <c r="L61" i="22"/>
  <c r="J61" i="22"/>
  <c r="J60" i="22" s="1"/>
  <c r="I61" i="22"/>
  <c r="E61" i="22"/>
  <c r="E60" i="22" s="1"/>
  <c r="O60" i="22"/>
  <c r="L60" i="22"/>
  <c r="G59" i="22"/>
  <c r="G58" i="22"/>
  <c r="G57" i="22"/>
  <c r="G56" i="22"/>
  <c r="G55" i="22"/>
  <c r="G54" i="22"/>
  <c r="Q53" i="22"/>
  <c r="O53" i="22"/>
  <c r="N53" i="22"/>
  <c r="L53" i="22"/>
  <c r="J53" i="22"/>
  <c r="I53" i="22"/>
  <c r="G53" i="22" s="1"/>
  <c r="E53" i="22"/>
  <c r="G52" i="22"/>
  <c r="G51" i="22"/>
  <c r="G50" i="22"/>
  <c r="G49" i="22"/>
  <c r="G48" i="22"/>
  <c r="G47" i="22"/>
  <c r="Q42" i="22"/>
  <c r="O42" i="22"/>
  <c r="N42" i="22"/>
  <c r="L42" i="22"/>
  <c r="J42" i="22"/>
  <c r="I42" i="22"/>
  <c r="E42" i="22"/>
  <c r="G41" i="22"/>
  <c r="G40" i="22"/>
  <c r="Q39" i="22"/>
  <c r="O39" i="22"/>
  <c r="N39" i="22"/>
  <c r="L39" i="22"/>
  <c r="J39" i="22"/>
  <c r="I39" i="22"/>
  <c r="E39" i="22"/>
  <c r="G38" i="22"/>
  <c r="G37" i="22"/>
  <c r="G36" i="22"/>
  <c r="G35" i="22"/>
  <c r="G34" i="22"/>
  <c r="G33" i="22"/>
  <c r="Q32" i="22"/>
  <c r="O32" i="22"/>
  <c r="N32" i="22"/>
  <c r="L32" i="22"/>
  <c r="J32" i="22"/>
  <c r="I32" i="22"/>
  <c r="E32" i="22"/>
  <c r="G31" i="22"/>
  <c r="G30" i="22"/>
  <c r="G29" i="22"/>
  <c r="G28" i="22"/>
  <c r="G27" i="22"/>
  <c r="Q26" i="22"/>
  <c r="O26" i="22"/>
  <c r="N26" i="22"/>
  <c r="L26" i="22"/>
  <c r="J26" i="22"/>
  <c r="I26" i="22"/>
  <c r="E26" i="22"/>
  <c r="G25" i="22"/>
  <c r="G24" i="22"/>
  <c r="G23" i="22"/>
  <c r="G22" i="22"/>
  <c r="G21" i="22"/>
  <c r="G20" i="22"/>
  <c r="Q19" i="22"/>
  <c r="O19" i="22"/>
  <c r="N19" i="22"/>
  <c r="L19" i="22"/>
  <c r="J19" i="22"/>
  <c r="I19" i="22"/>
  <c r="E19" i="22"/>
  <c r="G18" i="22"/>
  <c r="Q17" i="22"/>
  <c r="O17" i="22"/>
  <c r="N17" i="22"/>
  <c r="L17" i="22"/>
  <c r="J17" i="22"/>
  <c r="I17" i="22"/>
  <c r="E17" i="22"/>
  <c r="G16" i="22"/>
  <c r="G15" i="22"/>
  <c r="G10" i="22"/>
  <c r="Q9" i="22"/>
  <c r="O9" i="22"/>
  <c r="N9" i="22"/>
  <c r="N8" i="22" s="1"/>
  <c r="L9" i="22"/>
  <c r="J9" i="22"/>
  <c r="I9" i="22"/>
  <c r="E9" i="22"/>
  <c r="G540" i="21"/>
  <c r="Q539" i="21"/>
  <c r="O539" i="21"/>
  <c r="N539" i="21"/>
  <c r="L539" i="21"/>
  <c r="J539" i="21"/>
  <c r="I539" i="21"/>
  <c r="G539" i="21" s="1"/>
  <c r="E539" i="21"/>
  <c r="G538" i="21"/>
  <c r="G537" i="21"/>
  <c r="G536" i="21"/>
  <c r="G535" i="21"/>
  <c r="G534" i="21"/>
  <c r="G533" i="21"/>
  <c r="G532" i="21"/>
  <c r="G531" i="21"/>
  <c r="Q530" i="21"/>
  <c r="O530" i="21"/>
  <c r="N530" i="21"/>
  <c r="L530" i="21"/>
  <c r="J530" i="21"/>
  <c r="I530" i="21"/>
  <c r="E530" i="21"/>
  <c r="G529" i="21"/>
  <c r="G528" i="21"/>
  <c r="G527" i="21"/>
  <c r="G526" i="21"/>
  <c r="G525" i="21"/>
  <c r="G524" i="21"/>
  <c r="G523" i="21"/>
  <c r="G522" i="21"/>
  <c r="G517" i="21"/>
  <c r="Q516" i="21"/>
  <c r="O516" i="21"/>
  <c r="N516" i="21"/>
  <c r="L516" i="21"/>
  <c r="L515" i="21" s="1"/>
  <c r="J516" i="21"/>
  <c r="I516" i="21"/>
  <c r="E516" i="21"/>
  <c r="E515" i="21" s="1"/>
  <c r="E485" i="21" s="1"/>
  <c r="Q515" i="21"/>
  <c r="O515" i="21"/>
  <c r="N515" i="21"/>
  <c r="J515" i="21"/>
  <c r="I515" i="21"/>
  <c r="G515" i="21" s="1"/>
  <c r="G514" i="21"/>
  <c r="Q513" i="21"/>
  <c r="O513" i="21"/>
  <c r="N513" i="21"/>
  <c r="L513" i="21"/>
  <c r="J513" i="21"/>
  <c r="I513" i="21"/>
  <c r="E513" i="21"/>
  <c r="G512" i="21"/>
  <c r="Q511" i="21"/>
  <c r="O511" i="21"/>
  <c r="N511" i="21"/>
  <c r="L511" i="21"/>
  <c r="J511" i="21"/>
  <c r="I511" i="21"/>
  <c r="G511" i="21" s="1"/>
  <c r="E511" i="21"/>
  <c r="G510" i="21"/>
  <c r="Q509" i="21"/>
  <c r="O509" i="21"/>
  <c r="N509" i="21"/>
  <c r="L509" i="21"/>
  <c r="J509" i="21"/>
  <c r="I509" i="21"/>
  <c r="G509" i="21" s="1"/>
  <c r="E509" i="21"/>
  <c r="G508" i="21"/>
  <c r="G507" i="21"/>
  <c r="G506" i="21"/>
  <c r="G505" i="21"/>
  <c r="G504" i="21"/>
  <c r="G503" i="21"/>
  <c r="G502" i="21"/>
  <c r="Q501" i="21"/>
  <c r="O501" i="21"/>
  <c r="N501" i="21"/>
  <c r="L501" i="21"/>
  <c r="J501" i="21"/>
  <c r="I501" i="21"/>
  <c r="E501" i="21"/>
  <c r="G500" i="21"/>
  <c r="G499" i="21"/>
  <c r="G498" i="21"/>
  <c r="G497" i="21"/>
  <c r="G496" i="21"/>
  <c r="G495" i="21"/>
  <c r="G490" i="21"/>
  <c r="G489" i="21"/>
  <c r="G488" i="21"/>
  <c r="Q487" i="21"/>
  <c r="O487" i="21"/>
  <c r="O486" i="21" s="1"/>
  <c r="O485" i="21" s="1"/>
  <c r="N487" i="21"/>
  <c r="L487" i="21"/>
  <c r="L486" i="21" s="1"/>
  <c r="J487" i="21"/>
  <c r="I487" i="21"/>
  <c r="E487" i="21"/>
  <c r="Q486" i="21"/>
  <c r="Q485" i="21" s="1"/>
  <c r="N486" i="21"/>
  <c r="N485" i="21" s="1"/>
  <c r="J486" i="21"/>
  <c r="J485" i="21" s="1"/>
  <c r="I486" i="21"/>
  <c r="E486" i="21"/>
  <c r="G484" i="21"/>
  <c r="Q483" i="21"/>
  <c r="Q482" i="21" s="1"/>
  <c r="O483" i="21"/>
  <c r="N483" i="21"/>
  <c r="N482" i="21" s="1"/>
  <c r="L483" i="21"/>
  <c r="G483" i="21" s="1"/>
  <c r="J483" i="21"/>
  <c r="J482" i="21" s="1"/>
  <c r="I483" i="21"/>
  <c r="E483" i="21"/>
  <c r="O482" i="21"/>
  <c r="I482" i="21"/>
  <c r="E482" i="21"/>
  <c r="G481" i="21"/>
  <c r="G480" i="21"/>
  <c r="Q479" i="21"/>
  <c r="O479" i="21"/>
  <c r="N479" i="21"/>
  <c r="L479" i="21"/>
  <c r="J479" i="21"/>
  <c r="I479" i="21"/>
  <c r="G479" i="21" s="1"/>
  <c r="E479" i="21"/>
  <c r="G478" i="21"/>
  <c r="Q477" i="21"/>
  <c r="O477" i="21"/>
  <c r="N477" i="21"/>
  <c r="L477" i="21"/>
  <c r="J477" i="21"/>
  <c r="I477" i="21"/>
  <c r="E477" i="21"/>
  <c r="G476" i="21"/>
  <c r="Q475" i="21"/>
  <c r="O475" i="21"/>
  <c r="O474" i="21" s="1"/>
  <c r="N475" i="21"/>
  <c r="L475" i="21"/>
  <c r="J475" i="21"/>
  <c r="I475" i="21"/>
  <c r="G475" i="21" s="1"/>
  <c r="E475" i="21"/>
  <c r="Q474" i="21"/>
  <c r="N474" i="21"/>
  <c r="L474" i="21"/>
  <c r="J474" i="21"/>
  <c r="I474" i="21"/>
  <c r="E474" i="21"/>
  <c r="G473" i="21"/>
  <c r="Q472" i="21"/>
  <c r="O472" i="21"/>
  <c r="N472" i="21"/>
  <c r="L472" i="21"/>
  <c r="J472" i="21"/>
  <c r="J471" i="21" s="1"/>
  <c r="J434" i="21" s="1"/>
  <c r="I472" i="21"/>
  <c r="I471" i="21" s="1"/>
  <c r="E472" i="21"/>
  <c r="E471" i="21" s="1"/>
  <c r="Q471" i="21"/>
  <c r="O471" i="21"/>
  <c r="N471" i="21"/>
  <c r="L471" i="21"/>
  <c r="G470" i="21"/>
  <c r="Q469" i="21"/>
  <c r="O469" i="21"/>
  <c r="N469" i="21"/>
  <c r="L469" i="21"/>
  <c r="J469" i="21"/>
  <c r="I469" i="21"/>
  <c r="E469" i="21"/>
  <c r="G468" i="21"/>
  <c r="G467" i="21"/>
  <c r="G462" i="21"/>
  <c r="Q461" i="21"/>
  <c r="O461" i="21"/>
  <c r="N461" i="21"/>
  <c r="L461" i="21"/>
  <c r="J461" i="21"/>
  <c r="I461" i="21"/>
  <c r="G461" i="21" s="1"/>
  <c r="E461" i="21"/>
  <c r="G460" i="21"/>
  <c r="Q459" i="21"/>
  <c r="Q458" i="21" s="1"/>
  <c r="O459" i="21"/>
  <c r="O458" i="21" s="1"/>
  <c r="N459" i="21"/>
  <c r="L459" i="21"/>
  <c r="J459" i="21"/>
  <c r="I459" i="21"/>
  <c r="I458" i="21" s="1"/>
  <c r="E459" i="21"/>
  <c r="N458" i="21"/>
  <c r="J458" i="21"/>
  <c r="E458" i="21"/>
  <c r="P457" i="21"/>
  <c r="F457" i="21" s="1"/>
  <c r="F456" i="21" s="1"/>
  <c r="Q456" i="21"/>
  <c r="O456" i="21"/>
  <c r="N456" i="21"/>
  <c r="M456" i="21"/>
  <c r="L456" i="21"/>
  <c r="K456" i="21"/>
  <c r="J456" i="21"/>
  <c r="I456" i="21"/>
  <c r="H456" i="21"/>
  <c r="E456" i="21"/>
  <c r="G455" i="21"/>
  <c r="Q454" i="21"/>
  <c r="O454" i="21"/>
  <c r="N454" i="21"/>
  <c r="L454" i="21"/>
  <c r="J454" i="21"/>
  <c r="I454" i="21"/>
  <c r="E454" i="21"/>
  <c r="G453" i="21"/>
  <c r="Q452" i="21"/>
  <c r="O452" i="21"/>
  <c r="N452" i="21"/>
  <c r="L452" i="21"/>
  <c r="J452" i="21"/>
  <c r="I452" i="21"/>
  <c r="G452" i="21" s="1"/>
  <c r="E452" i="21"/>
  <c r="G451" i="21"/>
  <c r="G450" i="21"/>
  <c r="G449" i="21"/>
  <c r="G448" i="21"/>
  <c r="H447" i="21"/>
  <c r="F447" i="21" s="1"/>
  <c r="G447" i="21"/>
  <c r="G446" i="21"/>
  <c r="G445" i="21"/>
  <c r="T444" i="21"/>
  <c r="P444" i="21"/>
  <c r="G444" i="21" s="1"/>
  <c r="G441" i="21" s="1"/>
  <c r="P443" i="21"/>
  <c r="F443" i="21" s="1"/>
  <c r="G442" i="21"/>
  <c r="Q441" i="21"/>
  <c r="O441" i="21"/>
  <c r="N441" i="21"/>
  <c r="M441" i="21"/>
  <c r="M435" i="21" s="1"/>
  <c r="M434" i="21" s="1"/>
  <c r="L441" i="21"/>
  <c r="K441" i="21"/>
  <c r="J441" i="21"/>
  <c r="I441" i="21"/>
  <c r="H441" i="21"/>
  <c r="H435" i="21" s="1"/>
  <c r="H434" i="21" s="1"/>
  <c r="E441" i="21"/>
  <c r="G440" i="21"/>
  <c r="G439" i="21"/>
  <c r="G436" i="21" s="1"/>
  <c r="F439" i="21"/>
  <c r="F436" i="21" s="1"/>
  <c r="G438" i="21"/>
  <c r="G437" i="21"/>
  <c r="Q436" i="21"/>
  <c r="P436" i="21"/>
  <c r="O436" i="21"/>
  <c r="N436" i="21"/>
  <c r="M436" i="21"/>
  <c r="L436" i="21"/>
  <c r="K436" i="21"/>
  <c r="J436" i="21"/>
  <c r="I436" i="21"/>
  <c r="H436" i="21"/>
  <c r="E436" i="21"/>
  <c r="E435" i="21" s="1"/>
  <c r="E434" i="21" s="1"/>
  <c r="Q435" i="21"/>
  <c r="O435" i="21"/>
  <c r="N435" i="21"/>
  <c r="N434" i="21" s="1"/>
  <c r="L435" i="21"/>
  <c r="K435" i="21"/>
  <c r="K434" i="21" s="1"/>
  <c r="J435" i="21"/>
  <c r="I435" i="21"/>
  <c r="G433" i="21"/>
  <c r="Q432" i="21"/>
  <c r="O432" i="21"/>
  <c r="N432" i="21"/>
  <c r="L432" i="21"/>
  <c r="J432" i="21"/>
  <c r="I432" i="21"/>
  <c r="G432" i="21" s="1"/>
  <c r="E432" i="21"/>
  <c r="G427" i="21"/>
  <c r="Q426" i="21"/>
  <c r="O426" i="21"/>
  <c r="N426" i="21"/>
  <c r="L426" i="21"/>
  <c r="J426" i="21"/>
  <c r="I426" i="21"/>
  <c r="G426" i="21" s="1"/>
  <c r="E426" i="21"/>
  <c r="G425" i="21"/>
  <c r="G424" i="21"/>
  <c r="Q423" i="21"/>
  <c r="O423" i="21"/>
  <c r="N423" i="21"/>
  <c r="L423" i="21"/>
  <c r="J423" i="21"/>
  <c r="I423" i="21"/>
  <c r="E423" i="21"/>
  <c r="G422" i="21"/>
  <c r="F422" i="21"/>
  <c r="Q421" i="21"/>
  <c r="P421" i="21"/>
  <c r="O421" i="21"/>
  <c r="N421" i="21"/>
  <c r="M421" i="21"/>
  <c r="L421" i="21"/>
  <c r="K421" i="21"/>
  <c r="J421" i="21"/>
  <c r="I421" i="21"/>
  <c r="H421" i="21"/>
  <c r="G421" i="21"/>
  <c r="F421" i="21"/>
  <c r="E421" i="21"/>
  <c r="G420" i="21"/>
  <c r="F420" i="21"/>
  <c r="G419" i="21"/>
  <c r="G417" i="21" s="1"/>
  <c r="F419" i="21"/>
  <c r="P418" i="21"/>
  <c r="F418" i="21" s="1"/>
  <c r="F417" i="21" s="1"/>
  <c r="G418" i="21"/>
  <c r="Q417" i="21"/>
  <c r="P417" i="21"/>
  <c r="O417" i="21"/>
  <c r="N417" i="21"/>
  <c r="M417" i="21"/>
  <c r="L417" i="21"/>
  <c r="K417" i="21"/>
  <c r="J417" i="21"/>
  <c r="I417" i="21"/>
  <c r="H417" i="21"/>
  <c r="E417" i="21"/>
  <c r="E413" i="21" s="1"/>
  <c r="G416" i="21"/>
  <c r="F416" i="21"/>
  <c r="G415" i="21"/>
  <c r="G414" i="21" s="1"/>
  <c r="Q414" i="21"/>
  <c r="Q413" i="21" s="1"/>
  <c r="P414" i="21"/>
  <c r="O414" i="21"/>
  <c r="N414" i="21"/>
  <c r="N413" i="21" s="1"/>
  <c r="M414" i="21"/>
  <c r="L414" i="21"/>
  <c r="K414" i="21"/>
  <c r="J414" i="21"/>
  <c r="I414" i="21"/>
  <c r="I413" i="21" s="1"/>
  <c r="H414" i="21"/>
  <c r="F414" i="21"/>
  <c r="F413" i="21" s="1"/>
  <c r="E414" i="21"/>
  <c r="P413" i="21"/>
  <c r="O413" i="21"/>
  <c r="M413" i="21"/>
  <c r="L413" i="21"/>
  <c r="K413" i="21"/>
  <c r="H413" i="21"/>
  <c r="G412" i="21"/>
  <c r="G411" i="21"/>
  <c r="G410" i="21"/>
  <c r="G409" i="21"/>
  <c r="G408" i="21"/>
  <c r="G407" i="21"/>
  <c r="G406" i="21"/>
  <c r="G405" i="21"/>
  <c r="G404" i="21"/>
  <c r="Q399" i="21"/>
  <c r="O399" i="21"/>
  <c r="N399" i="21"/>
  <c r="L399" i="21"/>
  <c r="J399" i="21"/>
  <c r="I399" i="21"/>
  <c r="E399" i="21"/>
  <c r="G398" i="21"/>
  <c r="G397" i="21"/>
  <c r="G396" i="21"/>
  <c r="Q395" i="21"/>
  <c r="O395" i="21"/>
  <c r="N395" i="21"/>
  <c r="N394" i="21" s="1"/>
  <c r="L395" i="21"/>
  <c r="J395" i="21"/>
  <c r="I395" i="21"/>
  <c r="E395" i="21"/>
  <c r="L394" i="21"/>
  <c r="J394" i="21"/>
  <c r="E394" i="21"/>
  <c r="G393" i="21"/>
  <c r="M392" i="21"/>
  <c r="M391" i="21" s="1"/>
  <c r="M374" i="21" s="1"/>
  <c r="F392" i="21"/>
  <c r="F391" i="21" s="1"/>
  <c r="F374" i="21" s="1"/>
  <c r="Q391" i="21"/>
  <c r="P391" i="21"/>
  <c r="O391" i="21"/>
  <c r="N391" i="21"/>
  <c r="L391" i="21"/>
  <c r="K391" i="21"/>
  <c r="J391" i="21"/>
  <c r="I391" i="21"/>
  <c r="H391" i="21"/>
  <c r="E391" i="21"/>
  <c r="G390" i="21"/>
  <c r="G389" i="21"/>
  <c r="Q388" i="21"/>
  <c r="O388" i="21"/>
  <c r="N388" i="21"/>
  <c r="L388" i="21"/>
  <c r="J388" i="21"/>
  <c r="I388" i="21"/>
  <c r="E388" i="21"/>
  <c r="G387" i="21"/>
  <c r="G386" i="21"/>
  <c r="Q385" i="21"/>
  <c r="O385" i="21"/>
  <c r="N385" i="21"/>
  <c r="L385" i="21"/>
  <c r="J385" i="21"/>
  <c r="I385" i="21"/>
  <c r="E385" i="21"/>
  <c r="G384" i="21"/>
  <c r="G383" i="21"/>
  <c r="Q382" i="21"/>
  <c r="O382" i="21"/>
  <c r="N382" i="21"/>
  <c r="L382" i="21"/>
  <c r="J382" i="21"/>
  <c r="I382" i="21"/>
  <c r="G382" i="21" s="1"/>
  <c r="E382" i="21"/>
  <c r="G381" i="21"/>
  <c r="G380" i="21"/>
  <c r="Q379" i="21"/>
  <c r="Q374" i="21" s="1"/>
  <c r="O379" i="21"/>
  <c r="N379" i="21"/>
  <c r="L379" i="21"/>
  <c r="L374" i="21" s="1"/>
  <c r="J379" i="21"/>
  <c r="J374" i="21" s="1"/>
  <c r="I379" i="21"/>
  <c r="E379" i="21"/>
  <c r="P374" i="21"/>
  <c r="K374" i="21"/>
  <c r="I374" i="21"/>
  <c r="H374" i="21"/>
  <c r="E374" i="21"/>
  <c r="G373" i="21"/>
  <c r="G372" i="21"/>
  <c r="Q371" i="21"/>
  <c r="O371" i="21"/>
  <c r="N371" i="21"/>
  <c r="L371" i="21"/>
  <c r="J371" i="21"/>
  <c r="I371" i="21"/>
  <c r="G371" i="21"/>
  <c r="E371" i="21"/>
  <c r="G370" i="21"/>
  <c r="G369" i="21"/>
  <c r="Q368" i="21"/>
  <c r="O368" i="21"/>
  <c r="N368" i="21"/>
  <c r="L368" i="21"/>
  <c r="J368" i="21"/>
  <c r="G368" i="21" s="1"/>
  <c r="I368" i="21"/>
  <c r="E368" i="21"/>
  <c r="G367" i="21"/>
  <c r="G366" i="21"/>
  <c r="Q365" i="21"/>
  <c r="O365" i="21"/>
  <c r="N365" i="21"/>
  <c r="L365" i="21"/>
  <c r="J365" i="21"/>
  <c r="J361" i="21" s="1"/>
  <c r="I365" i="21"/>
  <c r="E365" i="21"/>
  <c r="G364" i="21"/>
  <c r="G363" i="21"/>
  <c r="Q362" i="21"/>
  <c r="Q361" i="21" s="1"/>
  <c r="O362" i="21"/>
  <c r="O361" i="21" s="1"/>
  <c r="N362" i="21"/>
  <c r="L362" i="21"/>
  <c r="J362" i="21"/>
  <c r="I362" i="21"/>
  <c r="I361" i="21" s="1"/>
  <c r="E362" i="21"/>
  <c r="N361" i="21"/>
  <c r="L361" i="21"/>
  <c r="E361" i="21"/>
  <c r="G360" i="21"/>
  <c r="G359" i="21"/>
  <c r="G358" i="21"/>
  <c r="Q357" i="21"/>
  <c r="O357" i="21"/>
  <c r="N357" i="21"/>
  <c r="L357" i="21"/>
  <c r="J357" i="21"/>
  <c r="I357" i="21"/>
  <c r="G357" i="21" s="1"/>
  <c r="E357" i="21"/>
  <c r="G356" i="21"/>
  <c r="Q355" i="21"/>
  <c r="O355" i="21"/>
  <c r="N355" i="21"/>
  <c r="L355" i="21"/>
  <c r="J355" i="21"/>
  <c r="I355" i="21"/>
  <c r="G355" i="21" s="1"/>
  <c r="E355" i="21"/>
  <c r="G354" i="21"/>
  <c r="G353" i="21"/>
  <c r="G348" i="21"/>
  <c r="G347" i="21"/>
  <c r="G346" i="21"/>
  <c r="G345" i="21"/>
  <c r="Q344" i="21"/>
  <c r="O344" i="21"/>
  <c r="N344" i="21"/>
  <c r="L344" i="21"/>
  <c r="J344" i="21"/>
  <c r="I344" i="21"/>
  <c r="E344" i="21"/>
  <c r="G343" i="21"/>
  <c r="G342" i="21"/>
  <c r="G341" i="21"/>
  <c r="G340" i="21"/>
  <c r="P339" i="21"/>
  <c r="F339" i="21" s="1"/>
  <c r="F334" i="21" s="1"/>
  <c r="F333" i="21" s="1"/>
  <c r="G339" i="21"/>
  <c r="G338" i="21"/>
  <c r="G337" i="21"/>
  <c r="G336" i="21"/>
  <c r="G335" i="21"/>
  <c r="Q334" i="21"/>
  <c r="P334" i="21"/>
  <c r="O334" i="21"/>
  <c r="N334" i="21"/>
  <c r="N333" i="21" s="1"/>
  <c r="M334" i="21"/>
  <c r="L334" i="21"/>
  <c r="K334" i="21"/>
  <c r="K333" i="21" s="1"/>
  <c r="J334" i="21"/>
  <c r="J333" i="21" s="1"/>
  <c r="I334" i="21"/>
  <c r="H334" i="21"/>
  <c r="H333" i="21" s="1"/>
  <c r="G334" i="21"/>
  <c r="E334" i="21"/>
  <c r="Q333" i="21"/>
  <c r="P333" i="21"/>
  <c r="O333" i="21"/>
  <c r="M333" i="21"/>
  <c r="L333" i="21"/>
  <c r="I333" i="21"/>
  <c r="E333" i="21"/>
  <c r="G332" i="21"/>
  <c r="Q331" i="21"/>
  <c r="O331" i="21"/>
  <c r="N331" i="21"/>
  <c r="L331" i="21"/>
  <c r="J331" i="21"/>
  <c r="I331" i="21"/>
  <c r="E331" i="21"/>
  <c r="G330" i="21"/>
  <c r="G329" i="21"/>
  <c r="G328" i="21"/>
  <c r="Q327" i="21"/>
  <c r="O327" i="21"/>
  <c r="N327" i="21"/>
  <c r="L327" i="21"/>
  <c r="J327" i="21"/>
  <c r="I327" i="21"/>
  <c r="G327" i="21" s="1"/>
  <c r="E327" i="21"/>
  <c r="G326" i="21"/>
  <c r="Q325" i="21"/>
  <c r="O325" i="21"/>
  <c r="N325" i="21"/>
  <c r="L325" i="21"/>
  <c r="J325" i="21"/>
  <c r="I325" i="21"/>
  <c r="E325" i="21"/>
  <c r="G324" i="21"/>
  <c r="Q323" i="21"/>
  <c r="O323" i="21"/>
  <c r="N323" i="21"/>
  <c r="L323" i="21"/>
  <c r="J323" i="21"/>
  <c r="I323" i="21"/>
  <c r="G323" i="21" s="1"/>
  <c r="E323" i="21"/>
  <c r="G318" i="21"/>
  <c r="G317" i="21"/>
  <c r="G316" i="21"/>
  <c r="Q315" i="21"/>
  <c r="O315" i="21"/>
  <c r="O314" i="21" s="1"/>
  <c r="N315" i="21"/>
  <c r="L315" i="21"/>
  <c r="J315" i="21"/>
  <c r="I315" i="21"/>
  <c r="I314" i="21" s="1"/>
  <c r="E315" i="21"/>
  <c r="Q314" i="21"/>
  <c r="L314" i="21"/>
  <c r="J314" i="21"/>
  <c r="P313" i="21"/>
  <c r="N313" i="21"/>
  <c r="M313" i="21"/>
  <c r="K313" i="21"/>
  <c r="H313" i="21"/>
  <c r="N312" i="21"/>
  <c r="G312" i="21" s="1"/>
  <c r="F312" i="21"/>
  <c r="M311" i="21"/>
  <c r="F311" i="21" s="1"/>
  <c r="F310" i="21"/>
  <c r="F309" i="21"/>
  <c r="F308" i="21"/>
  <c r="F307" i="21"/>
  <c r="M306" i="21"/>
  <c r="F306" i="21" s="1"/>
  <c r="F305" i="21"/>
  <c r="F304" i="21"/>
  <c r="M303" i="21"/>
  <c r="M302" i="21"/>
  <c r="F302" i="21" s="1"/>
  <c r="M301" i="21"/>
  <c r="F301" i="21" s="1"/>
  <c r="F299" i="21"/>
  <c r="F298" i="21"/>
  <c r="F297" i="21"/>
  <c r="M296" i="21"/>
  <c r="F296" i="21" s="1"/>
  <c r="M295" i="21"/>
  <c r="M294" i="21" s="1"/>
  <c r="M293" i="21"/>
  <c r="G293" i="21"/>
  <c r="F293" i="21"/>
  <c r="G292" i="21"/>
  <c r="G291" i="21"/>
  <c r="N290" i="21"/>
  <c r="N286" i="21" s="1"/>
  <c r="M290" i="21"/>
  <c r="F290" i="21" s="1"/>
  <c r="G289" i="21"/>
  <c r="F289" i="21"/>
  <c r="G288" i="21"/>
  <c r="M287" i="21"/>
  <c r="G287" i="21" s="1"/>
  <c r="Q286" i="21"/>
  <c r="P286" i="21"/>
  <c r="O286" i="21"/>
  <c r="L286" i="21"/>
  <c r="K286" i="21"/>
  <c r="J286" i="21"/>
  <c r="I286" i="21"/>
  <c r="H286" i="21"/>
  <c r="E286" i="21"/>
  <c r="P285" i="21"/>
  <c r="N285" i="21"/>
  <c r="N283" i="21" s="1"/>
  <c r="M285" i="21"/>
  <c r="F285" i="21" s="1"/>
  <c r="F283" i="21" s="1"/>
  <c r="G284" i="21"/>
  <c r="F284" i="21"/>
  <c r="Q283" i="21"/>
  <c r="P283" i="21"/>
  <c r="O283" i="21"/>
  <c r="L283" i="21"/>
  <c r="K283" i="21"/>
  <c r="J283" i="21"/>
  <c r="I283" i="21"/>
  <c r="H283" i="21"/>
  <c r="E283" i="21"/>
  <c r="P282" i="21"/>
  <c r="G282" i="21" s="1"/>
  <c r="H282" i="21"/>
  <c r="P281" i="21"/>
  <c r="G281" i="21" s="1"/>
  <c r="G280" i="21"/>
  <c r="G279" i="21"/>
  <c r="M278" i="21"/>
  <c r="F278" i="21" s="1"/>
  <c r="G277" i="21"/>
  <c r="G276" i="21"/>
  <c r="Q275" i="21"/>
  <c r="O275" i="21"/>
  <c r="N275" i="21"/>
  <c r="L275" i="21"/>
  <c r="K275" i="21"/>
  <c r="J275" i="21"/>
  <c r="I275" i="21"/>
  <c r="E275" i="21"/>
  <c r="G274" i="21"/>
  <c r="F274" i="21"/>
  <c r="G269" i="21"/>
  <c r="F269" i="21"/>
  <c r="G268" i="21"/>
  <c r="G267" i="21"/>
  <c r="F267" i="21"/>
  <c r="M266" i="21"/>
  <c r="F266" i="21" s="1"/>
  <c r="G266" i="21"/>
  <c r="P265" i="21"/>
  <c r="F265" i="21" s="1"/>
  <c r="M264" i="21"/>
  <c r="G264" i="21" s="1"/>
  <c r="G263" i="21"/>
  <c r="Q262" i="21"/>
  <c r="P262" i="21"/>
  <c r="O262" i="21"/>
  <c r="N262" i="21"/>
  <c r="M262" i="21"/>
  <c r="L262" i="21"/>
  <c r="K262" i="21"/>
  <c r="J262" i="21"/>
  <c r="I262" i="21"/>
  <c r="H262" i="21"/>
  <c r="E262" i="21"/>
  <c r="G261" i="21"/>
  <c r="G260" i="21"/>
  <c r="G259" i="21"/>
  <c r="G258" i="21"/>
  <c r="G257" i="21"/>
  <c r="F257" i="21"/>
  <c r="Q256" i="21"/>
  <c r="P256" i="21"/>
  <c r="O256" i="21"/>
  <c r="N256" i="21"/>
  <c r="M256" i="21"/>
  <c r="L256" i="21"/>
  <c r="K256" i="21"/>
  <c r="J256" i="21"/>
  <c r="I256" i="21"/>
  <c r="H256" i="21"/>
  <c r="G256" i="21"/>
  <c r="F256" i="21"/>
  <c r="E256" i="21"/>
  <c r="G255" i="21"/>
  <c r="G254" i="21"/>
  <c r="M253" i="21"/>
  <c r="G253" i="21" s="1"/>
  <c r="F253" i="21"/>
  <c r="M252" i="21"/>
  <c r="F252" i="21" s="1"/>
  <c r="P251" i="21"/>
  <c r="P248" i="21" s="1"/>
  <c r="M251" i="21"/>
  <c r="F251" i="21" s="1"/>
  <c r="M250" i="21"/>
  <c r="F250" i="21" s="1"/>
  <c r="G250" i="21"/>
  <c r="M249" i="21"/>
  <c r="M546" i="21" s="1"/>
  <c r="N546" i="21" s="1"/>
  <c r="Q248" i="21"/>
  <c r="O248" i="21"/>
  <c r="O247" i="21" s="1"/>
  <c r="N248" i="21"/>
  <c r="N247" i="21" s="1"/>
  <c r="L248" i="21"/>
  <c r="K248" i="21"/>
  <c r="K247" i="21" s="1"/>
  <c r="J248" i="21"/>
  <c r="J247" i="21" s="1"/>
  <c r="I248" i="21"/>
  <c r="I247" i="21" s="1"/>
  <c r="H248" i="21"/>
  <c r="E248" i="21"/>
  <c r="Q247" i="21"/>
  <c r="L247" i="21"/>
  <c r="E247" i="21"/>
  <c r="G246" i="21"/>
  <c r="Q245" i="21"/>
  <c r="O245" i="21"/>
  <c r="N245" i="21"/>
  <c r="L245" i="21"/>
  <c r="J245" i="21"/>
  <c r="I245" i="21"/>
  <c r="E245" i="21"/>
  <c r="G244" i="21"/>
  <c r="Q243" i="21"/>
  <c r="O243" i="21"/>
  <c r="N243" i="21"/>
  <c r="L243" i="21"/>
  <c r="J243" i="21"/>
  <c r="I243" i="21"/>
  <c r="G243" i="21" s="1"/>
  <c r="E243" i="21"/>
  <c r="M242" i="21"/>
  <c r="F242" i="21" s="1"/>
  <c r="F241" i="21" s="1"/>
  <c r="G242" i="21"/>
  <c r="G241" i="21" s="1"/>
  <c r="Q241" i="21"/>
  <c r="P241" i="21"/>
  <c r="O241" i="21"/>
  <c r="N241" i="21"/>
  <c r="L241" i="21"/>
  <c r="K241" i="21"/>
  <c r="J241" i="21"/>
  <c r="I241" i="21"/>
  <c r="H241" i="21"/>
  <c r="E241" i="21"/>
  <c r="G240" i="21"/>
  <c r="F240" i="21"/>
  <c r="Q239" i="21"/>
  <c r="P239" i="21"/>
  <c r="O239" i="21"/>
  <c r="N239" i="21"/>
  <c r="M239" i="21"/>
  <c r="L239" i="21"/>
  <c r="K239" i="21"/>
  <c r="J239" i="21"/>
  <c r="I239" i="21"/>
  <c r="H239" i="21"/>
  <c r="G239" i="21"/>
  <c r="F239" i="21"/>
  <c r="E239" i="21"/>
  <c r="M238" i="21"/>
  <c r="F238" i="21" s="1"/>
  <c r="M233" i="21"/>
  <c r="F233" i="21" s="1"/>
  <c r="G233" i="21"/>
  <c r="G232" i="21"/>
  <c r="G231" i="21"/>
  <c r="Q230" i="21"/>
  <c r="P230" i="21"/>
  <c r="O230" i="21"/>
  <c r="N230" i="21"/>
  <c r="L230" i="21"/>
  <c r="K230" i="21"/>
  <c r="J230" i="21"/>
  <c r="I230" i="21"/>
  <c r="H230" i="21"/>
  <c r="E230" i="21"/>
  <c r="G229" i="21"/>
  <c r="Q228" i="21"/>
  <c r="O228" i="21"/>
  <c r="N228" i="21"/>
  <c r="L228" i="21"/>
  <c r="J228" i="21"/>
  <c r="I228" i="21"/>
  <c r="G228" i="21" s="1"/>
  <c r="E228" i="21"/>
  <c r="G227" i="21"/>
  <c r="N226" i="21"/>
  <c r="G226" i="21" s="1"/>
  <c r="F226" i="21"/>
  <c r="E226" i="21"/>
  <c r="N225" i="21"/>
  <c r="N224" i="21" s="1"/>
  <c r="F225" i="21"/>
  <c r="E225" i="21"/>
  <c r="E224" i="21" s="1"/>
  <c r="Q224" i="21"/>
  <c r="P224" i="21"/>
  <c r="O224" i="21"/>
  <c r="M224" i="21"/>
  <c r="L224" i="21"/>
  <c r="L221" i="21" s="1"/>
  <c r="K224" i="21"/>
  <c r="J224" i="21"/>
  <c r="I224" i="21"/>
  <c r="H224" i="21"/>
  <c r="F224" i="21"/>
  <c r="R223" i="21"/>
  <c r="N223" i="21"/>
  <c r="G223" i="21" s="1"/>
  <c r="G222" i="21" s="1"/>
  <c r="F223" i="21"/>
  <c r="E223" i="21"/>
  <c r="E222" i="21" s="1"/>
  <c r="Q222" i="21"/>
  <c r="P222" i="21"/>
  <c r="O222" i="21"/>
  <c r="O221" i="21" s="1"/>
  <c r="N222" i="21"/>
  <c r="M222" i="21"/>
  <c r="L222" i="21"/>
  <c r="K222" i="21"/>
  <c r="J222" i="21"/>
  <c r="J221" i="21" s="1"/>
  <c r="I222" i="21"/>
  <c r="H222" i="21"/>
  <c r="F222" i="21"/>
  <c r="P221" i="21"/>
  <c r="K221" i="21"/>
  <c r="H221" i="21"/>
  <c r="G209" i="21"/>
  <c r="G208" i="21"/>
  <c r="G207" i="21"/>
  <c r="G202" i="21"/>
  <c r="G201" i="21"/>
  <c r="G200" i="21"/>
  <c r="G199" i="21"/>
  <c r="G198" i="21"/>
  <c r="Q197" i="21"/>
  <c r="O197" i="21"/>
  <c r="N197" i="21"/>
  <c r="L197" i="21"/>
  <c r="J197" i="21"/>
  <c r="I197" i="21"/>
  <c r="E197" i="21"/>
  <c r="G196" i="21"/>
  <c r="G195" i="21"/>
  <c r="G194" i="21"/>
  <c r="G193" i="21"/>
  <c r="G192" i="21"/>
  <c r="G191" i="21"/>
  <c r="G190" i="21"/>
  <c r="G189" i="21"/>
  <c r="G188" i="21"/>
  <c r="Q187" i="21"/>
  <c r="O187" i="21"/>
  <c r="N187" i="21"/>
  <c r="N186" i="21" s="1"/>
  <c r="L187" i="21"/>
  <c r="J187" i="21"/>
  <c r="I187" i="21"/>
  <c r="G187" i="21" s="1"/>
  <c r="E187" i="21"/>
  <c r="E186" i="21" s="1"/>
  <c r="O186" i="21"/>
  <c r="L186" i="21"/>
  <c r="I186" i="21"/>
  <c r="G185" i="21"/>
  <c r="G180" i="21"/>
  <c r="G179" i="21"/>
  <c r="G178" i="21"/>
  <c r="G177" i="21"/>
  <c r="G176" i="21"/>
  <c r="G175" i="21"/>
  <c r="Q174" i="21"/>
  <c r="O174" i="21"/>
  <c r="N174" i="21"/>
  <c r="L174" i="21"/>
  <c r="J174" i="21"/>
  <c r="I174" i="21"/>
  <c r="E174" i="21"/>
  <c r="G173" i="21"/>
  <c r="G172" i="21"/>
  <c r="G171" i="21"/>
  <c r="G170" i="21"/>
  <c r="G169" i="21"/>
  <c r="G168" i="21"/>
  <c r="G167" i="21"/>
  <c r="G166" i="21"/>
  <c r="G165" i="21"/>
  <c r="Q164" i="21"/>
  <c r="O164" i="21"/>
  <c r="G164" i="21" s="1"/>
  <c r="N164" i="21"/>
  <c r="N163" i="21" s="1"/>
  <c r="L164" i="21"/>
  <c r="J164" i="21"/>
  <c r="I164" i="21"/>
  <c r="E164" i="21"/>
  <c r="E163" i="21" s="1"/>
  <c r="L163" i="21"/>
  <c r="L162" i="21" s="1"/>
  <c r="I163" i="21"/>
  <c r="I162" i="21" s="1"/>
  <c r="G161" i="21"/>
  <c r="Q160" i="21"/>
  <c r="O160" i="21"/>
  <c r="N160" i="21"/>
  <c r="L160" i="21"/>
  <c r="J160" i="21"/>
  <c r="G160" i="21" s="1"/>
  <c r="I160" i="21"/>
  <c r="E160" i="21"/>
  <c r="G159" i="21"/>
  <c r="Q154" i="21"/>
  <c r="O154" i="21"/>
  <c r="N154" i="21"/>
  <c r="L154" i="21"/>
  <c r="J154" i="21"/>
  <c r="I154" i="21"/>
  <c r="E154" i="21"/>
  <c r="G153" i="21"/>
  <c r="Q152" i="21"/>
  <c r="O152" i="21"/>
  <c r="N152" i="21"/>
  <c r="L152" i="21"/>
  <c r="L151" i="21" s="1"/>
  <c r="J152" i="21"/>
  <c r="J151" i="21" s="1"/>
  <c r="I152" i="21"/>
  <c r="E152" i="21"/>
  <c r="Q151" i="21"/>
  <c r="E151" i="21"/>
  <c r="G150" i="21"/>
  <c r="Q149" i="21"/>
  <c r="O149" i="21"/>
  <c r="N149" i="21"/>
  <c r="L149" i="21"/>
  <c r="J149" i="21"/>
  <c r="G149" i="21" s="1"/>
  <c r="I149" i="21"/>
  <c r="E149" i="21"/>
  <c r="Q148" i="21"/>
  <c r="O148" i="21"/>
  <c r="N148" i="21"/>
  <c r="L148" i="21"/>
  <c r="J148" i="21"/>
  <c r="I148" i="21"/>
  <c r="G148" i="21"/>
  <c r="E148" i="21"/>
  <c r="G147" i="21"/>
  <c r="Q146" i="21"/>
  <c r="O146" i="21"/>
  <c r="N146" i="21"/>
  <c r="L146" i="21"/>
  <c r="J146" i="21"/>
  <c r="I146" i="21"/>
  <c r="G146" i="21" s="1"/>
  <c r="E146" i="21"/>
  <c r="G145" i="21"/>
  <c r="Q144" i="21"/>
  <c r="O144" i="21"/>
  <c r="N144" i="21"/>
  <c r="L144" i="21"/>
  <c r="J144" i="21"/>
  <c r="I144" i="21"/>
  <c r="G144" i="21" s="1"/>
  <c r="E144" i="21"/>
  <c r="G143" i="21"/>
  <c r="Q142" i="21"/>
  <c r="O142" i="21"/>
  <c r="N142" i="21"/>
  <c r="L142" i="21"/>
  <c r="J142" i="21"/>
  <c r="I142" i="21"/>
  <c r="G142" i="21" s="1"/>
  <c r="E142" i="21"/>
  <c r="Q141" i="21"/>
  <c r="L141" i="21"/>
  <c r="J141" i="21"/>
  <c r="E141" i="21"/>
  <c r="G140" i="21"/>
  <c r="Q139" i="21"/>
  <c r="O139" i="21"/>
  <c r="N139" i="21"/>
  <c r="L139" i="21"/>
  <c r="J139" i="21"/>
  <c r="I139" i="21"/>
  <c r="E139" i="21"/>
  <c r="P138" i="21"/>
  <c r="G138" i="21"/>
  <c r="F138" i="21"/>
  <c r="Q137" i="21"/>
  <c r="P137" i="21"/>
  <c r="O137" i="21"/>
  <c r="N137" i="21"/>
  <c r="M137" i="21"/>
  <c r="L137" i="21"/>
  <c r="K137" i="21"/>
  <c r="J137" i="21"/>
  <c r="I137" i="21"/>
  <c r="H137" i="21"/>
  <c r="G137" i="21"/>
  <c r="F137" i="21"/>
  <c r="E137" i="21"/>
  <c r="G136" i="21"/>
  <c r="F136" i="21"/>
  <c r="Q135" i="21"/>
  <c r="Q134" i="21" s="1"/>
  <c r="Q133" i="21" s="1"/>
  <c r="O135" i="21"/>
  <c r="N135" i="21"/>
  <c r="L135" i="21"/>
  <c r="J135" i="21"/>
  <c r="I135" i="21"/>
  <c r="F135" i="21"/>
  <c r="E135" i="21"/>
  <c r="E134" i="21" s="1"/>
  <c r="E133" i="21" s="1"/>
  <c r="P134" i="21"/>
  <c r="P133" i="21" s="1"/>
  <c r="N134" i="21"/>
  <c r="M134" i="21"/>
  <c r="M133" i="21" s="1"/>
  <c r="K134" i="21"/>
  <c r="K133" i="21" s="1"/>
  <c r="J134" i="21"/>
  <c r="I134" i="21"/>
  <c r="H134" i="21"/>
  <c r="H133" i="21" s="1"/>
  <c r="K132" i="21"/>
  <c r="H132" i="21"/>
  <c r="F132" i="21" s="1"/>
  <c r="G132" i="21"/>
  <c r="G127" i="21" s="1"/>
  <c r="G126" i="21" s="1"/>
  <c r="F131" i="21"/>
  <c r="F130" i="21"/>
  <c r="F129" i="21"/>
  <c r="F128" i="21"/>
  <c r="Q127" i="21"/>
  <c r="P127" i="21"/>
  <c r="O127" i="21"/>
  <c r="O126" i="21" s="1"/>
  <c r="N127" i="21"/>
  <c r="M127" i="21"/>
  <c r="L127" i="21"/>
  <c r="K127" i="21"/>
  <c r="K126" i="21" s="1"/>
  <c r="J127" i="21"/>
  <c r="J126" i="21" s="1"/>
  <c r="I127" i="21"/>
  <c r="E127" i="21"/>
  <c r="Q126" i="21"/>
  <c r="P126" i="21"/>
  <c r="N126" i="21"/>
  <c r="M126" i="21"/>
  <c r="L126" i="21"/>
  <c r="I126" i="21"/>
  <c r="E126" i="21"/>
  <c r="G125" i="21"/>
  <c r="F125" i="21"/>
  <c r="M124" i="21"/>
  <c r="F124" i="21" s="1"/>
  <c r="Q123" i="21"/>
  <c r="P123" i="21"/>
  <c r="O123" i="21"/>
  <c r="N123" i="21"/>
  <c r="N122" i="21" s="1"/>
  <c r="L123" i="21"/>
  <c r="K123" i="21"/>
  <c r="J123" i="21"/>
  <c r="J122" i="21" s="1"/>
  <c r="J120" i="21" s="1"/>
  <c r="I123" i="21"/>
  <c r="H123" i="21"/>
  <c r="E123" i="21"/>
  <c r="Q122" i="21"/>
  <c r="P122" i="21"/>
  <c r="O122" i="21"/>
  <c r="L122" i="21"/>
  <c r="L120" i="21" s="1"/>
  <c r="K122" i="21"/>
  <c r="K120" i="21" s="1"/>
  <c r="I122" i="21"/>
  <c r="H122" i="21"/>
  <c r="E122" i="21"/>
  <c r="F121" i="21"/>
  <c r="P120" i="21"/>
  <c r="I120" i="21"/>
  <c r="E120" i="21"/>
  <c r="G119" i="21"/>
  <c r="F119" i="21"/>
  <c r="Q118" i="21"/>
  <c r="O118" i="21"/>
  <c r="N118" i="21"/>
  <c r="L118" i="21"/>
  <c r="J118" i="21"/>
  <c r="I118" i="21"/>
  <c r="G118" i="21" s="1"/>
  <c r="F118" i="21"/>
  <c r="E118" i="21"/>
  <c r="G117" i="21"/>
  <c r="F117" i="21"/>
  <c r="Q116" i="21"/>
  <c r="Q115" i="21" s="1"/>
  <c r="O116" i="21"/>
  <c r="O115" i="21" s="1"/>
  <c r="N116" i="21"/>
  <c r="N115" i="21" s="1"/>
  <c r="L116" i="21"/>
  <c r="J116" i="21"/>
  <c r="I116" i="21"/>
  <c r="G116" i="21" s="1"/>
  <c r="F116" i="21"/>
  <c r="E116" i="21"/>
  <c r="E115" i="21" s="1"/>
  <c r="L115" i="21"/>
  <c r="J115" i="21"/>
  <c r="I115" i="21"/>
  <c r="F115" i="21"/>
  <c r="G114" i="21"/>
  <c r="F114" i="21"/>
  <c r="Q113" i="21"/>
  <c r="O113" i="21"/>
  <c r="N113" i="21"/>
  <c r="L113" i="21"/>
  <c r="J113" i="21"/>
  <c r="I113" i="21"/>
  <c r="G113" i="21" s="1"/>
  <c r="F113" i="21"/>
  <c r="E113" i="21"/>
  <c r="G112" i="21"/>
  <c r="G110" i="21" s="1"/>
  <c r="F112" i="21"/>
  <c r="G111" i="21"/>
  <c r="F111" i="21"/>
  <c r="Q110" i="21"/>
  <c r="P110" i="21"/>
  <c r="O110" i="21"/>
  <c r="N110" i="21"/>
  <c r="M110" i="21"/>
  <c r="L110" i="21"/>
  <c r="K110" i="21"/>
  <c r="J110" i="21"/>
  <c r="I110" i="21"/>
  <c r="H110" i="21"/>
  <c r="F110" i="21" s="1"/>
  <c r="E110" i="21"/>
  <c r="G109" i="21"/>
  <c r="F109" i="21"/>
  <c r="G108" i="21"/>
  <c r="F108" i="21"/>
  <c r="G107" i="21"/>
  <c r="F107" i="21"/>
  <c r="G106" i="21"/>
  <c r="F106" i="21"/>
  <c r="G105" i="21"/>
  <c r="F105" i="21"/>
  <c r="G104" i="21"/>
  <c r="F104" i="21"/>
  <c r="F103" i="21"/>
  <c r="F102" i="21"/>
  <c r="F101" i="21"/>
  <c r="F100" i="21"/>
  <c r="Q99" i="21"/>
  <c r="O99" i="21"/>
  <c r="N99" i="21"/>
  <c r="L99" i="21"/>
  <c r="J99" i="21"/>
  <c r="I99" i="21"/>
  <c r="G99" i="21" s="1"/>
  <c r="F99" i="21"/>
  <c r="E99" i="21"/>
  <c r="G98" i="21"/>
  <c r="F98" i="21"/>
  <c r="G97" i="21"/>
  <c r="F97" i="21"/>
  <c r="G96" i="21"/>
  <c r="F96" i="21"/>
  <c r="G95" i="21"/>
  <c r="F95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G93" i="21"/>
  <c r="F93" i="21"/>
  <c r="G92" i="21"/>
  <c r="F92" i="21"/>
  <c r="G91" i="21"/>
  <c r="F91" i="21"/>
  <c r="F87" i="21" s="1"/>
  <c r="G90" i="21"/>
  <c r="G89" i="21"/>
  <c r="G88" i="21"/>
  <c r="Q87" i="21"/>
  <c r="P87" i="21"/>
  <c r="P86" i="21" s="1"/>
  <c r="P7" i="21" s="1"/>
  <c r="O87" i="21"/>
  <c r="N87" i="21"/>
  <c r="M87" i="21"/>
  <c r="L87" i="21"/>
  <c r="K87" i="21"/>
  <c r="J87" i="21"/>
  <c r="I87" i="21"/>
  <c r="I86" i="21" s="1"/>
  <c r="H87" i="21"/>
  <c r="H86" i="21" s="1"/>
  <c r="E87" i="21"/>
  <c r="Q86" i="21"/>
  <c r="N86" i="21"/>
  <c r="L86" i="21"/>
  <c r="E86" i="21"/>
  <c r="G85" i="21"/>
  <c r="G84" i="21"/>
  <c r="Q83" i="21"/>
  <c r="O83" i="21"/>
  <c r="N83" i="21"/>
  <c r="L83" i="21"/>
  <c r="J83" i="21"/>
  <c r="I83" i="21"/>
  <c r="E83" i="21"/>
  <c r="G82" i="21"/>
  <c r="G81" i="21"/>
  <c r="G80" i="21"/>
  <c r="G79" i="21"/>
  <c r="Q78" i="21"/>
  <c r="O78" i="21"/>
  <c r="N78" i="21"/>
  <c r="L78" i="21"/>
  <c r="J78" i="21"/>
  <c r="I78" i="21"/>
  <c r="E78" i="21"/>
  <c r="G77" i="21"/>
  <c r="G76" i="21"/>
  <c r="Q75" i="21"/>
  <c r="Q74" i="21" s="1"/>
  <c r="O75" i="21"/>
  <c r="N75" i="21"/>
  <c r="L75" i="21"/>
  <c r="J75" i="21"/>
  <c r="J74" i="21" s="1"/>
  <c r="I75" i="21"/>
  <c r="E75" i="21"/>
  <c r="E74" i="21" s="1"/>
  <c r="L74" i="21"/>
  <c r="G69" i="21"/>
  <c r="G68" i="21"/>
  <c r="G67" i="21"/>
  <c r="Q66" i="21"/>
  <c r="O66" i="21"/>
  <c r="N66" i="21"/>
  <c r="L66" i="21"/>
  <c r="J66" i="21"/>
  <c r="I66" i="21"/>
  <c r="E66" i="21"/>
  <c r="G65" i="21"/>
  <c r="G64" i="21"/>
  <c r="G63" i="21"/>
  <c r="G62" i="21"/>
  <c r="Q61" i="21"/>
  <c r="Q60" i="21" s="1"/>
  <c r="O61" i="21"/>
  <c r="O60" i="21" s="1"/>
  <c r="N61" i="21"/>
  <c r="N60" i="21" s="1"/>
  <c r="L61" i="21"/>
  <c r="L60" i="21" s="1"/>
  <c r="J61" i="21"/>
  <c r="J60" i="21" s="1"/>
  <c r="I61" i="21"/>
  <c r="E61" i="21"/>
  <c r="I60" i="21"/>
  <c r="E60" i="21"/>
  <c r="G59" i="21"/>
  <c r="G58" i="21"/>
  <c r="G57" i="21"/>
  <c r="G56" i="21"/>
  <c r="G55" i="21"/>
  <c r="G54" i="21"/>
  <c r="Q53" i="21"/>
  <c r="O53" i="21"/>
  <c r="N53" i="21"/>
  <c r="L53" i="21"/>
  <c r="J53" i="21"/>
  <c r="I53" i="21"/>
  <c r="E53" i="21"/>
  <c r="G52" i="21"/>
  <c r="G51" i="21"/>
  <c r="G50" i="21"/>
  <c r="G49" i="21"/>
  <c r="G48" i="21"/>
  <c r="G47" i="21"/>
  <c r="Q42" i="21"/>
  <c r="O42" i="21"/>
  <c r="N42" i="21"/>
  <c r="L42" i="21"/>
  <c r="J42" i="21"/>
  <c r="I42" i="21"/>
  <c r="E42" i="21"/>
  <c r="G41" i="21"/>
  <c r="G40" i="21"/>
  <c r="Q39" i="21"/>
  <c r="O39" i="21"/>
  <c r="N39" i="21"/>
  <c r="L39" i="21"/>
  <c r="J39" i="21"/>
  <c r="I39" i="21"/>
  <c r="E39" i="21"/>
  <c r="G38" i="21"/>
  <c r="G37" i="21"/>
  <c r="G36" i="21"/>
  <c r="G35" i="21"/>
  <c r="G34" i="21"/>
  <c r="G33" i="21"/>
  <c r="Q32" i="21"/>
  <c r="O32" i="21"/>
  <c r="N32" i="21"/>
  <c r="L32" i="21"/>
  <c r="J32" i="21"/>
  <c r="I32" i="21"/>
  <c r="G32" i="21" s="1"/>
  <c r="E32" i="21"/>
  <c r="G31" i="21"/>
  <c r="G30" i="21"/>
  <c r="G29" i="21"/>
  <c r="G28" i="21"/>
  <c r="G27" i="21"/>
  <c r="Q26" i="21"/>
  <c r="O26" i="21"/>
  <c r="N26" i="21"/>
  <c r="L26" i="21"/>
  <c r="J26" i="21"/>
  <c r="I26" i="21"/>
  <c r="G26" i="21" s="1"/>
  <c r="E26" i="21"/>
  <c r="G25" i="21"/>
  <c r="G24" i="21"/>
  <c r="G23" i="21"/>
  <c r="G22" i="21"/>
  <c r="G21" i="21"/>
  <c r="G20" i="21"/>
  <c r="Q19" i="21"/>
  <c r="O19" i="21"/>
  <c r="N19" i="21"/>
  <c r="L19" i="21"/>
  <c r="J19" i="21"/>
  <c r="I19" i="21"/>
  <c r="E19" i="21"/>
  <c r="G18" i="21"/>
  <c r="Q17" i="21"/>
  <c r="O17" i="21"/>
  <c r="N17" i="21"/>
  <c r="L17" i="21"/>
  <c r="J17" i="21"/>
  <c r="I17" i="21"/>
  <c r="E17" i="21"/>
  <c r="G16" i="21"/>
  <c r="G15" i="21"/>
  <c r="G10" i="21"/>
  <c r="Q9" i="21"/>
  <c r="O9" i="21"/>
  <c r="O8" i="21" s="1"/>
  <c r="N9" i="21"/>
  <c r="N8" i="21" s="1"/>
  <c r="L9" i="21"/>
  <c r="J9" i="21"/>
  <c r="I9" i="21"/>
  <c r="I8" i="21" s="1"/>
  <c r="E9" i="21"/>
  <c r="I240" i="18"/>
  <c r="O434" i="21" l="1"/>
  <c r="I162" i="22"/>
  <c r="F230" i="21"/>
  <c r="F249" i="21"/>
  <c r="G285" i="21"/>
  <c r="Q394" i="21"/>
  <c r="G423" i="21"/>
  <c r="G486" i="21"/>
  <c r="G228" i="22"/>
  <c r="G61" i="21"/>
  <c r="E314" i="21"/>
  <c r="N374" i="21"/>
  <c r="G392" i="21"/>
  <c r="O394" i="21"/>
  <c r="J413" i="21"/>
  <c r="G164" i="22"/>
  <c r="E485" i="22"/>
  <c r="J133" i="21"/>
  <c r="L220" i="21"/>
  <c r="O374" i="21"/>
  <c r="P456" i="21"/>
  <c r="G160" i="22"/>
  <c r="G325" i="22"/>
  <c r="E394" i="22"/>
  <c r="K220" i="21"/>
  <c r="K219" i="21" s="1"/>
  <c r="K541" i="21" s="1"/>
  <c r="M283" i="21"/>
  <c r="G391" i="21"/>
  <c r="L458" i="21"/>
  <c r="G149" i="22"/>
  <c r="E224" i="22"/>
  <c r="L374" i="22"/>
  <c r="P413" i="22"/>
  <c r="J486" i="22"/>
  <c r="G42" i="21"/>
  <c r="M230" i="21"/>
  <c r="G388" i="21"/>
  <c r="G457" i="21"/>
  <c r="G456" i="21" s="1"/>
  <c r="O162" i="22"/>
  <c r="G19" i="21"/>
  <c r="G53" i="21"/>
  <c r="F313" i="21"/>
  <c r="Q434" i="21"/>
  <c r="G471" i="21"/>
  <c r="L482" i="21"/>
  <c r="G482" i="21" s="1"/>
  <c r="P137" i="22"/>
  <c r="P134" i="22" s="1"/>
  <c r="P133" i="22" s="1"/>
  <c r="F133" i="22" s="1"/>
  <c r="H221" i="22"/>
  <c r="E413" i="22"/>
  <c r="G60" i="21"/>
  <c r="G474" i="21"/>
  <c r="I485" i="21"/>
  <c r="G513" i="21"/>
  <c r="M241" i="22"/>
  <c r="E314" i="22"/>
  <c r="G323" i="22"/>
  <c r="Q374" i="22"/>
  <c r="N394" i="22"/>
  <c r="G39" i="21"/>
  <c r="O163" i="21"/>
  <c r="O162" i="21" s="1"/>
  <c r="F303" i="21"/>
  <c r="G399" i="21"/>
  <c r="G469" i="21"/>
  <c r="G487" i="21"/>
  <c r="F138" i="22"/>
  <c r="E141" i="22"/>
  <c r="J221" i="22"/>
  <c r="H413" i="22"/>
  <c r="G418" i="22"/>
  <c r="E435" i="22"/>
  <c r="P441" i="21"/>
  <c r="P435" i="21" s="1"/>
  <c r="P434" i="21" s="1"/>
  <c r="P86" i="22"/>
  <c r="F94" i="22"/>
  <c r="G116" i="22"/>
  <c r="H435" i="22"/>
  <c r="H434" i="22" s="1"/>
  <c r="E474" i="22"/>
  <c r="F295" i="21"/>
  <c r="F294" i="21" s="1"/>
  <c r="G395" i="21"/>
  <c r="I434" i="21"/>
  <c r="L485" i="21"/>
  <c r="J141" i="22"/>
  <c r="J148" i="22"/>
  <c r="G148" i="22" s="1"/>
  <c r="E151" i="22"/>
  <c r="E133" i="22" s="1"/>
  <c r="G187" i="22"/>
  <c r="L221" i="22"/>
  <c r="L314" i="22"/>
  <c r="L333" i="22"/>
  <c r="J413" i="22"/>
  <c r="I435" i="22"/>
  <c r="G436" i="22"/>
  <c r="O458" i="22"/>
  <c r="G516" i="22"/>
  <c r="N251" i="23"/>
  <c r="G87" i="21"/>
  <c r="G139" i="21"/>
  <c r="G472" i="21"/>
  <c r="L141" i="22"/>
  <c r="L186" i="22"/>
  <c r="L162" i="22" s="1"/>
  <c r="G382" i="22"/>
  <c r="I482" i="22"/>
  <c r="G482" i="22" s="1"/>
  <c r="K134" i="23"/>
  <c r="E417" i="23"/>
  <c r="G501" i="21"/>
  <c r="G530" i="21"/>
  <c r="G139" i="22"/>
  <c r="G242" i="22"/>
  <c r="G241" i="22" s="1"/>
  <c r="K247" i="22"/>
  <c r="L515" i="22"/>
  <c r="L485" i="22" s="1"/>
  <c r="N263" i="23"/>
  <c r="G457" i="23"/>
  <c r="N457" i="23" s="1"/>
  <c r="N249" i="23"/>
  <c r="G94" i="22"/>
  <c r="L115" i="22"/>
  <c r="F124" i="22"/>
  <c r="G339" i="22"/>
  <c r="G334" i="22" s="1"/>
  <c r="G379" i="22"/>
  <c r="E374" i="22"/>
  <c r="L458" i="22"/>
  <c r="L434" i="22" s="1"/>
  <c r="G509" i="22"/>
  <c r="O8" i="22"/>
  <c r="P7" i="22"/>
  <c r="J115" i="22"/>
  <c r="E186" i="22"/>
  <c r="E162" i="22" s="1"/>
  <c r="N314" i="22"/>
  <c r="G475" i="22"/>
  <c r="G477" i="22"/>
  <c r="G513" i="22"/>
  <c r="I515" i="22"/>
  <c r="I8" i="22"/>
  <c r="G113" i="22"/>
  <c r="G452" i="22"/>
  <c r="O515" i="22"/>
  <c r="G66" i="22"/>
  <c r="J133" i="22"/>
  <c r="G245" i="22"/>
  <c r="G471" i="22"/>
  <c r="G39" i="22"/>
  <c r="F134" i="22"/>
  <c r="G357" i="22"/>
  <c r="O374" i="22"/>
  <c r="Q8" i="22"/>
  <c r="G26" i="22"/>
  <c r="G83" i="22"/>
  <c r="Q115" i="22"/>
  <c r="M123" i="22"/>
  <c r="M122" i="22" s="1"/>
  <c r="M7" i="22" s="1"/>
  <c r="M6" i="22" s="1"/>
  <c r="M210" i="22" s="1"/>
  <c r="G388" i="22"/>
  <c r="Q458" i="22"/>
  <c r="J74" i="22"/>
  <c r="I221" i="22"/>
  <c r="Q394" i="22"/>
  <c r="N162" i="22"/>
  <c r="E8" i="22"/>
  <c r="E7" i="22" s="1"/>
  <c r="G78" i="22"/>
  <c r="H127" i="22"/>
  <c r="F137" i="22"/>
  <c r="N141" i="22"/>
  <c r="Q221" i="22"/>
  <c r="J247" i="22"/>
  <c r="M294" i="22"/>
  <c r="M300" i="22"/>
  <c r="F300" i="22" s="1"/>
  <c r="Q333" i="22"/>
  <c r="N374" i="22"/>
  <c r="F413" i="22"/>
  <c r="G469" i="22"/>
  <c r="G472" i="22"/>
  <c r="O474" i="22"/>
  <c r="O486" i="22"/>
  <c r="I60" i="22"/>
  <c r="G60" i="22" s="1"/>
  <c r="G75" i="22"/>
  <c r="G110" i="22"/>
  <c r="G118" i="22"/>
  <c r="G135" i="22"/>
  <c r="G134" i="22" s="1"/>
  <c r="J163" i="22"/>
  <c r="Q186" i="22"/>
  <c r="I247" i="22"/>
  <c r="Q247" i="22"/>
  <c r="K435" i="22"/>
  <c r="K434" i="22" s="1"/>
  <c r="G61" i="22"/>
  <c r="F87" i="22"/>
  <c r="O86" i="22"/>
  <c r="O151" i="22"/>
  <c r="N151" i="22"/>
  <c r="G174" i="22"/>
  <c r="G253" i="22"/>
  <c r="P262" i="22"/>
  <c r="G293" i="22"/>
  <c r="G327" i="22"/>
  <c r="N333" i="22"/>
  <c r="G344" i="22"/>
  <c r="O361" i="22"/>
  <c r="I374" i="22"/>
  <c r="G385" i="22"/>
  <c r="M413" i="22"/>
  <c r="G417" i="22"/>
  <c r="G459" i="22"/>
  <c r="G461" i="22"/>
  <c r="N486" i="22"/>
  <c r="N485" i="22" s="1"/>
  <c r="Q515" i="22"/>
  <c r="Q485" i="22" s="1"/>
  <c r="J8" i="22"/>
  <c r="G32" i="22"/>
  <c r="G87" i="22"/>
  <c r="G142" i="22"/>
  <c r="G144" i="22"/>
  <c r="G146" i="22"/>
  <c r="N222" i="22"/>
  <c r="N221" i="22" s="1"/>
  <c r="M221" i="22"/>
  <c r="E247" i="22"/>
  <c r="N361" i="22"/>
  <c r="G394" i="22"/>
  <c r="J394" i="22"/>
  <c r="G17" i="22"/>
  <c r="G19" i="22"/>
  <c r="G42" i="22"/>
  <c r="O74" i="22"/>
  <c r="Q133" i="22"/>
  <c r="M303" i="22"/>
  <c r="G355" i="22"/>
  <c r="G368" i="22"/>
  <c r="G371" i="22"/>
  <c r="G399" i="22"/>
  <c r="L413" i="22"/>
  <c r="L220" i="22" s="1"/>
  <c r="G454" i="22"/>
  <c r="I474" i="22"/>
  <c r="G487" i="22"/>
  <c r="G501" i="22"/>
  <c r="L8" i="22"/>
  <c r="L7" i="22" s="1"/>
  <c r="F122" i="22"/>
  <c r="O134" i="22"/>
  <c r="L134" i="22"/>
  <c r="L133" i="22" s="1"/>
  <c r="G152" i="22"/>
  <c r="Q163" i="22"/>
  <c r="Q162" i="22" s="1"/>
  <c r="G197" i="22"/>
  <c r="G225" i="22"/>
  <c r="G224" i="22" s="1"/>
  <c r="M262" i="22"/>
  <c r="G315" i="22"/>
  <c r="E434" i="22"/>
  <c r="O435" i="22"/>
  <c r="O434" i="22" s="1"/>
  <c r="G9" i="22"/>
  <c r="Q86" i="22"/>
  <c r="Q7" i="22" s="1"/>
  <c r="Q6" i="22" s="1"/>
  <c r="Q210" i="22" s="1"/>
  <c r="K86" i="22"/>
  <c r="F110" i="22"/>
  <c r="G154" i="22"/>
  <c r="F251" i="22"/>
  <c r="N286" i="22"/>
  <c r="N247" i="22" s="1"/>
  <c r="F313" i="22"/>
  <c r="F286" i="22" s="1"/>
  <c r="O314" i="22"/>
  <c r="O220" i="22" s="1"/>
  <c r="O219" i="22" s="1"/>
  <c r="J333" i="22"/>
  <c r="E333" i="22"/>
  <c r="G362" i="22"/>
  <c r="G365" i="22"/>
  <c r="G391" i="22"/>
  <c r="G395" i="22"/>
  <c r="I413" i="22"/>
  <c r="Q413" i="22"/>
  <c r="G426" i="22"/>
  <c r="G432" i="22"/>
  <c r="N434" i="22"/>
  <c r="G511" i="22"/>
  <c r="G530" i="22"/>
  <c r="J86" i="22"/>
  <c r="J7" i="22" s="1"/>
  <c r="J6" i="22" s="1"/>
  <c r="O141" i="22"/>
  <c r="K220" i="22"/>
  <c r="K219" i="22" s="1"/>
  <c r="K541" i="22" s="1"/>
  <c r="E221" i="22"/>
  <c r="E220" i="22" s="1"/>
  <c r="E219" i="22" s="1"/>
  <c r="E541" i="22" s="1"/>
  <c r="G331" i="22"/>
  <c r="N458" i="22"/>
  <c r="G458" i="22" s="1"/>
  <c r="Q474" i="22"/>
  <c r="Q434" i="22" s="1"/>
  <c r="G539" i="22"/>
  <c r="G534" i="29"/>
  <c r="G541" i="29"/>
  <c r="N524" i="29"/>
  <c r="N211" i="29"/>
  <c r="G540" i="29"/>
  <c r="G535" i="29"/>
  <c r="F219" i="26"/>
  <c r="F541" i="26" s="1"/>
  <c r="F543" i="26" s="1"/>
  <c r="K547" i="26"/>
  <c r="K543" i="26"/>
  <c r="F248" i="23"/>
  <c r="D524" i="23"/>
  <c r="D541" i="23" s="1"/>
  <c r="D533" i="23"/>
  <c r="G498" i="23"/>
  <c r="N498" i="23" s="1"/>
  <c r="J221" i="23"/>
  <c r="J10" i="23"/>
  <c r="J9" i="23" s="1"/>
  <c r="J211" i="23" s="1"/>
  <c r="M134" i="23"/>
  <c r="G63" i="23"/>
  <c r="N63" i="23" s="1"/>
  <c r="M468" i="23"/>
  <c r="M537" i="23" s="1"/>
  <c r="M539" i="23" s="1"/>
  <c r="L221" i="23"/>
  <c r="L220" i="23" s="1"/>
  <c r="L533" i="23" s="1"/>
  <c r="K468" i="23"/>
  <c r="K537" i="23" s="1"/>
  <c r="K539" i="23" s="1"/>
  <c r="E134" i="23"/>
  <c r="L468" i="23"/>
  <c r="L537" i="23" s="1"/>
  <c r="L538" i="23" s="1"/>
  <c r="K10" i="23"/>
  <c r="K9" i="23" s="1"/>
  <c r="G118" i="23"/>
  <c r="N118" i="23" s="1"/>
  <c r="G441" i="23"/>
  <c r="N441" i="23" s="1"/>
  <c r="G297" i="23"/>
  <c r="N297" i="23" s="1"/>
  <c r="E468" i="23"/>
  <c r="E537" i="23" s="1"/>
  <c r="E538" i="23" s="1"/>
  <c r="K417" i="23"/>
  <c r="L10" i="23"/>
  <c r="L9" i="23" s="1"/>
  <c r="G77" i="23"/>
  <c r="N77" i="23" s="1"/>
  <c r="I417" i="23"/>
  <c r="G187" i="23"/>
  <c r="N187" i="23" s="1"/>
  <c r="J417" i="23"/>
  <c r="J468" i="23"/>
  <c r="J537" i="23" s="1"/>
  <c r="J539" i="23" s="1"/>
  <c r="G152" i="23"/>
  <c r="N152" i="23" s="1"/>
  <c r="G316" i="23"/>
  <c r="N316" i="23" s="1"/>
  <c r="M10" i="23"/>
  <c r="G344" i="23"/>
  <c r="N344" i="23" s="1"/>
  <c r="G357" i="23"/>
  <c r="N357" i="23" s="1"/>
  <c r="K221" i="23"/>
  <c r="K220" i="23" s="1"/>
  <c r="G248" i="23"/>
  <c r="G396" i="23"/>
  <c r="N396" i="23" s="1"/>
  <c r="I10" i="23"/>
  <c r="I9" i="23" s="1"/>
  <c r="I532" i="23" s="1"/>
  <c r="M221" i="23"/>
  <c r="M220" i="23" s="1"/>
  <c r="M533" i="23" s="1"/>
  <c r="G222" i="23"/>
  <c r="N222" i="23" s="1"/>
  <c r="H221" i="23"/>
  <c r="G89" i="23"/>
  <c r="N89" i="23" s="1"/>
  <c r="I221" i="23"/>
  <c r="E10" i="23"/>
  <c r="E9" i="23" s="1"/>
  <c r="E396" i="23"/>
  <c r="E221" i="23" s="1"/>
  <c r="E220" i="23" s="1"/>
  <c r="I538" i="23"/>
  <c r="G418" i="23"/>
  <c r="N418" i="23" s="1"/>
  <c r="H417" i="23"/>
  <c r="G135" i="23"/>
  <c r="N135" i="23" s="1"/>
  <c r="H134" i="23"/>
  <c r="G11" i="23"/>
  <c r="N11" i="23" s="1"/>
  <c r="H10" i="23"/>
  <c r="H163" i="23"/>
  <c r="G469" i="23"/>
  <c r="N469" i="23" s="1"/>
  <c r="H468" i="23"/>
  <c r="G441" i="22"/>
  <c r="G435" i="22" s="1"/>
  <c r="F447" i="22"/>
  <c r="G287" i="22"/>
  <c r="G313" i="22"/>
  <c r="N7" i="22"/>
  <c r="G8" i="22"/>
  <c r="K7" i="22"/>
  <c r="K6" i="22" s="1"/>
  <c r="K210" i="22" s="1"/>
  <c r="I434" i="22"/>
  <c r="G86" i="22"/>
  <c r="G115" i="22"/>
  <c r="N133" i="22"/>
  <c r="Q220" i="22"/>
  <c r="F294" i="22"/>
  <c r="F303" i="22"/>
  <c r="G163" i="22"/>
  <c r="I74" i="22"/>
  <c r="G74" i="22" s="1"/>
  <c r="H120" i="22"/>
  <c r="F120" i="22" s="1"/>
  <c r="F86" i="22" s="1"/>
  <c r="I141" i="22"/>
  <c r="G141" i="22" s="1"/>
  <c r="I151" i="22"/>
  <c r="G151" i="22" s="1"/>
  <c r="J186" i="22"/>
  <c r="G186" i="22" s="1"/>
  <c r="F233" i="22"/>
  <c r="F230" i="22" s="1"/>
  <c r="F221" i="22" s="1"/>
  <c r="G238" i="22"/>
  <c r="G230" i="22" s="1"/>
  <c r="G221" i="22" s="1"/>
  <c r="M248" i="22"/>
  <c r="F250" i="22"/>
  <c r="F248" i="22" s="1"/>
  <c r="G251" i="22"/>
  <c r="G252" i="22"/>
  <c r="F264" i="22"/>
  <c r="F262" i="22" s="1"/>
  <c r="G265" i="22"/>
  <c r="G262" i="22" s="1"/>
  <c r="M275" i="22"/>
  <c r="G278" i="22"/>
  <c r="G275" i="22" s="1"/>
  <c r="F281" i="22"/>
  <c r="F275" i="22" s="1"/>
  <c r="G290" i="22"/>
  <c r="R293" i="22"/>
  <c r="S293" i="22" s="1"/>
  <c r="I314" i="22"/>
  <c r="G314" i="22" s="1"/>
  <c r="I361" i="22"/>
  <c r="G361" i="22" s="1"/>
  <c r="F392" i="22"/>
  <c r="F391" i="22" s="1"/>
  <c r="F374" i="22" s="1"/>
  <c r="F444" i="22"/>
  <c r="J474" i="22"/>
  <c r="J434" i="22" s="1"/>
  <c r="G479" i="22"/>
  <c r="I486" i="22"/>
  <c r="J515" i="22"/>
  <c r="H275" i="22"/>
  <c r="H247" i="22" s="1"/>
  <c r="H220" i="22" s="1"/>
  <c r="H219" i="22" s="1"/>
  <c r="P275" i="22"/>
  <c r="P247" i="22" s="1"/>
  <c r="P220" i="22" s="1"/>
  <c r="M286" i="22"/>
  <c r="R286" i="22" s="1"/>
  <c r="I333" i="22"/>
  <c r="M391" i="22"/>
  <c r="M374" i="22" s="1"/>
  <c r="P441" i="22"/>
  <c r="P435" i="22" s="1"/>
  <c r="P434" i="22" s="1"/>
  <c r="E162" i="21"/>
  <c r="G361" i="21"/>
  <c r="N162" i="21"/>
  <c r="G9" i="21"/>
  <c r="P6" i="21"/>
  <c r="P210" i="21" s="1"/>
  <c r="J86" i="21"/>
  <c r="M123" i="21"/>
  <c r="M122" i="21" s="1"/>
  <c r="M7" i="21" s="1"/>
  <c r="M6" i="21" s="1"/>
  <c r="M210" i="21" s="1"/>
  <c r="F133" i="21"/>
  <c r="G154" i="21"/>
  <c r="O151" i="21"/>
  <c r="N151" i="21"/>
  <c r="G174" i="21"/>
  <c r="G197" i="21"/>
  <c r="M241" i="21"/>
  <c r="M221" i="21" s="1"/>
  <c r="F287" i="21"/>
  <c r="G313" i="21"/>
  <c r="G315" i="21"/>
  <c r="G362" i="21"/>
  <c r="G365" i="21"/>
  <c r="G385" i="21"/>
  <c r="I394" i="21"/>
  <c r="G394" i="21" s="1"/>
  <c r="G485" i="21"/>
  <c r="J8" i="21"/>
  <c r="Q8" i="21"/>
  <c r="Q7" i="21" s="1"/>
  <c r="G66" i="21"/>
  <c r="F134" i="21"/>
  <c r="O141" i="21"/>
  <c r="F221" i="21"/>
  <c r="E221" i="21"/>
  <c r="E220" i="21" s="1"/>
  <c r="E219" i="21" s="1"/>
  <c r="E541" i="21" s="1"/>
  <c r="I221" i="21"/>
  <c r="G245" i="21"/>
  <c r="G325" i="21"/>
  <c r="G413" i="21"/>
  <c r="G477" i="21"/>
  <c r="G17" i="21"/>
  <c r="E8" i="21"/>
  <c r="E7" i="21" s="1"/>
  <c r="E6" i="21" s="1"/>
  <c r="E210" i="21" s="1"/>
  <c r="G75" i="21"/>
  <c r="G78" i="21"/>
  <c r="O74" i="21"/>
  <c r="G124" i="21"/>
  <c r="G123" i="21" s="1"/>
  <c r="G122" i="21" s="1"/>
  <c r="G120" i="21" s="1"/>
  <c r="N141" i="21"/>
  <c r="N133" i="21" s="1"/>
  <c r="Q221" i="21"/>
  <c r="Q220" i="21" s="1"/>
  <c r="Q219" i="21" s="1"/>
  <c r="Q541" i="21" s="1"/>
  <c r="G283" i="21"/>
  <c r="G311" i="21"/>
  <c r="G458" i="21"/>
  <c r="L8" i="21"/>
  <c r="L7" i="21" s="1"/>
  <c r="N74" i="21"/>
  <c r="N7" i="21" s="1"/>
  <c r="N6" i="21" s="1"/>
  <c r="N210" i="21" s="1"/>
  <c r="G83" i="21"/>
  <c r="K86" i="21"/>
  <c r="K7" i="21" s="1"/>
  <c r="K6" i="21" s="1"/>
  <c r="K210" i="21" s="1"/>
  <c r="K543" i="21" s="1"/>
  <c r="O86" i="21"/>
  <c r="O7" i="21" s="1"/>
  <c r="H127" i="21"/>
  <c r="G135" i="21"/>
  <c r="G134" i="21" s="1"/>
  <c r="O134" i="21"/>
  <c r="O133" i="21" s="1"/>
  <c r="L134" i="21"/>
  <c r="L133" i="21" s="1"/>
  <c r="G152" i="21"/>
  <c r="J163" i="21"/>
  <c r="G163" i="21" s="1"/>
  <c r="Q163" i="21"/>
  <c r="Q162" i="21" s="1"/>
  <c r="J186" i="21"/>
  <c r="Q186" i="21"/>
  <c r="O220" i="21"/>
  <c r="O219" i="21" s="1"/>
  <c r="O541" i="21" s="1"/>
  <c r="G225" i="21"/>
  <c r="G224" i="21" s="1"/>
  <c r="G249" i="21"/>
  <c r="F282" i="21"/>
  <c r="M300" i="21"/>
  <c r="F300" i="21" s="1"/>
  <c r="N314" i="21"/>
  <c r="G314" i="21" s="1"/>
  <c r="G331" i="21"/>
  <c r="G344" i="21"/>
  <c r="G333" i="21" s="1"/>
  <c r="G379" i="21"/>
  <c r="G374" i="21" s="1"/>
  <c r="G454" i="21"/>
  <c r="G435" i="21" s="1"/>
  <c r="G459" i="21"/>
  <c r="G516" i="21"/>
  <c r="G8" i="21"/>
  <c r="G86" i="21"/>
  <c r="G115" i="21"/>
  <c r="F248" i="21"/>
  <c r="F286" i="21"/>
  <c r="K547" i="21"/>
  <c r="J162" i="21"/>
  <c r="G162" i="21" s="1"/>
  <c r="J7" i="21"/>
  <c r="J6" i="21" s="1"/>
  <c r="Q6" i="21"/>
  <c r="J220" i="21"/>
  <c r="J219" i="21" s="1"/>
  <c r="J541" i="21" s="1"/>
  <c r="N221" i="21"/>
  <c r="I74" i="21"/>
  <c r="G74" i="21" s="1"/>
  <c r="H120" i="21"/>
  <c r="F120" i="21" s="1"/>
  <c r="F86" i="21" s="1"/>
  <c r="I141" i="21"/>
  <c r="G141" i="21" s="1"/>
  <c r="G133" i="21" s="1"/>
  <c r="I151" i="21"/>
  <c r="G151" i="21" s="1"/>
  <c r="G238" i="21"/>
  <c r="G230" i="21" s="1"/>
  <c r="M248" i="21"/>
  <c r="G251" i="21"/>
  <c r="G252" i="21"/>
  <c r="F264" i="21"/>
  <c r="F262" i="21" s="1"/>
  <c r="G265" i="21"/>
  <c r="G262" i="21" s="1"/>
  <c r="M275" i="21"/>
  <c r="G278" i="21"/>
  <c r="G275" i="21" s="1"/>
  <c r="F281" i="21"/>
  <c r="F275" i="21" s="1"/>
  <c r="G290" i="21"/>
  <c r="R293" i="21"/>
  <c r="S293" i="21" s="1"/>
  <c r="F444" i="21"/>
  <c r="F441" i="21" s="1"/>
  <c r="F435" i="21" s="1"/>
  <c r="F434" i="21" s="1"/>
  <c r="M549" i="21"/>
  <c r="H275" i="21"/>
  <c r="H247" i="21" s="1"/>
  <c r="H220" i="21" s="1"/>
  <c r="H219" i="21" s="1"/>
  <c r="P275" i="21"/>
  <c r="P247" i="21" s="1"/>
  <c r="P220" i="21" s="1"/>
  <c r="P219" i="21" s="1"/>
  <c r="P541" i="21" s="1"/>
  <c r="M286" i="21"/>
  <c r="R286" i="21" s="1"/>
  <c r="D430" i="18"/>
  <c r="D295" i="18"/>
  <c r="D294" i="18"/>
  <c r="M293" i="19"/>
  <c r="F122" i="21" l="1"/>
  <c r="I7" i="22"/>
  <c r="L434" i="21"/>
  <c r="L219" i="21" s="1"/>
  <c r="L541" i="21" s="1"/>
  <c r="L6" i="22"/>
  <c r="L210" i="22" s="1"/>
  <c r="F123" i="22"/>
  <c r="P6" i="22"/>
  <c r="P210" i="22" s="1"/>
  <c r="N220" i="21"/>
  <c r="N219" i="21" s="1"/>
  <c r="N541" i="21" s="1"/>
  <c r="N547" i="21" s="1"/>
  <c r="G186" i="21"/>
  <c r="G248" i="22"/>
  <c r="J220" i="22"/>
  <c r="G434" i="21"/>
  <c r="J538" i="23"/>
  <c r="N248" i="23"/>
  <c r="M538" i="23"/>
  <c r="L539" i="23"/>
  <c r="O541" i="22"/>
  <c r="G413" i="22"/>
  <c r="G133" i="22"/>
  <c r="Q219" i="22"/>
  <c r="Q541" i="22" s="1"/>
  <c r="G374" i="22"/>
  <c r="N220" i="22"/>
  <c r="N219" i="22" s="1"/>
  <c r="N541" i="22" s="1"/>
  <c r="L219" i="22"/>
  <c r="L541" i="22" s="1"/>
  <c r="O485" i="22"/>
  <c r="G333" i="22"/>
  <c r="O133" i="22"/>
  <c r="E6" i="22"/>
  <c r="E210" i="22" s="1"/>
  <c r="F127" i="22"/>
  <c r="H126" i="22"/>
  <c r="F441" i="22"/>
  <c r="F435" i="22" s="1"/>
  <c r="F434" i="22" s="1"/>
  <c r="O7" i="22"/>
  <c r="F547" i="26"/>
  <c r="F221" i="23"/>
  <c r="K532" i="23"/>
  <c r="K211" i="23"/>
  <c r="D534" i="23"/>
  <c r="D535" i="23"/>
  <c r="J532" i="23"/>
  <c r="G134" i="23"/>
  <c r="N134" i="23" s="1"/>
  <c r="L524" i="23"/>
  <c r="G417" i="23"/>
  <c r="N417" i="23" s="1"/>
  <c r="J220" i="23"/>
  <c r="J524" i="23" s="1"/>
  <c r="K538" i="23"/>
  <c r="M9" i="23"/>
  <c r="M532" i="23" s="1"/>
  <c r="M535" i="23" s="1"/>
  <c r="E539" i="23"/>
  <c r="I220" i="23"/>
  <c r="I533" i="23" s="1"/>
  <c r="I535" i="23" s="1"/>
  <c r="M524" i="23"/>
  <c r="I211" i="23"/>
  <c r="E533" i="23"/>
  <c r="F533" i="23" s="1"/>
  <c r="E524" i="23"/>
  <c r="E532" i="23"/>
  <c r="F532" i="23" s="1"/>
  <c r="E211" i="23"/>
  <c r="L211" i="23"/>
  <c r="L540" i="23" s="1"/>
  <c r="L532" i="23"/>
  <c r="L534" i="23" s="1"/>
  <c r="H536" i="23"/>
  <c r="G163" i="23"/>
  <c r="N163" i="23" s="1"/>
  <c r="G10" i="23"/>
  <c r="N10" i="23" s="1"/>
  <c r="H9" i="23"/>
  <c r="H537" i="23"/>
  <c r="G468" i="23"/>
  <c r="N468" i="23" s="1"/>
  <c r="K524" i="23"/>
  <c r="K533" i="23"/>
  <c r="G221" i="23"/>
  <c r="H220" i="23"/>
  <c r="P219" i="22"/>
  <c r="P541" i="22" s="1"/>
  <c r="G286" i="22"/>
  <c r="G247" i="22" s="1"/>
  <c r="G220" i="22" s="1"/>
  <c r="H541" i="22"/>
  <c r="J485" i="22"/>
  <c r="G515" i="22"/>
  <c r="J162" i="22"/>
  <c r="G162" i="22" s="1"/>
  <c r="N6" i="22"/>
  <c r="N210" i="22" s="1"/>
  <c r="I133" i="22"/>
  <c r="I6" i="22" s="1"/>
  <c r="I210" i="22" s="1"/>
  <c r="G7" i="22"/>
  <c r="M247" i="22"/>
  <c r="M220" i="22" s="1"/>
  <c r="M219" i="22" s="1"/>
  <c r="M541" i="22" s="1"/>
  <c r="G474" i="22"/>
  <c r="G434" i="22" s="1"/>
  <c r="I220" i="22"/>
  <c r="I219" i="22" s="1"/>
  <c r="G486" i="22"/>
  <c r="I485" i="22"/>
  <c r="G485" i="22" s="1"/>
  <c r="F247" i="22"/>
  <c r="F220" i="22" s="1"/>
  <c r="J219" i="22"/>
  <c r="J541" i="22" s="1"/>
  <c r="I220" i="21"/>
  <c r="I219" i="21" s="1"/>
  <c r="I541" i="21" s="1"/>
  <c r="G221" i="21"/>
  <c r="J210" i="21"/>
  <c r="J547" i="21" s="1"/>
  <c r="L6" i="21"/>
  <c r="L210" i="21" s="1"/>
  <c r="L547" i="21" s="1"/>
  <c r="F123" i="21"/>
  <c r="F127" i="21"/>
  <c r="H126" i="21"/>
  <c r="G286" i="21"/>
  <c r="O6" i="21"/>
  <c r="O210" i="21" s="1"/>
  <c r="Q210" i="21"/>
  <c r="P543" i="21"/>
  <c r="P547" i="21"/>
  <c r="I7" i="21"/>
  <c r="M247" i="21"/>
  <c r="M220" i="21" s="1"/>
  <c r="M219" i="21" s="1"/>
  <c r="M541" i="21" s="1"/>
  <c r="I133" i="21"/>
  <c r="F247" i="21"/>
  <c r="F220" i="21" s="1"/>
  <c r="G7" i="21"/>
  <c r="G6" i="21" s="1"/>
  <c r="G210" i="21" s="1"/>
  <c r="H541" i="21"/>
  <c r="G248" i="21"/>
  <c r="O547" i="21"/>
  <c r="O543" i="21"/>
  <c r="D251" i="18"/>
  <c r="D249" i="18" s="1"/>
  <c r="D133" i="18"/>
  <c r="D128" i="18" s="1"/>
  <c r="D127" i="18" s="1"/>
  <c r="D125" i="18"/>
  <c r="D124" i="18" s="1"/>
  <c r="D123" i="18" s="1"/>
  <c r="K313" i="19"/>
  <c r="K286" i="19" s="1"/>
  <c r="K132" i="19"/>
  <c r="P313" i="19"/>
  <c r="P285" i="19"/>
  <c r="M313" i="19"/>
  <c r="P138" i="19"/>
  <c r="P137" i="19" s="1"/>
  <c r="M295" i="19"/>
  <c r="F295" i="19" s="1"/>
  <c r="M296" i="19"/>
  <c r="F296" i="19" s="1"/>
  <c r="M302" i="19"/>
  <c r="F302" i="19" s="1"/>
  <c r="M124" i="19"/>
  <c r="G540" i="19"/>
  <c r="Q539" i="19"/>
  <c r="O539" i="19"/>
  <c r="N539" i="19"/>
  <c r="L539" i="19"/>
  <c r="J539" i="19"/>
  <c r="I539" i="19"/>
  <c r="E539" i="19"/>
  <c r="G538" i="19"/>
  <c r="G537" i="19"/>
  <c r="G536" i="19"/>
  <c r="G535" i="19"/>
  <c r="G534" i="19"/>
  <c r="G533" i="19"/>
  <c r="G532" i="19"/>
  <c r="G531" i="19"/>
  <c r="Q530" i="19"/>
  <c r="O530" i="19"/>
  <c r="N530" i="19"/>
  <c r="L530" i="19"/>
  <c r="J530" i="19"/>
  <c r="I530" i="19"/>
  <c r="E530" i="19"/>
  <c r="G529" i="19"/>
  <c r="G528" i="19"/>
  <c r="G527" i="19"/>
  <c r="G526" i="19"/>
  <c r="G525" i="19"/>
  <c r="G524" i="19"/>
  <c r="G523" i="19"/>
  <c r="G522" i="19"/>
  <c r="G517" i="19"/>
  <c r="Q516" i="19"/>
  <c r="Q515" i="19" s="1"/>
  <c r="O516" i="19"/>
  <c r="O515" i="19" s="1"/>
  <c r="N516" i="19"/>
  <c r="L516" i="19"/>
  <c r="J516" i="19"/>
  <c r="I516" i="19"/>
  <c r="I515" i="19" s="1"/>
  <c r="E516" i="19"/>
  <c r="G514" i="19"/>
  <c r="Q513" i="19"/>
  <c r="O513" i="19"/>
  <c r="N513" i="19"/>
  <c r="L513" i="19"/>
  <c r="J513" i="19"/>
  <c r="I513" i="19"/>
  <c r="E513" i="19"/>
  <c r="E486" i="19" s="1"/>
  <c r="G512" i="19"/>
  <c r="Q511" i="19"/>
  <c r="O511" i="19"/>
  <c r="N511" i="19"/>
  <c r="L511" i="19"/>
  <c r="J511" i="19"/>
  <c r="I511" i="19"/>
  <c r="E511" i="19"/>
  <c r="G510" i="19"/>
  <c r="Q509" i="19"/>
  <c r="O509" i="19"/>
  <c r="N509" i="19"/>
  <c r="N486" i="19" s="1"/>
  <c r="L509" i="19"/>
  <c r="J509" i="19"/>
  <c r="I509" i="19"/>
  <c r="E509" i="19"/>
  <c r="G508" i="19"/>
  <c r="G507" i="19"/>
  <c r="G506" i="19"/>
  <c r="G505" i="19"/>
  <c r="G504" i="19"/>
  <c r="G503" i="19"/>
  <c r="G502" i="19"/>
  <c r="Q501" i="19"/>
  <c r="O501" i="19"/>
  <c r="N501" i="19"/>
  <c r="L501" i="19"/>
  <c r="J501" i="19"/>
  <c r="I501" i="19"/>
  <c r="E501" i="19"/>
  <c r="G500" i="19"/>
  <c r="G499" i="19"/>
  <c r="G498" i="19"/>
  <c r="G497" i="19"/>
  <c r="G496" i="19"/>
  <c r="G495" i="19"/>
  <c r="G490" i="19"/>
  <c r="G489" i="19"/>
  <c r="G488" i="19"/>
  <c r="Q487" i="19"/>
  <c r="O487" i="19"/>
  <c r="N487" i="19"/>
  <c r="L487" i="19"/>
  <c r="J487" i="19"/>
  <c r="I487" i="19"/>
  <c r="E487" i="19"/>
  <c r="G484" i="19"/>
  <c r="Q483" i="19"/>
  <c r="Q482" i="19" s="1"/>
  <c r="O483" i="19"/>
  <c r="O482" i="19" s="1"/>
  <c r="N483" i="19"/>
  <c r="L483" i="19"/>
  <c r="J483" i="19"/>
  <c r="I483" i="19"/>
  <c r="E483" i="19"/>
  <c r="N482" i="19"/>
  <c r="L482" i="19"/>
  <c r="J482" i="19"/>
  <c r="I482" i="19"/>
  <c r="E482" i="19"/>
  <c r="G481" i="19"/>
  <c r="G480" i="19"/>
  <c r="Q479" i="19"/>
  <c r="O479" i="19"/>
  <c r="N479" i="19"/>
  <c r="L479" i="19"/>
  <c r="J479" i="19"/>
  <c r="I479" i="19"/>
  <c r="E479" i="19"/>
  <c r="G478" i="19"/>
  <c r="Q477" i="19"/>
  <c r="O477" i="19"/>
  <c r="N477" i="19"/>
  <c r="L477" i="19"/>
  <c r="J477" i="19"/>
  <c r="I477" i="19"/>
  <c r="E477" i="19"/>
  <c r="G476" i="19"/>
  <c r="Q475" i="19"/>
  <c r="O475" i="19"/>
  <c r="N475" i="19"/>
  <c r="N474" i="19" s="1"/>
  <c r="L475" i="19"/>
  <c r="J475" i="19"/>
  <c r="I475" i="19"/>
  <c r="I474" i="19" s="1"/>
  <c r="E475" i="19"/>
  <c r="G473" i="19"/>
  <c r="Q472" i="19"/>
  <c r="O472" i="19"/>
  <c r="O471" i="19" s="1"/>
  <c r="N472" i="19"/>
  <c r="N471" i="19" s="1"/>
  <c r="L472" i="19"/>
  <c r="L471" i="19" s="1"/>
  <c r="J472" i="19"/>
  <c r="I472" i="19"/>
  <c r="I471" i="19" s="1"/>
  <c r="E472" i="19"/>
  <c r="E471" i="19" s="1"/>
  <c r="Q471" i="19"/>
  <c r="J471" i="19"/>
  <c r="G470" i="19"/>
  <c r="Q469" i="19"/>
  <c r="O469" i="19"/>
  <c r="N469" i="19"/>
  <c r="L469" i="19"/>
  <c r="J469" i="19"/>
  <c r="I469" i="19"/>
  <c r="E469" i="19"/>
  <c r="G468" i="19"/>
  <c r="G467" i="19"/>
  <c r="G462" i="19"/>
  <c r="Q461" i="19"/>
  <c r="O461" i="19"/>
  <c r="N461" i="19"/>
  <c r="L461" i="19"/>
  <c r="J461" i="19"/>
  <c r="I461" i="19"/>
  <c r="E461" i="19"/>
  <c r="G460" i="19"/>
  <c r="Q459" i="19"/>
  <c r="O459" i="19"/>
  <c r="N459" i="19"/>
  <c r="N458" i="19" s="1"/>
  <c r="L459" i="19"/>
  <c r="L458" i="19" s="1"/>
  <c r="J459" i="19"/>
  <c r="I459" i="19"/>
  <c r="E459" i="19"/>
  <c r="G457" i="19"/>
  <c r="G456" i="19" s="1"/>
  <c r="F457" i="19"/>
  <c r="F456" i="19" s="1"/>
  <c r="Q456" i="19"/>
  <c r="P456" i="19"/>
  <c r="O456" i="19"/>
  <c r="N456" i="19"/>
  <c r="M456" i="19"/>
  <c r="L456" i="19"/>
  <c r="K456" i="19"/>
  <c r="J456" i="19"/>
  <c r="I456" i="19"/>
  <c r="H456" i="19"/>
  <c r="E456" i="19"/>
  <c r="G455" i="19"/>
  <c r="Q454" i="19"/>
  <c r="O454" i="19"/>
  <c r="N454" i="19"/>
  <c r="L454" i="19"/>
  <c r="J454" i="19"/>
  <c r="J435" i="19" s="1"/>
  <c r="I454" i="19"/>
  <c r="E454" i="19"/>
  <c r="G453" i="19"/>
  <c r="Q452" i="19"/>
  <c r="O452" i="19"/>
  <c r="N452" i="19"/>
  <c r="L452" i="19"/>
  <c r="J452" i="19"/>
  <c r="I452" i="19"/>
  <c r="G452" i="19" s="1"/>
  <c r="E452" i="19"/>
  <c r="G451" i="19"/>
  <c r="G450" i="19"/>
  <c r="G449" i="19"/>
  <c r="G448" i="19"/>
  <c r="H447" i="19"/>
  <c r="G447" i="19"/>
  <c r="F447" i="19"/>
  <c r="G446" i="19"/>
  <c r="G445" i="19"/>
  <c r="T444" i="19"/>
  <c r="P444" i="19"/>
  <c r="F444" i="19" s="1"/>
  <c r="P443" i="19"/>
  <c r="F443" i="19" s="1"/>
  <c r="G442" i="19"/>
  <c r="Q441" i="19"/>
  <c r="O441" i="19"/>
  <c r="N441" i="19"/>
  <c r="M441" i="19"/>
  <c r="L441" i="19"/>
  <c r="K441" i="19"/>
  <c r="J441" i="19"/>
  <c r="I441" i="19"/>
  <c r="H441" i="19"/>
  <c r="E441" i="19"/>
  <c r="G440" i="19"/>
  <c r="G439" i="19"/>
  <c r="F439" i="19"/>
  <c r="F436" i="19" s="1"/>
  <c r="G438" i="19"/>
  <c r="G437" i="19"/>
  <c r="Q436" i="19"/>
  <c r="P436" i="19"/>
  <c r="O436" i="19"/>
  <c r="N436" i="19"/>
  <c r="M436" i="19"/>
  <c r="L436" i="19"/>
  <c r="K436" i="19"/>
  <c r="J436" i="19"/>
  <c r="I436" i="19"/>
  <c r="H436" i="19"/>
  <c r="H435" i="19" s="1"/>
  <c r="H434" i="19" s="1"/>
  <c r="E436" i="19"/>
  <c r="E435" i="19" s="1"/>
  <c r="G433" i="19"/>
  <c r="Q432" i="19"/>
  <c r="O432" i="19"/>
  <c r="N432" i="19"/>
  <c r="L432" i="19"/>
  <c r="J432" i="19"/>
  <c r="I432" i="19"/>
  <c r="E432" i="19"/>
  <c r="G427" i="19"/>
  <c r="Q426" i="19"/>
  <c r="O426" i="19"/>
  <c r="N426" i="19"/>
  <c r="L426" i="19"/>
  <c r="J426" i="19"/>
  <c r="I426" i="19"/>
  <c r="E426" i="19"/>
  <c r="G425" i="19"/>
  <c r="G424" i="19"/>
  <c r="Q423" i="19"/>
  <c r="O423" i="19"/>
  <c r="N423" i="19"/>
  <c r="L423" i="19"/>
  <c r="J423" i="19"/>
  <c r="I423" i="19"/>
  <c r="E423" i="19"/>
  <c r="G422" i="19"/>
  <c r="F422" i="19"/>
  <c r="Q421" i="19"/>
  <c r="P421" i="19"/>
  <c r="O421" i="19"/>
  <c r="N421" i="19"/>
  <c r="N413" i="19" s="1"/>
  <c r="M421" i="19"/>
  <c r="L421" i="19"/>
  <c r="K421" i="19"/>
  <c r="J421" i="19"/>
  <c r="I421" i="19"/>
  <c r="H421" i="19"/>
  <c r="G421" i="19"/>
  <c r="F421" i="19"/>
  <c r="E421" i="19"/>
  <c r="G420" i="19"/>
  <c r="F420" i="19"/>
  <c r="G419" i="19"/>
  <c r="F419" i="19"/>
  <c r="G418" i="19"/>
  <c r="F418" i="19"/>
  <c r="Q417" i="19"/>
  <c r="P417" i="19"/>
  <c r="O417" i="19"/>
  <c r="N417" i="19"/>
  <c r="M417" i="19"/>
  <c r="L417" i="19"/>
  <c r="K417" i="19"/>
  <c r="J417" i="19"/>
  <c r="I417" i="19"/>
  <c r="H417" i="19"/>
  <c r="E417" i="19"/>
  <c r="G416" i="19"/>
  <c r="F416" i="19"/>
  <c r="G415" i="19"/>
  <c r="Q414" i="19"/>
  <c r="P414" i="19"/>
  <c r="O414" i="19"/>
  <c r="N414" i="19"/>
  <c r="M414" i="19"/>
  <c r="M413" i="19" s="1"/>
  <c r="L414" i="19"/>
  <c r="K414" i="19"/>
  <c r="K413" i="19" s="1"/>
  <c r="J414" i="19"/>
  <c r="I414" i="19"/>
  <c r="H414" i="19"/>
  <c r="H413" i="19" s="1"/>
  <c r="F414" i="19"/>
  <c r="E414" i="19"/>
  <c r="E413" i="19" s="1"/>
  <c r="G412" i="19"/>
  <c r="G411" i="19"/>
  <c r="G410" i="19"/>
  <c r="G409" i="19"/>
  <c r="G408" i="19"/>
  <c r="G407" i="19"/>
  <c r="G406" i="19"/>
  <c r="G405" i="19"/>
  <c r="G404" i="19"/>
  <c r="Q399" i="19"/>
  <c r="O399" i="19"/>
  <c r="N399" i="19"/>
  <c r="L399" i="19"/>
  <c r="J399" i="19"/>
  <c r="I399" i="19"/>
  <c r="E399" i="19"/>
  <c r="G398" i="19"/>
  <c r="G397" i="19"/>
  <c r="G396" i="19"/>
  <c r="Q395" i="19"/>
  <c r="O395" i="19"/>
  <c r="N395" i="19"/>
  <c r="L395" i="19"/>
  <c r="J395" i="19"/>
  <c r="I395" i="19"/>
  <c r="E395" i="19"/>
  <c r="E394" i="19" s="1"/>
  <c r="G393" i="19"/>
  <c r="G392" i="19"/>
  <c r="G391" i="19" s="1"/>
  <c r="F392" i="19"/>
  <c r="F391" i="19" s="1"/>
  <c r="F374" i="19" s="1"/>
  <c r="Q391" i="19"/>
  <c r="P391" i="19"/>
  <c r="O391" i="19"/>
  <c r="N391" i="19"/>
  <c r="M391" i="19"/>
  <c r="M374" i="19" s="1"/>
  <c r="L391" i="19"/>
  <c r="K391" i="19"/>
  <c r="J391" i="19"/>
  <c r="I391" i="19"/>
  <c r="H391" i="19"/>
  <c r="E391" i="19"/>
  <c r="G390" i="19"/>
  <c r="G389" i="19"/>
  <c r="Q388" i="19"/>
  <c r="O388" i="19"/>
  <c r="N388" i="19"/>
  <c r="L388" i="19"/>
  <c r="J388" i="19"/>
  <c r="I388" i="19"/>
  <c r="E388" i="19"/>
  <c r="G387" i="19"/>
  <c r="G386" i="19"/>
  <c r="Q385" i="19"/>
  <c r="O385" i="19"/>
  <c r="O374" i="19" s="1"/>
  <c r="N385" i="19"/>
  <c r="L385" i="19"/>
  <c r="J385" i="19"/>
  <c r="I385" i="19"/>
  <c r="G385" i="19" s="1"/>
  <c r="E385" i="19"/>
  <c r="G384" i="19"/>
  <c r="G383" i="19"/>
  <c r="Q382" i="19"/>
  <c r="O382" i="19"/>
  <c r="N382" i="19"/>
  <c r="L382" i="19"/>
  <c r="J382" i="19"/>
  <c r="I382" i="19"/>
  <c r="E382" i="19"/>
  <c r="G381" i="19"/>
  <c r="G380" i="19"/>
  <c r="Q379" i="19"/>
  <c r="O379" i="19"/>
  <c r="N379" i="19"/>
  <c r="L379" i="19"/>
  <c r="J379" i="19"/>
  <c r="I379" i="19"/>
  <c r="E379" i="19"/>
  <c r="P374" i="19"/>
  <c r="K374" i="19"/>
  <c r="H374" i="19"/>
  <c r="G373" i="19"/>
  <c r="G372" i="19"/>
  <c r="Q371" i="19"/>
  <c r="O371" i="19"/>
  <c r="N371" i="19"/>
  <c r="L371" i="19"/>
  <c r="J371" i="19"/>
  <c r="I371" i="19"/>
  <c r="E371" i="19"/>
  <c r="G370" i="19"/>
  <c r="G369" i="19"/>
  <c r="Q368" i="19"/>
  <c r="O368" i="19"/>
  <c r="N368" i="19"/>
  <c r="L368" i="19"/>
  <c r="J368" i="19"/>
  <c r="I368" i="19"/>
  <c r="E368" i="19"/>
  <c r="G367" i="19"/>
  <c r="G366" i="19"/>
  <c r="Q365" i="19"/>
  <c r="O365" i="19"/>
  <c r="N365" i="19"/>
  <c r="L365" i="19"/>
  <c r="J365" i="19"/>
  <c r="G365" i="19" s="1"/>
  <c r="I365" i="19"/>
  <c r="E365" i="19"/>
  <c r="G364" i="19"/>
  <c r="G363" i="19"/>
  <c r="Q362" i="19"/>
  <c r="O362" i="19"/>
  <c r="N362" i="19"/>
  <c r="L362" i="19"/>
  <c r="J362" i="19"/>
  <c r="I362" i="19"/>
  <c r="E362" i="19"/>
  <c r="O361" i="19"/>
  <c r="G360" i="19"/>
  <c r="G359" i="19"/>
  <c r="G358" i="19"/>
  <c r="Q357" i="19"/>
  <c r="O357" i="19"/>
  <c r="N357" i="19"/>
  <c r="L357" i="19"/>
  <c r="J357" i="19"/>
  <c r="I357" i="19"/>
  <c r="E357" i="19"/>
  <c r="G356" i="19"/>
  <c r="Q355" i="19"/>
  <c r="Q333" i="19" s="1"/>
  <c r="O355" i="19"/>
  <c r="N355" i="19"/>
  <c r="L355" i="19"/>
  <c r="J355" i="19"/>
  <c r="I355" i="19"/>
  <c r="E355" i="19"/>
  <c r="G354" i="19"/>
  <c r="G353" i="19"/>
  <c r="G348" i="19"/>
  <c r="G347" i="19"/>
  <c r="G346" i="19"/>
  <c r="G345" i="19"/>
  <c r="Q344" i="19"/>
  <c r="O344" i="19"/>
  <c r="N344" i="19"/>
  <c r="L344" i="19"/>
  <c r="J344" i="19"/>
  <c r="I344" i="19"/>
  <c r="E344" i="19"/>
  <c r="G343" i="19"/>
  <c r="G342" i="19"/>
  <c r="G341" i="19"/>
  <c r="G340" i="19"/>
  <c r="G339" i="19"/>
  <c r="G334" i="19" s="1"/>
  <c r="F339" i="19"/>
  <c r="G338" i="19"/>
  <c r="G337" i="19"/>
  <c r="G336" i="19"/>
  <c r="G335" i="19"/>
  <c r="Q334" i="19"/>
  <c r="P334" i="19"/>
  <c r="O334" i="19"/>
  <c r="O333" i="19" s="1"/>
  <c r="N334" i="19"/>
  <c r="M334" i="19"/>
  <c r="L334" i="19"/>
  <c r="K334" i="19"/>
  <c r="K333" i="19" s="1"/>
  <c r="J334" i="19"/>
  <c r="I334" i="19"/>
  <c r="H334" i="19"/>
  <c r="H333" i="19" s="1"/>
  <c r="F334" i="19"/>
  <c r="E334" i="19"/>
  <c r="P333" i="19"/>
  <c r="M333" i="19"/>
  <c r="I333" i="19"/>
  <c r="F333" i="19"/>
  <c r="E333" i="19"/>
  <c r="G332" i="19"/>
  <c r="Q331" i="19"/>
  <c r="O331" i="19"/>
  <c r="N331" i="19"/>
  <c r="L331" i="19"/>
  <c r="J331" i="19"/>
  <c r="I331" i="19"/>
  <c r="E331" i="19"/>
  <c r="G330" i="19"/>
  <c r="G329" i="19"/>
  <c r="G328" i="19"/>
  <c r="Q327" i="19"/>
  <c r="O327" i="19"/>
  <c r="N327" i="19"/>
  <c r="L327" i="19"/>
  <c r="J327" i="19"/>
  <c r="I327" i="19"/>
  <c r="E327" i="19"/>
  <c r="G326" i="19"/>
  <c r="Q325" i="19"/>
  <c r="O325" i="19"/>
  <c r="N325" i="19"/>
  <c r="L325" i="19"/>
  <c r="J325" i="19"/>
  <c r="I325" i="19"/>
  <c r="E325" i="19"/>
  <c r="G324" i="19"/>
  <c r="Q323" i="19"/>
  <c r="O323" i="19"/>
  <c r="N323" i="19"/>
  <c r="L323" i="19"/>
  <c r="J323" i="19"/>
  <c r="I323" i="19"/>
  <c r="E323" i="19"/>
  <c r="G318" i="19"/>
  <c r="G317" i="19"/>
  <c r="G316" i="19"/>
  <c r="Q315" i="19"/>
  <c r="O315" i="19"/>
  <c r="N315" i="19"/>
  <c r="L315" i="19"/>
  <c r="L314" i="19" s="1"/>
  <c r="J315" i="19"/>
  <c r="I315" i="19"/>
  <c r="E315" i="19"/>
  <c r="E314" i="19" s="1"/>
  <c r="N313" i="19"/>
  <c r="H313" i="19"/>
  <c r="H286" i="19" s="1"/>
  <c r="N312" i="19"/>
  <c r="G312" i="19" s="1"/>
  <c r="F312" i="19"/>
  <c r="M311" i="19"/>
  <c r="F311" i="19" s="1"/>
  <c r="G311" i="19"/>
  <c r="F310" i="19"/>
  <c r="F309" i="19"/>
  <c r="F308" i="19"/>
  <c r="F307" i="19"/>
  <c r="M306" i="19"/>
  <c r="F306" i="19" s="1"/>
  <c r="F305" i="19"/>
  <c r="F304" i="19"/>
  <c r="M303" i="19"/>
  <c r="M301" i="19"/>
  <c r="F301" i="19" s="1"/>
  <c r="F299" i="19"/>
  <c r="F298" i="19"/>
  <c r="F297" i="19"/>
  <c r="G293" i="19"/>
  <c r="F293" i="19"/>
  <c r="G292" i="19"/>
  <c r="G291" i="19"/>
  <c r="N290" i="19"/>
  <c r="M290" i="19"/>
  <c r="G290" i="19" s="1"/>
  <c r="G289" i="19"/>
  <c r="F289" i="19"/>
  <c r="G288" i="19"/>
  <c r="M287" i="19"/>
  <c r="F287" i="19" s="1"/>
  <c r="Q286" i="19"/>
  <c r="O286" i="19"/>
  <c r="L286" i="19"/>
  <c r="J286" i="19"/>
  <c r="I286" i="19"/>
  <c r="E286" i="19"/>
  <c r="N285" i="19"/>
  <c r="N283" i="19" s="1"/>
  <c r="M285" i="19"/>
  <c r="M283" i="19" s="1"/>
  <c r="G284" i="19"/>
  <c r="F284" i="19"/>
  <c r="Q283" i="19"/>
  <c r="P283" i="19"/>
  <c r="O283" i="19"/>
  <c r="L283" i="19"/>
  <c r="K283" i="19"/>
  <c r="J283" i="19"/>
  <c r="I283" i="19"/>
  <c r="H283" i="19"/>
  <c r="E283" i="19"/>
  <c r="P282" i="19"/>
  <c r="G282" i="19" s="1"/>
  <c r="H282" i="19"/>
  <c r="P281" i="19"/>
  <c r="F281" i="19" s="1"/>
  <c r="G280" i="19"/>
  <c r="G279" i="19"/>
  <c r="M278" i="19"/>
  <c r="G278" i="19" s="1"/>
  <c r="G277" i="19"/>
  <c r="G276" i="19"/>
  <c r="Q275" i="19"/>
  <c r="O275" i="19"/>
  <c r="N275" i="19"/>
  <c r="L275" i="19"/>
  <c r="K275" i="19"/>
  <c r="J275" i="19"/>
  <c r="I275" i="19"/>
  <c r="E275" i="19"/>
  <c r="G274" i="19"/>
  <c r="F274" i="19"/>
  <c r="G269" i="19"/>
  <c r="F269" i="19"/>
  <c r="G268" i="19"/>
  <c r="G267" i="19"/>
  <c r="F267" i="19"/>
  <c r="G266" i="19"/>
  <c r="F266" i="19"/>
  <c r="P265" i="19"/>
  <c r="F265" i="19" s="1"/>
  <c r="M264" i="19"/>
  <c r="G264" i="19" s="1"/>
  <c r="G263" i="19"/>
  <c r="Q262" i="19"/>
  <c r="P262" i="19"/>
  <c r="O262" i="19"/>
  <c r="N262" i="19"/>
  <c r="L262" i="19"/>
  <c r="K262" i="19"/>
  <c r="J262" i="19"/>
  <c r="I262" i="19"/>
  <c r="H262" i="19"/>
  <c r="E262" i="19"/>
  <c r="G261" i="19"/>
  <c r="G260" i="19"/>
  <c r="G259" i="19"/>
  <c r="G256" i="19" s="1"/>
  <c r="G258" i="19"/>
  <c r="G257" i="19"/>
  <c r="F257" i="19"/>
  <c r="F256" i="19" s="1"/>
  <c r="Q256" i="19"/>
  <c r="P256" i="19"/>
  <c r="O256" i="19"/>
  <c r="N256" i="19"/>
  <c r="M256" i="19"/>
  <c r="L256" i="19"/>
  <c r="K256" i="19"/>
  <c r="J256" i="19"/>
  <c r="I256" i="19"/>
  <c r="H256" i="19"/>
  <c r="E256" i="19"/>
  <c r="G255" i="19"/>
  <c r="G254" i="19"/>
  <c r="M253" i="19"/>
  <c r="G253" i="19" s="1"/>
  <c r="M252" i="19"/>
  <c r="F252" i="19" s="1"/>
  <c r="P251" i="19"/>
  <c r="P248" i="19" s="1"/>
  <c r="M251" i="19"/>
  <c r="M250" i="19"/>
  <c r="G250" i="19"/>
  <c r="F250" i="19"/>
  <c r="G249" i="19"/>
  <c r="F249" i="19"/>
  <c r="Q248" i="19"/>
  <c r="O248" i="19"/>
  <c r="N248" i="19"/>
  <c r="L248" i="19"/>
  <c r="K248" i="19"/>
  <c r="J248" i="19"/>
  <c r="I248" i="19"/>
  <c r="H248" i="19"/>
  <c r="E248" i="19"/>
  <c r="G246" i="19"/>
  <c r="Q245" i="19"/>
  <c r="O245" i="19"/>
  <c r="N245" i="19"/>
  <c r="L245" i="19"/>
  <c r="J245" i="19"/>
  <c r="I245" i="19"/>
  <c r="E245" i="19"/>
  <c r="G244" i="19"/>
  <c r="Q243" i="19"/>
  <c r="O243" i="19"/>
  <c r="N243" i="19"/>
  <c r="L243" i="19"/>
  <c r="J243" i="19"/>
  <c r="I243" i="19"/>
  <c r="E243" i="19"/>
  <c r="G242" i="19"/>
  <c r="F242" i="19"/>
  <c r="F241" i="19" s="1"/>
  <c r="Q241" i="19"/>
  <c r="P241" i="19"/>
  <c r="O241" i="19"/>
  <c r="N241" i="19"/>
  <c r="M241" i="19"/>
  <c r="L241" i="19"/>
  <c r="K241" i="19"/>
  <c r="J241" i="19"/>
  <c r="I241" i="19"/>
  <c r="H241" i="19"/>
  <c r="G241" i="19"/>
  <c r="E241" i="19"/>
  <c r="G240" i="19"/>
  <c r="G239" i="19" s="1"/>
  <c r="F240" i="19"/>
  <c r="F239" i="19" s="1"/>
  <c r="Q239" i="19"/>
  <c r="P239" i="19"/>
  <c r="O239" i="19"/>
  <c r="N239" i="19"/>
  <c r="M239" i="19"/>
  <c r="L239" i="19"/>
  <c r="K239" i="19"/>
  <c r="J239" i="19"/>
  <c r="I239" i="19"/>
  <c r="H239" i="19"/>
  <c r="E239" i="19"/>
  <c r="M238" i="19"/>
  <c r="F238" i="19" s="1"/>
  <c r="M233" i="19"/>
  <c r="G233" i="19" s="1"/>
  <c r="G232" i="19"/>
  <c r="G231" i="19"/>
  <c r="Q230" i="19"/>
  <c r="P230" i="19"/>
  <c r="O230" i="19"/>
  <c r="N230" i="19"/>
  <c r="L230" i="19"/>
  <c r="K230" i="19"/>
  <c r="J230" i="19"/>
  <c r="I230" i="19"/>
  <c r="H230" i="19"/>
  <c r="E230" i="19"/>
  <c r="G229" i="19"/>
  <c r="Q228" i="19"/>
  <c r="O228" i="19"/>
  <c r="N228" i="19"/>
  <c r="L228" i="19"/>
  <c r="J228" i="19"/>
  <c r="I228" i="19"/>
  <c r="E228" i="19"/>
  <c r="G227" i="19"/>
  <c r="N226" i="19"/>
  <c r="G226" i="19" s="1"/>
  <c r="F226" i="19"/>
  <c r="E226" i="19"/>
  <c r="N225" i="19"/>
  <c r="G225" i="19" s="1"/>
  <c r="F225" i="19"/>
  <c r="E225" i="19"/>
  <c r="Q224" i="19"/>
  <c r="P224" i="19"/>
  <c r="O224" i="19"/>
  <c r="M224" i="19"/>
  <c r="L224" i="19"/>
  <c r="K224" i="19"/>
  <c r="J224" i="19"/>
  <c r="I224" i="19"/>
  <c r="H224" i="19"/>
  <c r="F224" i="19"/>
  <c r="R223" i="19"/>
  <c r="N223" i="19"/>
  <c r="G223" i="19" s="1"/>
  <c r="G222" i="19" s="1"/>
  <c r="F223" i="19"/>
  <c r="F222" i="19" s="1"/>
  <c r="E223" i="19"/>
  <c r="Q222" i="19"/>
  <c r="P222" i="19"/>
  <c r="O222" i="19"/>
  <c r="N222" i="19"/>
  <c r="M222" i="19"/>
  <c r="L222" i="19"/>
  <c r="L221" i="19" s="1"/>
  <c r="K222" i="19"/>
  <c r="J222" i="19"/>
  <c r="I222" i="19"/>
  <c r="H222" i="19"/>
  <c r="E222" i="19"/>
  <c r="G209" i="19"/>
  <c r="G208" i="19"/>
  <c r="G207" i="19"/>
  <c r="G202" i="19"/>
  <c r="G201" i="19"/>
  <c r="G200" i="19"/>
  <c r="G199" i="19"/>
  <c r="G198" i="19"/>
  <c r="Q197" i="19"/>
  <c r="O197" i="19"/>
  <c r="N197" i="19"/>
  <c r="L197" i="19"/>
  <c r="J197" i="19"/>
  <c r="I197" i="19"/>
  <c r="E197" i="19"/>
  <c r="G196" i="19"/>
  <c r="G195" i="19"/>
  <c r="G194" i="19"/>
  <c r="G193" i="19"/>
  <c r="G192" i="19"/>
  <c r="G191" i="19"/>
  <c r="G190" i="19"/>
  <c r="G189" i="19"/>
  <c r="G188" i="19"/>
  <c r="Q187" i="19"/>
  <c r="Q186" i="19" s="1"/>
  <c r="O187" i="19"/>
  <c r="O186" i="19" s="1"/>
  <c r="N187" i="19"/>
  <c r="L187" i="19"/>
  <c r="J187" i="19"/>
  <c r="I187" i="19"/>
  <c r="I186" i="19" s="1"/>
  <c r="E187" i="19"/>
  <c r="N186" i="19"/>
  <c r="G185" i="19"/>
  <c r="G180" i="19"/>
  <c r="G179" i="19"/>
  <c r="G178" i="19"/>
  <c r="G177" i="19"/>
  <c r="G176" i="19"/>
  <c r="G175" i="19"/>
  <c r="Q174" i="19"/>
  <c r="O174" i="19"/>
  <c r="N174" i="19"/>
  <c r="L174" i="19"/>
  <c r="J174" i="19"/>
  <c r="I174" i="19"/>
  <c r="E174" i="19"/>
  <c r="G173" i="19"/>
  <c r="G172" i="19"/>
  <c r="G171" i="19"/>
  <c r="G170" i="19"/>
  <c r="G169" i="19"/>
  <c r="G168" i="19"/>
  <c r="G167" i="19"/>
  <c r="G166" i="19"/>
  <c r="G165" i="19"/>
  <c r="Q164" i="19"/>
  <c r="Q163" i="19" s="1"/>
  <c r="Q162" i="19" s="1"/>
  <c r="O164" i="19"/>
  <c r="N164" i="19"/>
  <c r="L164" i="19"/>
  <c r="J164" i="19"/>
  <c r="J163" i="19" s="1"/>
  <c r="I164" i="19"/>
  <c r="I163" i="19" s="1"/>
  <c r="E164" i="19"/>
  <c r="G161" i="19"/>
  <c r="Q160" i="19"/>
  <c r="O160" i="19"/>
  <c r="N160" i="19"/>
  <c r="L160" i="19"/>
  <c r="J160" i="19"/>
  <c r="I160" i="19"/>
  <c r="E160" i="19"/>
  <c r="G159" i="19"/>
  <c r="Q154" i="19"/>
  <c r="O154" i="19"/>
  <c r="N154" i="19"/>
  <c r="L154" i="19"/>
  <c r="J154" i="19"/>
  <c r="I154" i="19"/>
  <c r="E154" i="19"/>
  <c r="G153" i="19"/>
  <c r="Q152" i="19"/>
  <c r="O152" i="19"/>
  <c r="N152" i="19"/>
  <c r="L152" i="19"/>
  <c r="J152" i="19"/>
  <c r="I152" i="19"/>
  <c r="E152" i="19"/>
  <c r="N151" i="19"/>
  <c r="E151" i="19"/>
  <c r="G150" i="19"/>
  <c r="Q149" i="19"/>
  <c r="Q148" i="19" s="1"/>
  <c r="O149" i="19"/>
  <c r="O148" i="19" s="1"/>
  <c r="N149" i="19"/>
  <c r="N148" i="19" s="1"/>
  <c r="L149" i="19"/>
  <c r="J149" i="19"/>
  <c r="I149" i="19"/>
  <c r="I148" i="19" s="1"/>
  <c r="E149" i="19"/>
  <c r="L148" i="19"/>
  <c r="J148" i="19"/>
  <c r="E148" i="19"/>
  <c r="G147" i="19"/>
  <c r="Q146" i="19"/>
  <c r="O146" i="19"/>
  <c r="N146" i="19"/>
  <c r="L146" i="19"/>
  <c r="J146" i="19"/>
  <c r="I146" i="19"/>
  <c r="E146" i="19"/>
  <c r="G145" i="19"/>
  <c r="Q144" i="19"/>
  <c r="O144" i="19"/>
  <c r="N144" i="19"/>
  <c r="L144" i="19"/>
  <c r="J144" i="19"/>
  <c r="I144" i="19"/>
  <c r="E144" i="19"/>
  <c r="G143" i="19"/>
  <c r="Q142" i="19"/>
  <c r="O142" i="19"/>
  <c r="N142" i="19"/>
  <c r="L142" i="19"/>
  <c r="L141" i="19" s="1"/>
  <c r="J142" i="19"/>
  <c r="I142" i="19"/>
  <c r="E142" i="19"/>
  <c r="G140" i="19"/>
  <c r="Q139" i="19"/>
  <c r="O139" i="19"/>
  <c r="N139" i="19"/>
  <c r="L139" i="19"/>
  <c r="J139" i="19"/>
  <c r="I139" i="19"/>
  <c r="E139" i="19"/>
  <c r="G138" i="19"/>
  <c r="G137" i="19" s="1"/>
  <c r="Q137" i="19"/>
  <c r="O137" i="19"/>
  <c r="N137" i="19"/>
  <c r="M137" i="19"/>
  <c r="M134" i="19" s="1"/>
  <c r="M133" i="19" s="1"/>
  <c r="L137" i="19"/>
  <c r="K137" i="19"/>
  <c r="J137" i="19"/>
  <c r="I137" i="19"/>
  <c r="H137" i="19"/>
  <c r="E137" i="19"/>
  <c r="G136" i="19"/>
  <c r="F136" i="19"/>
  <c r="Q135" i="19"/>
  <c r="O135" i="19"/>
  <c r="N135" i="19"/>
  <c r="L135" i="19"/>
  <c r="L134" i="19" s="1"/>
  <c r="J135" i="19"/>
  <c r="I135" i="19"/>
  <c r="F135" i="19"/>
  <c r="E135" i="19"/>
  <c r="K134" i="19"/>
  <c r="H134" i="19"/>
  <c r="H133" i="19" s="1"/>
  <c r="K133" i="19"/>
  <c r="H132" i="19"/>
  <c r="F131" i="19"/>
  <c r="F130" i="19"/>
  <c r="F129" i="19"/>
  <c r="F128" i="19"/>
  <c r="Q127" i="19"/>
  <c r="P127" i="19"/>
  <c r="P126" i="19" s="1"/>
  <c r="O127" i="19"/>
  <c r="N127" i="19"/>
  <c r="N126" i="19" s="1"/>
  <c r="M127" i="19"/>
  <c r="M126" i="19" s="1"/>
  <c r="L127" i="19"/>
  <c r="L126" i="19" s="1"/>
  <c r="J127" i="19"/>
  <c r="J126" i="19" s="1"/>
  <c r="I127" i="19"/>
  <c r="I126" i="19" s="1"/>
  <c r="H127" i="19"/>
  <c r="H126" i="19" s="1"/>
  <c r="E127" i="19"/>
  <c r="E126" i="19" s="1"/>
  <c r="Q126" i="19"/>
  <c r="O126" i="19"/>
  <c r="G125" i="19"/>
  <c r="F125" i="19"/>
  <c r="G124" i="19"/>
  <c r="G123" i="19" s="1"/>
  <c r="G122" i="19" s="1"/>
  <c r="G120" i="19" s="1"/>
  <c r="F124" i="19"/>
  <c r="Q123" i="19"/>
  <c r="Q122" i="19" s="1"/>
  <c r="P123" i="19"/>
  <c r="P122" i="19" s="1"/>
  <c r="O123" i="19"/>
  <c r="N123" i="19"/>
  <c r="N122" i="19" s="1"/>
  <c r="M123" i="19"/>
  <c r="M122" i="19" s="1"/>
  <c r="L123" i="19"/>
  <c r="K123" i="19"/>
  <c r="K122" i="19" s="1"/>
  <c r="K120" i="19" s="1"/>
  <c r="J123" i="19"/>
  <c r="I123" i="19"/>
  <c r="I122" i="19" s="1"/>
  <c r="I120" i="19" s="1"/>
  <c r="H123" i="19"/>
  <c r="H122" i="19" s="1"/>
  <c r="H120" i="19" s="1"/>
  <c r="E123" i="19"/>
  <c r="E122" i="19" s="1"/>
  <c r="E120" i="19" s="1"/>
  <c r="O122" i="19"/>
  <c r="L122" i="19"/>
  <c r="L120" i="19" s="1"/>
  <c r="J122" i="19"/>
  <c r="J120" i="19" s="1"/>
  <c r="F121" i="19"/>
  <c r="P120" i="19"/>
  <c r="G119" i="19"/>
  <c r="F119" i="19"/>
  <c r="Q118" i="19"/>
  <c r="O118" i="19"/>
  <c r="N118" i="19"/>
  <c r="N115" i="19" s="1"/>
  <c r="L118" i="19"/>
  <c r="J118" i="19"/>
  <c r="I118" i="19"/>
  <c r="F118" i="19"/>
  <c r="E118" i="19"/>
  <c r="G117" i="19"/>
  <c r="F117" i="19"/>
  <c r="Q116" i="19"/>
  <c r="O116" i="19"/>
  <c r="N116" i="19"/>
  <c r="L116" i="19"/>
  <c r="J116" i="19"/>
  <c r="J115" i="19" s="1"/>
  <c r="I116" i="19"/>
  <c r="F116" i="19"/>
  <c r="E116" i="19"/>
  <c r="E115" i="19" s="1"/>
  <c r="O115" i="19"/>
  <c r="F115" i="19"/>
  <c r="G114" i="19"/>
  <c r="F114" i="19"/>
  <c r="Q113" i="19"/>
  <c r="O113" i="19"/>
  <c r="N113" i="19"/>
  <c r="L113" i="19"/>
  <c r="J113" i="19"/>
  <c r="I113" i="19"/>
  <c r="F113" i="19"/>
  <c r="E113" i="19"/>
  <c r="G112" i="19"/>
  <c r="F112" i="19"/>
  <c r="G111" i="19"/>
  <c r="F111" i="19"/>
  <c r="Q110" i="19"/>
  <c r="P110" i="19"/>
  <c r="O110" i="19"/>
  <c r="N110" i="19"/>
  <c r="M110" i="19"/>
  <c r="L110" i="19"/>
  <c r="K110" i="19"/>
  <c r="K86" i="19" s="1"/>
  <c r="J110" i="19"/>
  <c r="I110" i="19"/>
  <c r="H110" i="19"/>
  <c r="E110" i="19"/>
  <c r="G109" i="19"/>
  <c r="F109" i="19"/>
  <c r="G108" i="19"/>
  <c r="F108" i="19"/>
  <c r="G107" i="19"/>
  <c r="F107" i="19"/>
  <c r="G106" i="19"/>
  <c r="F106" i="19"/>
  <c r="G105" i="19"/>
  <c r="F105" i="19"/>
  <c r="G104" i="19"/>
  <c r="F104" i="19"/>
  <c r="F103" i="19"/>
  <c r="F102" i="19"/>
  <c r="F101" i="19"/>
  <c r="F100" i="19"/>
  <c r="Q99" i="19"/>
  <c r="O99" i="19"/>
  <c r="N99" i="19"/>
  <c r="L99" i="19"/>
  <c r="J99" i="19"/>
  <c r="I99" i="19"/>
  <c r="F99" i="19"/>
  <c r="E99" i="19"/>
  <c r="G98" i="19"/>
  <c r="F98" i="19"/>
  <c r="G97" i="19"/>
  <c r="F97" i="19"/>
  <c r="G96" i="19"/>
  <c r="F96" i="19"/>
  <c r="G95" i="19"/>
  <c r="F95" i="19"/>
  <c r="Q94" i="19"/>
  <c r="P94" i="19"/>
  <c r="O94" i="19"/>
  <c r="N94" i="19"/>
  <c r="M94" i="19"/>
  <c r="L94" i="19"/>
  <c r="K94" i="19"/>
  <c r="J94" i="19"/>
  <c r="I94" i="19"/>
  <c r="H94" i="19"/>
  <c r="E94" i="19"/>
  <c r="G93" i="19"/>
  <c r="F93" i="19"/>
  <c r="G92" i="19"/>
  <c r="F92" i="19"/>
  <c r="G91" i="19"/>
  <c r="F91" i="19"/>
  <c r="G90" i="19"/>
  <c r="G89" i="19"/>
  <c r="G88" i="19"/>
  <c r="Q87" i="19"/>
  <c r="Q86" i="19" s="1"/>
  <c r="P87" i="19"/>
  <c r="P86" i="19" s="1"/>
  <c r="O87" i="19"/>
  <c r="O86" i="19" s="1"/>
  <c r="N87" i="19"/>
  <c r="M87" i="19"/>
  <c r="L87" i="19"/>
  <c r="K87" i="19"/>
  <c r="J87" i="19"/>
  <c r="I87" i="19"/>
  <c r="H87" i="19"/>
  <c r="E87" i="19"/>
  <c r="G85" i="19"/>
  <c r="G84" i="19"/>
  <c r="Q83" i="19"/>
  <c r="Q74" i="19" s="1"/>
  <c r="O83" i="19"/>
  <c r="N83" i="19"/>
  <c r="L83" i="19"/>
  <c r="J83" i="19"/>
  <c r="I83" i="19"/>
  <c r="E83" i="19"/>
  <c r="G82" i="19"/>
  <c r="G81" i="19"/>
  <c r="G80" i="19"/>
  <c r="G79" i="19"/>
  <c r="Q78" i="19"/>
  <c r="O78" i="19"/>
  <c r="N78" i="19"/>
  <c r="L78" i="19"/>
  <c r="J78" i="19"/>
  <c r="I78" i="19"/>
  <c r="E78" i="19"/>
  <c r="G77" i="19"/>
  <c r="G76" i="19"/>
  <c r="Q75" i="19"/>
  <c r="O75" i="19"/>
  <c r="N75" i="19"/>
  <c r="L75" i="19"/>
  <c r="J75" i="19"/>
  <c r="I75" i="19"/>
  <c r="E75" i="19"/>
  <c r="G69" i="19"/>
  <c r="G68" i="19"/>
  <c r="G67" i="19"/>
  <c r="Q66" i="19"/>
  <c r="O66" i="19"/>
  <c r="N66" i="19"/>
  <c r="N60" i="19" s="1"/>
  <c r="L66" i="19"/>
  <c r="J66" i="19"/>
  <c r="I66" i="19"/>
  <c r="E66" i="19"/>
  <c r="G65" i="19"/>
  <c r="G64" i="19"/>
  <c r="G63" i="19"/>
  <c r="G62" i="19"/>
  <c r="Q61" i="19"/>
  <c r="O61" i="19"/>
  <c r="O60" i="19" s="1"/>
  <c r="N61" i="19"/>
  <c r="L61" i="19"/>
  <c r="L60" i="19" s="1"/>
  <c r="J61" i="19"/>
  <c r="I61" i="19"/>
  <c r="E61" i="19"/>
  <c r="Q60" i="19"/>
  <c r="G59" i="19"/>
  <c r="G58" i="19"/>
  <c r="G57" i="19"/>
  <c r="G56" i="19"/>
  <c r="G55" i="19"/>
  <c r="G54" i="19"/>
  <c r="Q53" i="19"/>
  <c r="O53" i="19"/>
  <c r="N53" i="19"/>
  <c r="L53" i="19"/>
  <c r="J53" i="19"/>
  <c r="I53" i="19"/>
  <c r="E53" i="19"/>
  <c r="G52" i="19"/>
  <c r="G51" i="19"/>
  <c r="G50" i="19"/>
  <c r="G49" i="19"/>
  <c r="G48" i="19"/>
  <c r="G47" i="19"/>
  <c r="Q42" i="19"/>
  <c r="O42" i="19"/>
  <c r="N42" i="19"/>
  <c r="L42" i="19"/>
  <c r="J42" i="19"/>
  <c r="I42" i="19"/>
  <c r="E42" i="19"/>
  <c r="G41" i="19"/>
  <c r="G40" i="19"/>
  <c r="Q39" i="19"/>
  <c r="O39" i="19"/>
  <c r="N39" i="19"/>
  <c r="L39" i="19"/>
  <c r="J39" i="19"/>
  <c r="I39" i="19"/>
  <c r="E39" i="19"/>
  <c r="G38" i="19"/>
  <c r="G37" i="19"/>
  <c r="G36" i="19"/>
  <c r="G35" i="19"/>
  <c r="G34" i="19"/>
  <c r="G33" i="19"/>
  <c r="Q32" i="19"/>
  <c r="O32" i="19"/>
  <c r="N32" i="19"/>
  <c r="L32" i="19"/>
  <c r="J32" i="19"/>
  <c r="G32" i="19" s="1"/>
  <c r="I32" i="19"/>
  <c r="E32" i="19"/>
  <c r="G31" i="19"/>
  <c r="G30" i="19"/>
  <c r="G29" i="19"/>
  <c r="G28" i="19"/>
  <c r="G27" i="19"/>
  <c r="Q26" i="19"/>
  <c r="O26" i="19"/>
  <c r="N26" i="19"/>
  <c r="L26" i="19"/>
  <c r="J26" i="19"/>
  <c r="I26" i="19"/>
  <c r="E26" i="19"/>
  <c r="G25" i="19"/>
  <c r="G24" i="19"/>
  <c r="G23" i="19"/>
  <c r="G22" i="19"/>
  <c r="G21" i="19"/>
  <c r="G20" i="19"/>
  <c r="Q19" i="19"/>
  <c r="O19" i="19"/>
  <c r="N19" i="19"/>
  <c r="L19" i="19"/>
  <c r="J19" i="19"/>
  <c r="I19" i="19"/>
  <c r="E19" i="19"/>
  <c r="G18" i="19"/>
  <c r="Q17" i="19"/>
  <c r="O17" i="19"/>
  <c r="N17" i="19"/>
  <c r="L17" i="19"/>
  <c r="J17" i="19"/>
  <c r="I17" i="19"/>
  <c r="E17" i="19"/>
  <c r="G16" i="19"/>
  <c r="G15" i="19"/>
  <c r="G10" i="19"/>
  <c r="Q9" i="19"/>
  <c r="O9" i="19"/>
  <c r="N9" i="19"/>
  <c r="L9" i="19"/>
  <c r="J9" i="19"/>
  <c r="I9" i="19"/>
  <c r="E9" i="19"/>
  <c r="E523" i="18"/>
  <c r="L523" i="18" s="1"/>
  <c r="K522" i="18"/>
  <c r="J522" i="18"/>
  <c r="I522" i="18"/>
  <c r="H522" i="18"/>
  <c r="G522" i="18"/>
  <c r="F522" i="18"/>
  <c r="D522" i="18"/>
  <c r="E521" i="18"/>
  <c r="L521" i="18" s="1"/>
  <c r="E520" i="18"/>
  <c r="L520" i="18" s="1"/>
  <c r="E519" i="18"/>
  <c r="L519" i="18" s="1"/>
  <c r="E518" i="18"/>
  <c r="L518" i="18" s="1"/>
  <c r="E517" i="18"/>
  <c r="L517" i="18" s="1"/>
  <c r="E516" i="18"/>
  <c r="L516" i="18" s="1"/>
  <c r="E515" i="18"/>
  <c r="L515" i="18" s="1"/>
  <c r="E514" i="18"/>
  <c r="L514" i="18" s="1"/>
  <c r="K513" i="18"/>
  <c r="J513" i="18"/>
  <c r="I513" i="18"/>
  <c r="H513" i="18"/>
  <c r="G513" i="18"/>
  <c r="F513" i="18"/>
  <c r="E513" i="18" s="1"/>
  <c r="L513" i="18" s="1"/>
  <c r="D513" i="18"/>
  <c r="E512" i="18"/>
  <c r="L512" i="18" s="1"/>
  <c r="E511" i="18"/>
  <c r="L511" i="18" s="1"/>
  <c r="E510" i="18"/>
  <c r="L510" i="18" s="1"/>
  <c r="E509" i="18"/>
  <c r="L509" i="18" s="1"/>
  <c r="E508" i="18"/>
  <c r="L508" i="18" s="1"/>
  <c r="E507" i="18"/>
  <c r="L507" i="18" s="1"/>
  <c r="E506" i="18"/>
  <c r="L506" i="18" s="1"/>
  <c r="E505" i="18"/>
  <c r="L505" i="18" s="1"/>
  <c r="L504" i="18"/>
  <c r="L503" i="18"/>
  <c r="L502" i="18"/>
  <c r="L501" i="18"/>
  <c r="E500" i="18"/>
  <c r="L500" i="18" s="1"/>
  <c r="K499" i="18"/>
  <c r="K498" i="18" s="1"/>
  <c r="J499" i="18"/>
  <c r="J498" i="18" s="1"/>
  <c r="I499" i="18"/>
  <c r="I498" i="18" s="1"/>
  <c r="H499" i="18"/>
  <c r="H498" i="18" s="1"/>
  <c r="G499" i="18"/>
  <c r="G498" i="18" s="1"/>
  <c r="F499" i="18"/>
  <c r="D499" i="18"/>
  <c r="D498" i="18" s="1"/>
  <c r="E497" i="18"/>
  <c r="L497" i="18" s="1"/>
  <c r="K496" i="18"/>
  <c r="J496" i="18"/>
  <c r="I496" i="18"/>
  <c r="H496" i="18"/>
  <c r="G496" i="18"/>
  <c r="F496" i="18"/>
  <c r="D496" i="18"/>
  <c r="E495" i="18"/>
  <c r="L495" i="18" s="1"/>
  <c r="K494" i="18"/>
  <c r="J494" i="18"/>
  <c r="I494" i="18"/>
  <c r="H494" i="18"/>
  <c r="G494" i="18"/>
  <c r="F494" i="18"/>
  <c r="D494" i="18"/>
  <c r="E493" i="18"/>
  <c r="L493" i="18" s="1"/>
  <c r="K492" i="18"/>
  <c r="J492" i="18"/>
  <c r="I492" i="18"/>
  <c r="H492" i="18"/>
  <c r="G492" i="18"/>
  <c r="F492" i="18"/>
  <c r="D492" i="18"/>
  <c r="E491" i="18"/>
  <c r="L491" i="18" s="1"/>
  <c r="L490" i="18"/>
  <c r="E490" i="18"/>
  <c r="E489" i="18"/>
  <c r="L489" i="18" s="1"/>
  <c r="E488" i="18"/>
  <c r="L488" i="18" s="1"/>
  <c r="E487" i="18"/>
  <c r="L487" i="18" s="1"/>
  <c r="E486" i="18"/>
  <c r="L486" i="18" s="1"/>
  <c r="E485" i="18"/>
  <c r="L485" i="18" s="1"/>
  <c r="K484" i="18"/>
  <c r="J484" i="18"/>
  <c r="I484" i="18"/>
  <c r="H484" i="18"/>
  <c r="G484" i="18"/>
  <c r="F484" i="18"/>
  <c r="D484" i="18"/>
  <c r="E483" i="18"/>
  <c r="L483" i="18" s="1"/>
  <c r="E482" i="18"/>
  <c r="L482" i="18" s="1"/>
  <c r="E481" i="18"/>
  <c r="L481" i="18" s="1"/>
  <c r="E480" i="18"/>
  <c r="L480" i="18" s="1"/>
  <c r="L479" i="18"/>
  <c r="E479" i="18"/>
  <c r="L478" i="18"/>
  <c r="E478" i="18"/>
  <c r="L477" i="18"/>
  <c r="L476" i="18"/>
  <c r="L475" i="18"/>
  <c r="L474" i="18"/>
  <c r="E473" i="18"/>
  <c r="L473" i="18" s="1"/>
  <c r="L472" i="18"/>
  <c r="E472" i="18"/>
  <c r="E471" i="18"/>
  <c r="L471" i="18" s="1"/>
  <c r="K470" i="18"/>
  <c r="J470" i="18"/>
  <c r="J469" i="18" s="1"/>
  <c r="J468" i="18" s="1"/>
  <c r="J537" i="18" s="1"/>
  <c r="I470" i="18"/>
  <c r="I469" i="18" s="1"/>
  <c r="I468" i="18" s="1"/>
  <c r="I537" i="18" s="1"/>
  <c r="H470" i="18"/>
  <c r="G470" i="18"/>
  <c r="F470" i="18"/>
  <c r="D470" i="18"/>
  <c r="E467" i="18"/>
  <c r="L467" i="18" s="1"/>
  <c r="K466" i="18"/>
  <c r="K465" i="18" s="1"/>
  <c r="J466" i="18"/>
  <c r="I466" i="18"/>
  <c r="I465" i="18" s="1"/>
  <c r="H466" i="18"/>
  <c r="H465" i="18" s="1"/>
  <c r="G466" i="18"/>
  <c r="G465" i="18" s="1"/>
  <c r="F466" i="18"/>
  <c r="F465" i="18" s="1"/>
  <c r="D466" i="18"/>
  <c r="D465" i="18" s="1"/>
  <c r="J465" i="18"/>
  <c r="E464" i="18"/>
  <c r="L464" i="18" s="1"/>
  <c r="L463" i="18"/>
  <c r="E463" i="18"/>
  <c r="K462" i="18"/>
  <c r="J462" i="18"/>
  <c r="I462" i="18"/>
  <c r="H462" i="18"/>
  <c r="G462" i="18"/>
  <c r="F462" i="18"/>
  <c r="D462" i="18"/>
  <c r="E461" i="18"/>
  <c r="L461" i="18" s="1"/>
  <c r="K460" i="18"/>
  <c r="J460" i="18"/>
  <c r="I460" i="18"/>
  <c r="H460" i="18"/>
  <c r="G460" i="18"/>
  <c r="F460" i="18"/>
  <c r="D460" i="18"/>
  <c r="E459" i="18"/>
  <c r="L459" i="18" s="1"/>
  <c r="K458" i="18"/>
  <c r="K457" i="18" s="1"/>
  <c r="J458" i="18"/>
  <c r="I458" i="18"/>
  <c r="H458" i="18"/>
  <c r="G458" i="18"/>
  <c r="F458" i="18"/>
  <c r="E458" i="18" s="1"/>
  <c r="L458" i="18" s="1"/>
  <c r="D458" i="18"/>
  <c r="D457" i="18" s="1"/>
  <c r="E456" i="18"/>
  <c r="L456" i="18" s="1"/>
  <c r="K455" i="18"/>
  <c r="K454" i="18" s="1"/>
  <c r="J455" i="18"/>
  <c r="I455" i="18"/>
  <c r="I454" i="18" s="1"/>
  <c r="H455" i="18"/>
  <c r="H454" i="18" s="1"/>
  <c r="G455" i="18"/>
  <c r="G454" i="18" s="1"/>
  <c r="F455" i="18"/>
  <c r="F454" i="18" s="1"/>
  <c r="D455" i="18"/>
  <c r="D454" i="18" s="1"/>
  <c r="J454" i="18"/>
  <c r="E453" i="18"/>
  <c r="L453" i="18" s="1"/>
  <c r="K452" i="18"/>
  <c r="J452" i="18"/>
  <c r="I452" i="18"/>
  <c r="H452" i="18"/>
  <c r="G452" i="18"/>
  <c r="F452" i="18"/>
  <c r="D452" i="18"/>
  <c r="E451" i="18"/>
  <c r="L451" i="18" s="1"/>
  <c r="E450" i="18"/>
  <c r="L450" i="18" s="1"/>
  <c r="L449" i="18"/>
  <c r="L448" i="18"/>
  <c r="L447" i="18"/>
  <c r="L446" i="18"/>
  <c r="E445" i="18"/>
  <c r="L445" i="18" s="1"/>
  <c r="K444" i="18"/>
  <c r="J444" i="18"/>
  <c r="I444" i="18"/>
  <c r="H444" i="18"/>
  <c r="G444" i="18"/>
  <c r="F444" i="18"/>
  <c r="D444" i="18"/>
  <c r="E443" i="18"/>
  <c r="L443" i="18" s="1"/>
  <c r="K442" i="18"/>
  <c r="K441" i="18" s="1"/>
  <c r="J442" i="18"/>
  <c r="J441" i="18" s="1"/>
  <c r="I442" i="18"/>
  <c r="H442" i="18"/>
  <c r="H441" i="18" s="1"/>
  <c r="G442" i="18"/>
  <c r="F442" i="18"/>
  <c r="D442" i="18"/>
  <c r="D441" i="18"/>
  <c r="L440" i="18"/>
  <c r="E440" i="18"/>
  <c r="K439" i="18"/>
  <c r="J439" i="18"/>
  <c r="I439" i="18"/>
  <c r="H439" i="18"/>
  <c r="G439" i="18"/>
  <c r="F439" i="18"/>
  <c r="D439" i="18"/>
  <c r="E438" i="18"/>
  <c r="L438" i="18" s="1"/>
  <c r="K437" i="18"/>
  <c r="J437" i="18"/>
  <c r="I437" i="18"/>
  <c r="H437" i="18"/>
  <c r="G437" i="18"/>
  <c r="F437" i="18"/>
  <c r="E437" i="18" s="1"/>
  <c r="D437" i="18"/>
  <c r="E436" i="18"/>
  <c r="L436" i="18" s="1"/>
  <c r="K435" i="18"/>
  <c r="J435" i="18"/>
  <c r="I435" i="18"/>
  <c r="H435" i="18"/>
  <c r="G435" i="18"/>
  <c r="F435" i="18"/>
  <c r="E435" i="18" s="1"/>
  <c r="L435" i="18" s="1"/>
  <c r="D435" i="18"/>
  <c r="E434" i="18"/>
  <c r="L434" i="18" s="1"/>
  <c r="E433" i="18"/>
  <c r="L433" i="18" s="1"/>
  <c r="E432" i="18"/>
  <c r="L432" i="18" s="1"/>
  <c r="E431" i="18"/>
  <c r="L431" i="18" s="1"/>
  <c r="E430" i="18"/>
  <c r="L430" i="18" s="1"/>
  <c r="E429" i="18"/>
  <c r="L429" i="18" s="1"/>
  <c r="E428" i="18"/>
  <c r="L428" i="18" s="1"/>
  <c r="E427" i="18"/>
  <c r="L427" i="18" s="1"/>
  <c r="E426" i="18"/>
  <c r="L426" i="18" s="1"/>
  <c r="L425" i="18"/>
  <c r="E425" i="18"/>
  <c r="K424" i="18"/>
  <c r="J424" i="18"/>
  <c r="I424" i="18"/>
  <c r="H424" i="18"/>
  <c r="G424" i="18"/>
  <c r="F424" i="18"/>
  <c r="D424" i="18"/>
  <c r="E423" i="18"/>
  <c r="L423" i="18" s="1"/>
  <c r="E422" i="18"/>
  <c r="L422" i="18" s="1"/>
  <c r="E421" i="18"/>
  <c r="L421" i="18" s="1"/>
  <c r="E420" i="18"/>
  <c r="L420" i="18" s="1"/>
  <c r="K419" i="18"/>
  <c r="J419" i="18"/>
  <c r="I419" i="18"/>
  <c r="H419" i="18"/>
  <c r="H418" i="18" s="1"/>
  <c r="G419" i="18"/>
  <c r="F419" i="18"/>
  <c r="D419" i="18"/>
  <c r="E416" i="18"/>
  <c r="L416" i="18" s="1"/>
  <c r="K415" i="18"/>
  <c r="J415" i="18"/>
  <c r="I415" i="18"/>
  <c r="H415" i="18"/>
  <c r="G415" i="18"/>
  <c r="F415" i="18"/>
  <c r="E415" i="18" s="1"/>
  <c r="D415" i="18"/>
  <c r="L414" i="18"/>
  <c r="L413" i="18"/>
  <c r="L412" i="18"/>
  <c r="L411" i="18"/>
  <c r="E410" i="18"/>
  <c r="L410" i="18" s="1"/>
  <c r="K409" i="18"/>
  <c r="J409" i="18"/>
  <c r="I409" i="18"/>
  <c r="H409" i="18"/>
  <c r="G409" i="18"/>
  <c r="F409" i="18"/>
  <c r="D409" i="18"/>
  <c r="L408" i="18"/>
  <c r="E408" i="18"/>
  <c r="E407" i="18"/>
  <c r="L407" i="18" s="1"/>
  <c r="K406" i="18"/>
  <c r="J406" i="18"/>
  <c r="I406" i="18"/>
  <c r="H406" i="18"/>
  <c r="G406" i="18"/>
  <c r="F406" i="18"/>
  <c r="D406" i="18"/>
  <c r="E405" i="18"/>
  <c r="D405" i="18"/>
  <c r="D404" i="18" s="1"/>
  <c r="K404" i="18"/>
  <c r="J404" i="18"/>
  <c r="I404" i="18"/>
  <c r="H404" i="18"/>
  <c r="G404" i="18"/>
  <c r="F404" i="18"/>
  <c r="E403" i="18"/>
  <c r="L403" i="18" s="1"/>
  <c r="D403" i="18"/>
  <c r="D400" i="18" s="1"/>
  <c r="E402" i="18"/>
  <c r="L402" i="18" s="1"/>
  <c r="E401" i="18"/>
  <c r="L401" i="18" s="1"/>
  <c r="K400" i="18"/>
  <c r="J400" i="18"/>
  <c r="I400" i="18"/>
  <c r="H400" i="18"/>
  <c r="G400" i="18"/>
  <c r="F400" i="18"/>
  <c r="E399" i="18"/>
  <c r="L399" i="18" s="1"/>
  <c r="E398" i="18"/>
  <c r="L398" i="18" s="1"/>
  <c r="K397" i="18"/>
  <c r="J397" i="18"/>
  <c r="I397" i="18"/>
  <c r="H397" i="18"/>
  <c r="G397" i="18"/>
  <c r="F397" i="18"/>
  <c r="D397" i="18"/>
  <c r="E395" i="18"/>
  <c r="L395" i="18" s="1"/>
  <c r="E394" i="18"/>
  <c r="L394" i="18" s="1"/>
  <c r="E393" i="18"/>
  <c r="L393" i="18" s="1"/>
  <c r="E392" i="18"/>
  <c r="L392" i="18" s="1"/>
  <c r="E391" i="18"/>
  <c r="L391" i="18" s="1"/>
  <c r="E390" i="18"/>
  <c r="L390" i="18" s="1"/>
  <c r="E389" i="18"/>
  <c r="L389" i="18" s="1"/>
  <c r="E388" i="18"/>
  <c r="L388" i="18" s="1"/>
  <c r="E387" i="18"/>
  <c r="L387" i="18" s="1"/>
  <c r="L386" i="18"/>
  <c r="L385" i="18"/>
  <c r="L384" i="18"/>
  <c r="L383" i="18"/>
  <c r="K382" i="18"/>
  <c r="J382" i="18"/>
  <c r="I382" i="18"/>
  <c r="H382" i="18"/>
  <c r="G382" i="18"/>
  <c r="F382" i="18"/>
  <c r="D382" i="18"/>
  <c r="E381" i="18"/>
  <c r="L381" i="18" s="1"/>
  <c r="L380" i="18"/>
  <c r="E380" i="18"/>
  <c r="E379" i="18"/>
  <c r="L379" i="18" s="1"/>
  <c r="K378" i="18"/>
  <c r="K377" i="18" s="1"/>
  <c r="J378" i="18"/>
  <c r="J377" i="18" s="1"/>
  <c r="I378" i="18"/>
  <c r="H378" i="18"/>
  <c r="G378" i="18"/>
  <c r="F378" i="18"/>
  <c r="D378" i="18"/>
  <c r="I377" i="18"/>
  <c r="F377" i="18"/>
  <c r="E376" i="18"/>
  <c r="L376" i="18" s="1"/>
  <c r="E375" i="18"/>
  <c r="L375" i="18" s="1"/>
  <c r="K374" i="18"/>
  <c r="J374" i="18"/>
  <c r="I374" i="18"/>
  <c r="H374" i="18"/>
  <c r="G374" i="18"/>
  <c r="F374" i="18"/>
  <c r="D374" i="18"/>
  <c r="E373" i="18"/>
  <c r="L373" i="18" s="1"/>
  <c r="E372" i="18"/>
  <c r="L372" i="18" s="1"/>
  <c r="K371" i="18"/>
  <c r="J371" i="18"/>
  <c r="I371" i="18"/>
  <c r="H371" i="18"/>
  <c r="G371" i="18"/>
  <c r="F371" i="18"/>
  <c r="D371" i="18"/>
  <c r="L370" i="18"/>
  <c r="E370" i="18"/>
  <c r="E369" i="18"/>
  <c r="L369" i="18" s="1"/>
  <c r="K368" i="18"/>
  <c r="J368" i="18"/>
  <c r="I368" i="18"/>
  <c r="H368" i="18"/>
  <c r="G368" i="18"/>
  <c r="F368" i="18"/>
  <c r="D368" i="18"/>
  <c r="E367" i="18"/>
  <c r="L367" i="18" s="1"/>
  <c r="E366" i="18"/>
  <c r="L366" i="18" s="1"/>
  <c r="K365" i="18"/>
  <c r="J365" i="18"/>
  <c r="I365" i="18"/>
  <c r="H365" i="18"/>
  <c r="G365" i="18"/>
  <c r="F365" i="18"/>
  <c r="D365" i="18"/>
  <c r="E364" i="18"/>
  <c r="L364" i="18" s="1"/>
  <c r="E363" i="18"/>
  <c r="L363" i="18" s="1"/>
  <c r="K362" i="18"/>
  <c r="J362" i="18"/>
  <c r="I362" i="18"/>
  <c r="H362" i="18"/>
  <c r="G362" i="18"/>
  <c r="F362" i="18"/>
  <c r="D362" i="18"/>
  <c r="L361" i="18"/>
  <c r="L360" i="18"/>
  <c r="L359" i="18"/>
  <c r="L358" i="18"/>
  <c r="E356" i="18"/>
  <c r="L356" i="18" s="1"/>
  <c r="E355" i="18"/>
  <c r="L355" i="18" s="1"/>
  <c r="K354" i="18"/>
  <c r="J354" i="18"/>
  <c r="I354" i="18"/>
  <c r="H354" i="18"/>
  <c r="G354" i="18"/>
  <c r="F354" i="18"/>
  <c r="D354" i="18"/>
  <c r="E353" i="18"/>
  <c r="L353" i="18" s="1"/>
  <c r="E352" i="18"/>
  <c r="L352" i="18" s="1"/>
  <c r="K351" i="18"/>
  <c r="J351" i="18"/>
  <c r="I351" i="18"/>
  <c r="H351" i="18"/>
  <c r="G351" i="18"/>
  <c r="F351" i="18"/>
  <c r="D351" i="18"/>
  <c r="E350" i="18"/>
  <c r="L350" i="18" s="1"/>
  <c r="E349" i="18"/>
  <c r="L349" i="18" s="1"/>
  <c r="K348" i="18"/>
  <c r="J348" i="18"/>
  <c r="I348" i="18"/>
  <c r="H348" i="18"/>
  <c r="G348" i="18"/>
  <c r="F348" i="18"/>
  <c r="D348" i="18"/>
  <c r="E347" i="18"/>
  <c r="L347" i="18" s="1"/>
  <c r="E346" i="18"/>
  <c r="L346" i="18" s="1"/>
  <c r="K345" i="18"/>
  <c r="J345" i="18"/>
  <c r="I345" i="18"/>
  <c r="H345" i="18"/>
  <c r="H344" i="18" s="1"/>
  <c r="G345" i="18"/>
  <c r="F345" i="18"/>
  <c r="D345" i="18"/>
  <c r="E343" i="18"/>
  <c r="L343" i="18" s="1"/>
  <c r="E342" i="18"/>
  <c r="L342" i="18" s="1"/>
  <c r="E341" i="18"/>
  <c r="L341" i="18" s="1"/>
  <c r="K340" i="18"/>
  <c r="J340" i="18"/>
  <c r="I340" i="18"/>
  <c r="H340" i="18"/>
  <c r="G340" i="18"/>
  <c r="F340" i="18"/>
  <c r="D340" i="18"/>
  <c r="L339" i="18"/>
  <c r="E339" i="18"/>
  <c r="K338" i="18"/>
  <c r="J338" i="18"/>
  <c r="I338" i="18"/>
  <c r="H338" i="18"/>
  <c r="G338" i="18"/>
  <c r="F338" i="18"/>
  <c r="D338" i="18"/>
  <c r="E337" i="18"/>
  <c r="L337" i="18" s="1"/>
  <c r="E336" i="18"/>
  <c r="L336" i="18" s="1"/>
  <c r="L335" i="18"/>
  <c r="L334" i="18"/>
  <c r="L333" i="18"/>
  <c r="L332" i="18"/>
  <c r="E331" i="18"/>
  <c r="L331" i="18" s="1"/>
  <c r="E330" i="18"/>
  <c r="L330" i="18" s="1"/>
  <c r="E329" i="18"/>
  <c r="L329" i="18" s="1"/>
  <c r="E328" i="18"/>
  <c r="L328" i="18" s="1"/>
  <c r="K327" i="18"/>
  <c r="J327" i="18"/>
  <c r="I327" i="18"/>
  <c r="H327" i="18"/>
  <c r="G327" i="18"/>
  <c r="F327" i="18"/>
  <c r="D327" i="18"/>
  <c r="D316" i="18" s="1"/>
  <c r="E326" i="18"/>
  <c r="L326" i="18" s="1"/>
  <c r="E325" i="18"/>
  <c r="L325" i="18" s="1"/>
  <c r="E324" i="18"/>
  <c r="L324" i="18" s="1"/>
  <c r="E323" i="18"/>
  <c r="L323" i="18" s="1"/>
  <c r="E322" i="18"/>
  <c r="L322" i="18" s="1"/>
  <c r="E321" i="18"/>
  <c r="L321" i="18" s="1"/>
  <c r="E320" i="18"/>
  <c r="L320" i="18" s="1"/>
  <c r="E319" i="18"/>
  <c r="L319" i="18" s="1"/>
  <c r="E318" i="18"/>
  <c r="L318" i="18" s="1"/>
  <c r="K317" i="18"/>
  <c r="J317" i="18"/>
  <c r="I317" i="18"/>
  <c r="H317" i="18"/>
  <c r="G317" i="18"/>
  <c r="F317" i="18"/>
  <c r="D317" i="18"/>
  <c r="E315" i="18"/>
  <c r="L315" i="18" s="1"/>
  <c r="K314" i="18"/>
  <c r="J314" i="18"/>
  <c r="I314" i="18"/>
  <c r="H314" i="18"/>
  <c r="G314" i="18"/>
  <c r="F314" i="18"/>
  <c r="D314" i="18"/>
  <c r="E313" i="18"/>
  <c r="L313" i="18" s="1"/>
  <c r="E312" i="18"/>
  <c r="L312" i="18" s="1"/>
  <c r="E311" i="18"/>
  <c r="L311" i="18" s="1"/>
  <c r="K310" i="18"/>
  <c r="J310" i="18"/>
  <c r="I310" i="18"/>
  <c r="H310" i="18"/>
  <c r="G310" i="18"/>
  <c r="F310" i="18"/>
  <c r="E310" i="18" s="1"/>
  <c r="L310" i="18" s="1"/>
  <c r="D310" i="18"/>
  <c r="E309" i="18"/>
  <c r="L309" i="18" s="1"/>
  <c r="K308" i="18"/>
  <c r="J308" i="18"/>
  <c r="I308" i="18"/>
  <c r="H308" i="18"/>
  <c r="G308" i="18"/>
  <c r="F308" i="18"/>
  <c r="D308" i="18"/>
  <c r="E307" i="18"/>
  <c r="L307" i="18" s="1"/>
  <c r="K306" i="18"/>
  <c r="J306" i="18"/>
  <c r="I306" i="18"/>
  <c r="H306" i="18"/>
  <c r="G306" i="18"/>
  <c r="F306" i="18"/>
  <c r="D306" i="18"/>
  <c r="L305" i="18"/>
  <c r="L304" i="18"/>
  <c r="L303" i="18"/>
  <c r="L302" i="18"/>
  <c r="E301" i="18"/>
  <c r="L301" i="18" s="1"/>
  <c r="E300" i="18"/>
  <c r="L300" i="18" s="1"/>
  <c r="E299" i="18"/>
  <c r="L299" i="18" s="1"/>
  <c r="K298" i="18"/>
  <c r="J298" i="18"/>
  <c r="J297" i="18" s="1"/>
  <c r="I298" i="18"/>
  <c r="H298" i="18"/>
  <c r="G298" i="18"/>
  <c r="F298" i="18"/>
  <c r="D298" i="18"/>
  <c r="K297" i="18"/>
  <c r="E296" i="18"/>
  <c r="L296" i="18" s="1"/>
  <c r="E295" i="18"/>
  <c r="L295" i="18" s="1"/>
  <c r="E294" i="18"/>
  <c r="L294" i="18" s="1"/>
  <c r="E293" i="18"/>
  <c r="L293" i="18" s="1"/>
  <c r="E292" i="18"/>
  <c r="L292" i="18" s="1"/>
  <c r="E291" i="18"/>
  <c r="L291" i="18" s="1"/>
  <c r="E290" i="18"/>
  <c r="L290" i="18" s="1"/>
  <c r="E289" i="18"/>
  <c r="L289" i="18" s="1"/>
  <c r="E288" i="18"/>
  <c r="L288" i="18" s="1"/>
  <c r="K287" i="18"/>
  <c r="J287" i="18"/>
  <c r="I287" i="18"/>
  <c r="H287" i="18"/>
  <c r="G287" i="18"/>
  <c r="F287" i="18"/>
  <c r="D287" i="18"/>
  <c r="E286" i="18"/>
  <c r="L286" i="18" s="1"/>
  <c r="E285" i="18"/>
  <c r="L285" i="18" s="1"/>
  <c r="K284" i="18"/>
  <c r="J284" i="18"/>
  <c r="I284" i="18"/>
  <c r="H284" i="18"/>
  <c r="G284" i="18"/>
  <c r="F284" i="18"/>
  <c r="D284" i="18"/>
  <c r="E283" i="18"/>
  <c r="L283" i="18" s="1"/>
  <c r="E282" i="18"/>
  <c r="L282" i="18" s="1"/>
  <c r="E281" i="18"/>
  <c r="L281" i="18" s="1"/>
  <c r="E280" i="18"/>
  <c r="L280" i="18" s="1"/>
  <c r="E279" i="18"/>
  <c r="L279" i="18" s="1"/>
  <c r="E278" i="18"/>
  <c r="L278" i="18" s="1"/>
  <c r="E277" i="18"/>
  <c r="L277" i="18" s="1"/>
  <c r="K276" i="18"/>
  <c r="J276" i="18"/>
  <c r="I276" i="18"/>
  <c r="H276" i="18"/>
  <c r="G276" i="18"/>
  <c r="F276" i="18"/>
  <c r="D276" i="18"/>
  <c r="E275" i="18"/>
  <c r="L275" i="18" s="1"/>
  <c r="L274" i="18"/>
  <c r="L273" i="18"/>
  <c r="L272" i="18"/>
  <c r="L271" i="18"/>
  <c r="E270" i="18"/>
  <c r="L270" i="18" s="1"/>
  <c r="E269" i="18"/>
  <c r="L269" i="18" s="1"/>
  <c r="E268" i="18"/>
  <c r="L268" i="18" s="1"/>
  <c r="E267" i="18"/>
  <c r="L267" i="18" s="1"/>
  <c r="E266" i="18"/>
  <c r="L266" i="18" s="1"/>
  <c r="E265" i="18"/>
  <c r="L265" i="18" s="1"/>
  <c r="E264" i="18"/>
  <c r="L264" i="18" s="1"/>
  <c r="K263" i="18"/>
  <c r="J263" i="18"/>
  <c r="I263" i="18"/>
  <c r="H263" i="18"/>
  <c r="G263" i="18"/>
  <c r="F263" i="18"/>
  <c r="D263" i="18"/>
  <c r="E262" i="18"/>
  <c r="L262" i="18" s="1"/>
  <c r="E261" i="18"/>
  <c r="L261" i="18" s="1"/>
  <c r="E260" i="18"/>
  <c r="L260" i="18" s="1"/>
  <c r="E259" i="18"/>
  <c r="L259" i="18" s="1"/>
  <c r="E258" i="18"/>
  <c r="L258" i="18" s="1"/>
  <c r="K257" i="18"/>
  <c r="J257" i="18"/>
  <c r="I257" i="18"/>
  <c r="H257" i="18"/>
  <c r="G257" i="18"/>
  <c r="F257" i="18"/>
  <c r="D257" i="18"/>
  <c r="E256" i="18"/>
  <c r="L256" i="18" s="1"/>
  <c r="E255" i="18"/>
  <c r="L255" i="18" s="1"/>
  <c r="E254" i="18"/>
  <c r="L254" i="18" s="1"/>
  <c r="E253" i="18"/>
  <c r="L253" i="18" s="1"/>
  <c r="E252" i="18"/>
  <c r="L252" i="18" s="1"/>
  <c r="E251" i="18"/>
  <c r="E250" i="18"/>
  <c r="L250" i="18" s="1"/>
  <c r="K249" i="18"/>
  <c r="J249" i="18"/>
  <c r="I249" i="18"/>
  <c r="H249" i="18"/>
  <c r="G249" i="18"/>
  <c r="F249" i="18"/>
  <c r="E247" i="18"/>
  <c r="L247" i="18" s="1"/>
  <c r="K246" i="18"/>
  <c r="J246" i="18"/>
  <c r="I246" i="18"/>
  <c r="H246" i="18"/>
  <c r="G246" i="18"/>
  <c r="F246" i="18"/>
  <c r="D246" i="18"/>
  <c r="E245" i="18"/>
  <c r="L245" i="18" s="1"/>
  <c r="K244" i="18"/>
  <c r="J244" i="18"/>
  <c r="I244" i="18"/>
  <c r="H244" i="18"/>
  <c r="G244" i="18"/>
  <c r="F244" i="18"/>
  <c r="D244" i="18"/>
  <c r="E243" i="18"/>
  <c r="L243" i="18" s="1"/>
  <c r="K242" i="18"/>
  <c r="J242" i="18"/>
  <c r="I242" i="18"/>
  <c r="H242" i="18"/>
  <c r="G242" i="18"/>
  <c r="F242" i="18"/>
  <c r="D242" i="18"/>
  <c r="E241" i="18"/>
  <c r="L241" i="18" s="1"/>
  <c r="K240" i="18"/>
  <c r="J240" i="18"/>
  <c r="H240" i="18"/>
  <c r="G240" i="18"/>
  <c r="F240" i="18"/>
  <c r="D240" i="18"/>
  <c r="E239" i="18"/>
  <c r="D239" i="18"/>
  <c r="D231" i="18" s="1"/>
  <c r="L238" i="18"/>
  <c r="E234" i="18"/>
  <c r="L234" i="18" s="1"/>
  <c r="E233" i="18"/>
  <c r="L233" i="18" s="1"/>
  <c r="E232" i="18"/>
  <c r="L232" i="18" s="1"/>
  <c r="K231" i="18"/>
  <c r="J231" i="18"/>
  <c r="I231" i="18"/>
  <c r="H231" i="18"/>
  <c r="G231" i="18"/>
  <c r="F231" i="18"/>
  <c r="E230" i="18"/>
  <c r="L230" i="18" s="1"/>
  <c r="K229" i="18"/>
  <c r="J229" i="18"/>
  <c r="I229" i="18"/>
  <c r="H229" i="18"/>
  <c r="G229" i="18"/>
  <c r="F229" i="18"/>
  <c r="D229" i="18"/>
  <c r="E228" i="18"/>
  <c r="L228" i="18" s="1"/>
  <c r="E227" i="18"/>
  <c r="L227" i="18" s="1"/>
  <c r="E226" i="18"/>
  <c r="L226" i="18" s="1"/>
  <c r="K225" i="18"/>
  <c r="J225" i="18"/>
  <c r="I225" i="18"/>
  <c r="H225" i="18"/>
  <c r="G225" i="18"/>
  <c r="F225" i="18"/>
  <c r="D225" i="18"/>
  <c r="E224" i="18"/>
  <c r="L224" i="18" s="1"/>
  <c r="K223" i="18"/>
  <c r="J223" i="18"/>
  <c r="I223" i="18"/>
  <c r="H223" i="18"/>
  <c r="G223" i="18"/>
  <c r="F223" i="18"/>
  <c r="D223" i="18"/>
  <c r="E210" i="18"/>
  <c r="L210" i="18" s="1"/>
  <c r="E209" i="18"/>
  <c r="L209" i="18" s="1"/>
  <c r="E208" i="18"/>
  <c r="L208" i="18" s="1"/>
  <c r="L207" i="18"/>
  <c r="L206" i="18"/>
  <c r="L205" i="18"/>
  <c r="L204" i="18"/>
  <c r="L203" i="18"/>
  <c r="E203" i="18"/>
  <c r="E202" i="18"/>
  <c r="L202" i="18" s="1"/>
  <c r="L201" i="18"/>
  <c r="E201" i="18"/>
  <c r="E200" i="18"/>
  <c r="L200" i="18" s="1"/>
  <c r="E199" i="18"/>
  <c r="L199" i="18" s="1"/>
  <c r="K198" i="18"/>
  <c r="J198" i="18"/>
  <c r="I198" i="18"/>
  <c r="H198" i="18"/>
  <c r="G198" i="18"/>
  <c r="F198" i="18"/>
  <c r="D198" i="18"/>
  <c r="E197" i="18"/>
  <c r="L197" i="18" s="1"/>
  <c r="E196" i="18"/>
  <c r="L196" i="18" s="1"/>
  <c r="E195" i="18"/>
  <c r="L195" i="18" s="1"/>
  <c r="E194" i="18"/>
  <c r="L194" i="18" s="1"/>
  <c r="E193" i="18"/>
  <c r="L193" i="18" s="1"/>
  <c r="E192" i="18"/>
  <c r="L192" i="18" s="1"/>
  <c r="E191" i="18"/>
  <c r="L191" i="18" s="1"/>
  <c r="E190" i="18"/>
  <c r="L190" i="18" s="1"/>
  <c r="L189" i="18"/>
  <c r="E189" i="18"/>
  <c r="K188" i="18"/>
  <c r="J188" i="18"/>
  <c r="I188" i="18"/>
  <c r="H188" i="18"/>
  <c r="H187" i="18" s="1"/>
  <c r="G188" i="18"/>
  <c r="F188" i="18"/>
  <c r="D188" i="18"/>
  <c r="D187" i="18" s="1"/>
  <c r="G187" i="18"/>
  <c r="L186" i="18"/>
  <c r="E186" i="18"/>
  <c r="L185" i="18"/>
  <c r="L184" i="18"/>
  <c r="L183" i="18"/>
  <c r="L182" i="18"/>
  <c r="E181" i="18"/>
  <c r="L181" i="18" s="1"/>
  <c r="E180" i="18"/>
  <c r="L180" i="18" s="1"/>
  <c r="E179" i="18"/>
  <c r="L179" i="18" s="1"/>
  <c r="E178" i="18"/>
  <c r="L178" i="18" s="1"/>
  <c r="E177" i="18"/>
  <c r="L177" i="18" s="1"/>
  <c r="E176" i="18"/>
  <c r="L176" i="18" s="1"/>
  <c r="K175" i="18"/>
  <c r="J175" i="18"/>
  <c r="I175" i="18"/>
  <c r="H175" i="18"/>
  <c r="G175" i="18"/>
  <c r="F175" i="18"/>
  <c r="D175" i="18"/>
  <c r="E174" i="18"/>
  <c r="L174" i="18" s="1"/>
  <c r="E173" i="18"/>
  <c r="L173" i="18" s="1"/>
  <c r="E172" i="18"/>
  <c r="L172" i="18" s="1"/>
  <c r="E171" i="18"/>
  <c r="L171" i="18" s="1"/>
  <c r="E170" i="18"/>
  <c r="L170" i="18" s="1"/>
  <c r="E169" i="18"/>
  <c r="L169" i="18" s="1"/>
  <c r="E168" i="18"/>
  <c r="L168" i="18" s="1"/>
  <c r="L167" i="18"/>
  <c r="E167" i="18"/>
  <c r="E166" i="18"/>
  <c r="L166" i="18" s="1"/>
  <c r="K165" i="18"/>
  <c r="J165" i="18"/>
  <c r="I165" i="18"/>
  <c r="H165" i="18"/>
  <c r="H164" i="18" s="1"/>
  <c r="G165" i="18"/>
  <c r="F165" i="18"/>
  <c r="D165" i="18"/>
  <c r="K164" i="18"/>
  <c r="L162" i="18"/>
  <c r="E162" i="18"/>
  <c r="K161" i="18"/>
  <c r="J161" i="18"/>
  <c r="I161" i="18"/>
  <c r="H161" i="18"/>
  <c r="G161" i="18"/>
  <c r="F161" i="18"/>
  <c r="D161" i="18"/>
  <c r="E160" i="18"/>
  <c r="L160" i="18" s="1"/>
  <c r="L159" i="18"/>
  <c r="L158" i="18"/>
  <c r="L157" i="18"/>
  <c r="L156" i="18"/>
  <c r="K155" i="18"/>
  <c r="J155" i="18"/>
  <c r="I155" i="18"/>
  <c r="H155" i="18"/>
  <c r="G155" i="18"/>
  <c r="F155" i="18"/>
  <c r="D155" i="18"/>
  <c r="E154" i="18"/>
  <c r="L154" i="18" s="1"/>
  <c r="K153" i="18"/>
  <c r="J153" i="18"/>
  <c r="I153" i="18"/>
  <c r="I152" i="18" s="1"/>
  <c r="H153" i="18"/>
  <c r="G153" i="18"/>
  <c r="F153" i="18"/>
  <c r="D153" i="18"/>
  <c r="E151" i="18"/>
  <c r="L151" i="18" s="1"/>
  <c r="K150" i="18"/>
  <c r="K149" i="18" s="1"/>
  <c r="J150" i="18"/>
  <c r="J149" i="18" s="1"/>
  <c r="I150" i="18"/>
  <c r="I149" i="18" s="1"/>
  <c r="H150" i="18"/>
  <c r="G150" i="18"/>
  <c r="G149" i="18" s="1"/>
  <c r="F150" i="18"/>
  <c r="F149" i="18" s="1"/>
  <c r="D150" i="18"/>
  <c r="D149" i="18" s="1"/>
  <c r="E148" i="18"/>
  <c r="L148" i="18" s="1"/>
  <c r="K147" i="18"/>
  <c r="J147" i="18"/>
  <c r="I147" i="18"/>
  <c r="H147" i="18"/>
  <c r="G147" i="18"/>
  <c r="F147" i="18"/>
  <c r="D147" i="18"/>
  <c r="L146" i="18"/>
  <c r="E146" i="18"/>
  <c r="K145" i="18"/>
  <c r="J145" i="18"/>
  <c r="I145" i="18"/>
  <c r="H145" i="18"/>
  <c r="G145" i="18"/>
  <c r="F145" i="18"/>
  <c r="D145" i="18"/>
  <c r="E144" i="18"/>
  <c r="L144" i="18" s="1"/>
  <c r="K143" i="18"/>
  <c r="J143" i="18"/>
  <c r="I143" i="18"/>
  <c r="H143" i="18"/>
  <c r="G143" i="18"/>
  <c r="G142" i="18" s="1"/>
  <c r="F143" i="18"/>
  <c r="D143" i="18"/>
  <c r="E141" i="18"/>
  <c r="L141" i="18" s="1"/>
  <c r="K140" i="18"/>
  <c r="J140" i="18"/>
  <c r="I140" i="18"/>
  <c r="H140" i="18"/>
  <c r="G140" i="18"/>
  <c r="F140" i="18"/>
  <c r="D140" i="18"/>
  <c r="E139" i="18"/>
  <c r="L139" i="18" s="1"/>
  <c r="K138" i="18"/>
  <c r="J138" i="18"/>
  <c r="I138" i="18"/>
  <c r="H138" i="18"/>
  <c r="G138" i="18"/>
  <c r="F138" i="18"/>
  <c r="D138" i="18"/>
  <c r="E137" i="18"/>
  <c r="L137" i="18" s="1"/>
  <c r="K136" i="18"/>
  <c r="J136" i="18"/>
  <c r="I136" i="18"/>
  <c r="H136" i="18"/>
  <c r="G136" i="18"/>
  <c r="F136" i="18"/>
  <c r="D136" i="18"/>
  <c r="E133" i="18"/>
  <c r="L132" i="18"/>
  <c r="L131" i="18"/>
  <c r="L130" i="18"/>
  <c r="L129" i="18"/>
  <c r="K128" i="18"/>
  <c r="K127" i="18" s="1"/>
  <c r="J128" i="18"/>
  <c r="J127" i="18" s="1"/>
  <c r="I128" i="18"/>
  <c r="I127" i="18" s="1"/>
  <c r="H128" i="18"/>
  <c r="H127" i="18" s="1"/>
  <c r="G128" i="18"/>
  <c r="G127" i="18" s="1"/>
  <c r="F128" i="18"/>
  <c r="E126" i="18"/>
  <c r="L126" i="18" s="1"/>
  <c r="E125" i="18"/>
  <c r="K124" i="18"/>
  <c r="K123" i="18" s="1"/>
  <c r="J124" i="18"/>
  <c r="J123" i="18" s="1"/>
  <c r="I124" i="18"/>
  <c r="I123" i="18" s="1"/>
  <c r="H124" i="18"/>
  <c r="H123" i="18" s="1"/>
  <c r="G124" i="18"/>
  <c r="F124" i="18"/>
  <c r="F123" i="18" s="1"/>
  <c r="G123" i="18"/>
  <c r="E122" i="18"/>
  <c r="L122" i="18" s="1"/>
  <c r="K121" i="18"/>
  <c r="J121" i="18"/>
  <c r="I121" i="18"/>
  <c r="H121" i="18"/>
  <c r="G121" i="18"/>
  <c r="F121" i="18"/>
  <c r="D121" i="18"/>
  <c r="E120" i="18"/>
  <c r="L120" i="18" s="1"/>
  <c r="K119" i="18"/>
  <c r="J119" i="18"/>
  <c r="J118" i="18" s="1"/>
  <c r="I119" i="18"/>
  <c r="H119" i="18"/>
  <c r="G119" i="18"/>
  <c r="F119" i="18"/>
  <c r="D119" i="18"/>
  <c r="D118" i="18" s="1"/>
  <c r="E117" i="18"/>
  <c r="L117" i="18" s="1"/>
  <c r="K116" i="18"/>
  <c r="J116" i="18"/>
  <c r="I116" i="18"/>
  <c r="H116" i="18"/>
  <c r="G116" i="18"/>
  <c r="F116" i="18"/>
  <c r="D116" i="18"/>
  <c r="E115" i="18"/>
  <c r="L115" i="18" s="1"/>
  <c r="E114" i="18"/>
  <c r="L114" i="18" s="1"/>
  <c r="K113" i="18"/>
  <c r="J113" i="18"/>
  <c r="I113" i="18"/>
  <c r="H113" i="18"/>
  <c r="G113" i="18"/>
  <c r="F113" i="18"/>
  <c r="D113" i="18"/>
  <c r="E112" i="18"/>
  <c r="L112" i="18" s="1"/>
  <c r="E111" i="18"/>
  <c r="L111" i="18" s="1"/>
  <c r="E110" i="18"/>
  <c r="L110" i="18" s="1"/>
  <c r="E109" i="18"/>
  <c r="L109" i="18" s="1"/>
  <c r="E108" i="18"/>
  <c r="L108" i="18" s="1"/>
  <c r="E107" i="18"/>
  <c r="L107" i="18" s="1"/>
  <c r="L106" i="18"/>
  <c r="L105" i="18"/>
  <c r="L104" i="18"/>
  <c r="L103" i="18"/>
  <c r="K102" i="18"/>
  <c r="J102" i="18"/>
  <c r="I102" i="18"/>
  <c r="H102" i="18"/>
  <c r="G102" i="18"/>
  <c r="F102" i="18"/>
  <c r="D102" i="18"/>
  <c r="E101" i="18"/>
  <c r="L101" i="18" s="1"/>
  <c r="E100" i="18"/>
  <c r="L100" i="18" s="1"/>
  <c r="E99" i="18"/>
  <c r="L99" i="18" s="1"/>
  <c r="E98" i="18"/>
  <c r="L98" i="18" s="1"/>
  <c r="K97" i="18"/>
  <c r="J97" i="18"/>
  <c r="I97" i="18"/>
  <c r="H97" i="18"/>
  <c r="G97" i="18"/>
  <c r="F97" i="18"/>
  <c r="D97" i="18"/>
  <c r="E96" i="18"/>
  <c r="L96" i="18" s="1"/>
  <c r="E95" i="18"/>
  <c r="L95" i="18" s="1"/>
  <c r="E94" i="18"/>
  <c r="L94" i="18" s="1"/>
  <c r="E93" i="18"/>
  <c r="L93" i="18" s="1"/>
  <c r="L92" i="18"/>
  <c r="E92" i="18"/>
  <c r="E91" i="18"/>
  <c r="L91" i="18" s="1"/>
  <c r="K90" i="18"/>
  <c r="J90" i="18"/>
  <c r="I90" i="18"/>
  <c r="H90" i="18"/>
  <c r="G90" i="18"/>
  <c r="F90" i="18"/>
  <c r="D90" i="18"/>
  <c r="E88" i="18"/>
  <c r="L88" i="18" s="1"/>
  <c r="E87" i="18"/>
  <c r="L87" i="18" s="1"/>
  <c r="K86" i="18"/>
  <c r="J86" i="18"/>
  <c r="I86" i="18"/>
  <c r="H86" i="18"/>
  <c r="G86" i="18"/>
  <c r="F86" i="18"/>
  <c r="D86" i="18"/>
  <c r="E85" i="18"/>
  <c r="L85" i="18" s="1"/>
  <c r="E84" i="18"/>
  <c r="L84" i="18" s="1"/>
  <c r="E83" i="18"/>
  <c r="L83" i="18" s="1"/>
  <c r="E82" i="18"/>
  <c r="L82" i="18" s="1"/>
  <c r="K81" i="18"/>
  <c r="J81" i="18"/>
  <c r="I81" i="18"/>
  <c r="H81" i="18"/>
  <c r="G81" i="18"/>
  <c r="F81" i="18"/>
  <c r="D81" i="18"/>
  <c r="L80" i="18"/>
  <c r="E80" i="18"/>
  <c r="E79" i="18"/>
  <c r="L79" i="18" s="1"/>
  <c r="K78" i="18"/>
  <c r="J78" i="18"/>
  <c r="I78" i="18"/>
  <c r="H78" i="18"/>
  <c r="G78" i="18"/>
  <c r="F78" i="18"/>
  <c r="D78" i="18"/>
  <c r="I77" i="18"/>
  <c r="L76" i="18"/>
  <c r="L75" i="18"/>
  <c r="L74" i="18"/>
  <c r="L73" i="18"/>
  <c r="E72" i="18"/>
  <c r="L72" i="18" s="1"/>
  <c r="L71" i="18"/>
  <c r="E71" i="18"/>
  <c r="E70" i="18"/>
  <c r="L70" i="18" s="1"/>
  <c r="K69" i="18"/>
  <c r="J69" i="18"/>
  <c r="I69" i="18"/>
  <c r="H69" i="18"/>
  <c r="G69" i="18"/>
  <c r="F69" i="18"/>
  <c r="D69" i="18"/>
  <c r="L68" i="18"/>
  <c r="E68" i="18"/>
  <c r="E67" i="18"/>
  <c r="L67" i="18" s="1"/>
  <c r="L66" i="18"/>
  <c r="E66" i="18"/>
  <c r="E65" i="18"/>
  <c r="L65" i="18" s="1"/>
  <c r="K64" i="18"/>
  <c r="J64" i="18"/>
  <c r="I64" i="18"/>
  <c r="H64" i="18"/>
  <c r="H63" i="18" s="1"/>
  <c r="G64" i="18"/>
  <c r="G63" i="18" s="1"/>
  <c r="F64" i="18"/>
  <c r="D64" i="18"/>
  <c r="D63" i="18" s="1"/>
  <c r="E62" i="18"/>
  <c r="L62" i="18" s="1"/>
  <c r="L61" i="18"/>
  <c r="E61" i="18"/>
  <c r="E60" i="18"/>
  <c r="L60" i="18" s="1"/>
  <c r="E59" i="18"/>
  <c r="L59" i="18" s="1"/>
  <c r="E58" i="18"/>
  <c r="L58" i="18" s="1"/>
  <c r="E57" i="18"/>
  <c r="L57" i="18" s="1"/>
  <c r="K56" i="18"/>
  <c r="J56" i="18"/>
  <c r="I56" i="18"/>
  <c r="H56" i="18"/>
  <c r="G56" i="18"/>
  <c r="F56" i="18"/>
  <c r="D56" i="18"/>
  <c r="E55" i="18"/>
  <c r="L55" i="18" s="1"/>
  <c r="E54" i="18"/>
  <c r="L54" i="18" s="1"/>
  <c r="L53" i="18"/>
  <c r="E53" i="18"/>
  <c r="E52" i="18"/>
  <c r="L52" i="18" s="1"/>
  <c r="L51" i="18"/>
  <c r="E51" i="18"/>
  <c r="E50" i="18"/>
  <c r="L50" i="18" s="1"/>
  <c r="L49" i="18"/>
  <c r="L48" i="18"/>
  <c r="L47" i="18"/>
  <c r="L46" i="18"/>
  <c r="K45" i="18"/>
  <c r="J45" i="18"/>
  <c r="I45" i="18"/>
  <c r="H45" i="18"/>
  <c r="G45" i="18"/>
  <c r="F45" i="18"/>
  <c r="D45" i="18"/>
  <c r="E44" i="18"/>
  <c r="L44" i="18" s="1"/>
  <c r="E43" i="18"/>
  <c r="L43" i="18" s="1"/>
  <c r="K42" i="18"/>
  <c r="J42" i="18"/>
  <c r="I42" i="18"/>
  <c r="H42" i="18"/>
  <c r="G42" i="18"/>
  <c r="F42" i="18"/>
  <c r="E42" i="18" s="1"/>
  <c r="L42" i="18" s="1"/>
  <c r="D42" i="18"/>
  <c r="E41" i="18"/>
  <c r="L41" i="18" s="1"/>
  <c r="E40" i="18"/>
  <c r="L40" i="18" s="1"/>
  <c r="E39" i="18"/>
  <c r="L39" i="18" s="1"/>
  <c r="E38" i="18"/>
  <c r="L38" i="18" s="1"/>
  <c r="E37" i="18"/>
  <c r="L37" i="18" s="1"/>
  <c r="E36" i="18"/>
  <c r="L36" i="18" s="1"/>
  <c r="K35" i="18"/>
  <c r="J35" i="18"/>
  <c r="I35" i="18"/>
  <c r="H35" i="18"/>
  <c r="G35" i="18"/>
  <c r="F35" i="18"/>
  <c r="D35" i="18"/>
  <c r="E34" i="18"/>
  <c r="L34" i="18" s="1"/>
  <c r="E33" i="18"/>
  <c r="L33" i="18" s="1"/>
  <c r="E32" i="18"/>
  <c r="L32" i="18" s="1"/>
  <c r="E31" i="18"/>
  <c r="L31" i="18" s="1"/>
  <c r="E30" i="18"/>
  <c r="L30" i="18" s="1"/>
  <c r="K29" i="18"/>
  <c r="J29" i="18"/>
  <c r="I29" i="18"/>
  <c r="H29" i="18"/>
  <c r="G29" i="18"/>
  <c r="E29" i="18" s="1"/>
  <c r="L29" i="18" s="1"/>
  <c r="F29" i="18"/>
  <c r="D29" i="18"/>
  <c r="E28" i="18"/>
  <c r="L28" i="18" s="1"/>
  <c r="L27" i="18"/>
  <c r="E27" i="18"/>
  <c r="E26" i="18"/>
  <c r="L26" i="18" s="1"/>
  <c r="E25" i="18"/>
  <c r="L25" i="18" s="1"/>
  <c r="E24" i="18"/>
  <c r="L24" i="18" s="1"/>
  <c r="E23" i="18"/>
  <c r="L23" i="18" s="1"/>
  <c r="K22" i="18"/>
  <c r="J22" i="18"/>
  <c r="I22" i="18"/>
  <c r="H22" i="18"/>
  <c r="G22" i="18"/>
  <c r="F22" i="18"/>
  <c r="D22" i="18"/>
  <c r="E21" i="18"/>
  <c r="L21" i="18" s="1"/>
  <c r="K20" i="18"/>
  <c r="J20" i="18"/>
  <c r="I20" i="18"/>
  <c r="H20" i="18"/>
  <c r="G20" i="18"/>
  <c r="F20" i="18"/>
  <c r="E20" i="18" s="1"/>
  <c r="L20" i="18" s="1"/>
  <c r="D20" i="18"/>
  <c r="E19" i="18"/>
  <c r="L19" i="18" s="1"/>
  <c r="E18" i="18"/>
  <c r="L18" i="18" s="1"/>
  <c r="L17" i="18"/>
  <c r="L16" i="18"/>
  <c r="L15" i="18"/>
  <c r="L14" i="18"/>
  <c r="E13" i="18"/>
  <c r="L13" i="18" s="1"/>
  <c r="K12" i="18"/>
  <c r="J12" i="18"/>
  <c r="I12" i="18"/>
  <c r="H12" i="18"/>
  <c r="G12" i="18"/>
  <c r="F12" i="18"/>
  <c r="D12" i="18"/>
  <c r="M285" i="17"/>
  <c r="M283" i="17" s="1"/>
  <c r="M313" i="17"/>
  <c r="M311" i="17"/>
  <c r="F311" i="17" s="1"/>
  <c r="M250" i="17"/>
  <c r="F250" i="17" s="1"/>
  <c r="M124" i="17"/>
  <c r="M123" i="17" s="1"/>
  <c r="M122" i="17" s="1"/>
  <c r="P285" i="17"/>
  <c r="P282" i="17"/>
  <c r="M287" i="17"/>
  <c r="F287" i="17" s="1"/>
  <c r="G540" i="17"/>
  <c r="Q539" i="17"/>
  <c r="O539" i="17"/>
  <c r="N539" i="17"/>
  <c r="L539" i="17"/>
  <c r="J539" i="17"/>
  <c r="I539" i="17"/>
  <c r="E539" i="17"/>
  <c r="G538" i="17"/>
  <c r="G537" i="17"/>
  <c r="G536" i="17"/>
  <c r="G535" i="17"/>
  <c r="G534" i="17"/>
  <c r="G533" i="17"/>
  <c r="G532" i="17"/>
  <c r="G531" i="17"/>
  <c r="Q530" i="17"/>
  <c r="O530" i="17"/>
  <c r="N530" i="17"/>
  <c r="L530" i="17"/>
  <c r="J530" i="17"/>
  <c r="I530" i="17"/>
  <c r="E530" i="17"/>
  <c r="G529" i="17"/>
  <c r="G528" i="17"/>
  <c r="G527" i="17"/>
  <c r="G526" i="17"/>
  <c r="G525" i="17"/>
  <c r="G524" i="17"/>
  <c r="G523" i="17"/>
  <c r="G522" i="17"/>
  <c r="G517" i="17"/>
  <c r="Q516" i="17"/>
  <c r="O516" i="17"/>
  <c r="N516" i="17"/>
  <c r="L516" i="17"/>
  <c r="L515" i="17" s="1"/>
  <c r="J516" i="17"/>
  <c r="I516" i="17"/>
  <c r="E516" i="17"/>
  <c r="E515" i="17" s="1"/>
  <c r="G514" i="17"/>
  <c r="Q513" i="17"/>
  <c r="O513" i="17"/>
  <c r="N513" i="17"/>
  <c r="L513" i="17"/>
  <c r="J513" i="17"/>
  <c r="I513" i="17"/>
  <c r="E513" i="17"/>
  <c r="G512" i="17"/>
  <c r="Q511" i="17"/>
  <c r="O511" i="17"/>
  <c r="N511" i="17"/>
  <c r="L511" i="17"/>
  <c r="J511" i="17"/>
  <c r="I511" i="17"/>
  <c r="E511" i="17"/>
  <c r="G510" i="17"/>
  <c r="Q509" i="17"/>
  <c r="O509" i="17"/>
  <c r="N509" i="17"/>
  <c r="L509" i="17"/>
  <c r="J509" i="17"/>
  <c r="I509" i="17"/>
  <c r="E509" i="17"/>
  <c r="G508" i="17"/>
  <c r="G507" i="17"/>
  <c r="G506" i="17"/>
  <c r="G505" i="17"/>
  <c r="G504" i="17"/>
  <c r="G503" i="17"/>
  <c r="G502" i="17"/>
  <c r="Q501" i="17"/>
  <c r="O501" i="17"/>
  <c r="N501" i="17"/>
  <c r="L501" i="17"/>
  <c r="J501" i="17"/>
  <c r="I501" i="17"/>
  <c r="E501" i="17"/>
  <c r="G500" i="17"/>
  <c r="G499" i="17"/>
  <c r="G498" i="17"/>
  <c r="G497" i="17"/>
  <c r="G496" i="17"/>
  <c r="G495" i="17"/>
  <c r="G490" i="17"/>
  <c r="G489" i="17"/>
  <c r="G488" i="17"/>
  <c r="Q487" i="17"/>
  <c r="Q486" i="17" s="1"/>
  <c r="O487" i="17"/>
  <c r="N487" i="17"/>
  <c r="L487" i="17"/>
  <c r="J487" i="17"/>
  <c r="I487" i="17"/>
  <c r="E487" i="17"/>
  <c r="J486" i="17"/>
  <c r="E486" i="17"/>
  <c r="G484" i="17"/>
  <c r="Q483" i="17"/>
  <c r="Q482" i="17" s="1"/>
  <c r="O483" i="17"/>
  <c r="O482" i="17" s="1"/>
  <c r="N483" i="17"/>
  <c r="N482" i="17" s="1"/>
  <c r="L483" i="17"/>
  <c r="J483" i="17"/>
  <c r="J482" i="17" s="1"/>
  <c r="I483" i="17"/>
  <c r="I482" i="17" s="1"/>
  <c r="E483" i="17"/>
  <c r="E482" i="17" s="1"/>
  <c r="G481" i="17"/>
  <c r="G480" i="17"/>
  <c r="Q479" i="17"/>
  <c r="O479" i="17"/>
  <c r="N479" i="17"/>
  <c r="L479" i="17"/>
  <c r="L474" i="17" s="1"/>
  <c r="J479" i="17"/>
  <c r="I479" i="17"/>
  <c r="E479" i="17"/>
  <c r="G478" i="17"/>
  <c r="Q477" i="17"/>
  <c r="O477" i="17"/>
  <c r="N477" i="17"/>
  <c r="L477" i="17"/>
  <c r="J477" i="17"/>
  <c r="I477" i="17"/>
  <c r="E477" i="17"/>
  <c r="G476" i="17"/>
  <c r="Q475" i="17"/>
  <c r="O475" i="17"/>
  <c r="N475" i="17"/>
  <c r="N474" i="17" s="1"/>
  <c r="L475" i="17"/>
  <c r="J475" i="17"/>
  <c r="I475" i="17"/>
  <c r="E475" i="17"/>
  <c r="E474" i="17" s="1"/>
  <c r="G473" i="17"/>
  <c r="Q472" i="17"/>
  <c r="O472" i="17"/>
  <c r="O471" i="17" s="1"/>
  <c r="N472" i="17"/>
  <c r="N471" i="17" s="1"/>
  <c r="L472" i="17"/>
  <c r="J472" i="17"/>
  <c r="J471" i="17" s="1"/>
  <c r="I472" i="17"/>
  <c r="I471" i="17" s="1"/>
  <c r="E472" i="17"/>
  <c r="Q471" i="17"/>
  <c r="L471" i="17"/>
  <c r="E471" i="17"/>
  <c r="G470" i="17"/>
  <c r="Q469" i="17"/>
  <c r="O469" i="17"/>
  <c r="N469" i="17"/>
  <c r="L469" i="17"/>
  <c r="J469" i="17"/>
  <c r="I469" i="17"/>
  <c r="E469" i="17"/>
  <c r="G468" i="17"/>
  <c r="G467" i="17"/>
  <c r="G462" i="17"/>
  <c r="Q461" i="17"/>
  <c r="O461" i="17"/>
  <c r="N461" i="17"/>
  <c r="L461" i="17"/>
  <c r="J461" i="17"/>
  <c r="I461" i="17"/>
  <c r="E461" i="17"/>
  <c r="G460" i="17"/>
  <c r="Q459" i="17"/>
  <c r="O459" i="17"/>
  <c r="O458" i="17" s="1"/>
  <c r="N459" i="17"/>
  <c r="L459" i="17"/>
  <c r="J459" i="17"/>
  <c r="I459" i="17"/>
  <c r="E459" i="17"/>
  <c r="L458" i="17"/>
  <c r="J458" i="17"/>
  <c r="G457" i="17"/>
  <c r="F457" i="17"/>
  <c r="F456" i="17" s="1"/>
  <c r="Q456" i="17"/>
  <c r="P456" i="17"/>
  <c r="O456" i="17"/>
  <c r="N456" i="17"/>
  <c r="M456" i="17"/>
  <c r="L456" i="17"/>
  <c r="K456" i="17"/>
  <c r="J456" i="17"/>
  <c r="I456" i="17"/>
  <c r="H456" i="17"/>
  <c r="G456" i="17"/>
  <c r="E456" i="17"/>
  <c r="G455" i="17"/>
  <c r="Q454" i="17"/>
  <c r="O454" i="17"/>
  <c r="N454" i="17"/>
  <c r="L454" i="17"/>
  <c r="J454" i="17"/>
  <c r="I454" i="17"/>
  <c r="E454" i="17"/>
  <c r="G453" i="17"/>
  <c r="Q452" i="17"/>
  <c r="O452" i="17"/>
  <c r="N452" i="17"/>
  <c r="L452" i="17"/>
  <c r="J452" i="17"/>
  <c r="I452" i="17"/>
  <c r="E452" i="17"/>
  <c r="G451" i="17"/>
  <c r="G450" i="17"/>
  <c r="G449" i="17"/>
  <c r="G448" i="17"/>
  <c r="H447" i="17"/>
  <c r="F447" i="17" s="1"/>
  <c r="G447" i="17"/>
  <c r="G446" i="17"/>
  <c r="G445" i="17"/>
  <c r="T444" i="17"/>
  <c r="P444" i="17"/>
  <c r="P443" i="17"/>
  <c r="F443" i="17" s="1"/>
  <c r="G442" i="17"/>
  <c r="Q441" i="17"/>
  <c r="O441" i="17"/>
  <c r="N441" i="17"/>
  <c r="M441" i="17"/>
  <c r="L441" i="17"/>
  <c r="K441" i="17"/>
  <c r="J441" i="17"/>
  <c r="I441" i="17"/>
  <c r="E441" i="17"/>
  <c r="G440" i="17"/>
  <c r="G439" i="17"/>
  <c r="F439" i="17"/>
  <c r="F436" i="17" s="1"/>
  <c r="G438" i="17"/>
  <c r="G437" i="17"/>
  <c r="Q436" i="17"/>
  <c r="P436" i="17"/>
  <c r="O436" i="17"/>
  <c r="O435" i="17" s="1"/>
  <c r="N436" i="17"/>
  <c r="M436" i="17"/>
  <c r="L436" i="17"/>
  <c r="K436" i="17"/>
  <c r="J436" i="17"/>
  <c r="I436" i="17"/>
  <c r="H436" i="17"/>
  <c r="E436" i="17"/>
  <c r="G433" i="17"/>
  <c r="Q432" i="17"/>
  <c r="O432" i="17"/>
  <c r="N432" i="17"/>
  <c r="L432" i="17"/>
  <c r="J432" i="17"/>
  <c r="I432" i="17"/>
  <c r="E432" i="17"/>
  <c r="G427" i="17"/>
  <c r="Q426" i="17"/>
  <c r="O426" i="17"/>
  <c r="N426" i="17"/>
  <c r="L426" i="17"/>
  <c r="J426" i="17"/>
  <c r="I426" i="17"/>
  <c r="E426" i="17"/>
  <c r="G425" i="17"/>
  <c r="G424" i="17"/>
  <c r="Q423" i="17"/>
  <c r="O423" i="17"/>
  <c r="N423" i="17"/>
  <c r="L423" i="17"/>
  <c r="J423" i="17"/>
  <c r="I423" i="17"/>
  <c r="E423" i="17"/>
  <c r="G422" i="17"/>
  <c r="G421" i="17" s="1"/>
  <c r="F422" i="17"/>
  <c r="Q421" i="17"/>
  <c r="P421" i="17"/>
  <c r="O421" i="17"/>
  <c r="N421" i="17"/>
  <c r="M421" i="17"/>
  <c r="L421" i="17"/>
  <c r="K421" i="17"/>
  <c r="J421" i="17"/>
  <c r="I421" i="17"/>
  <c r="H421" i="17"/>
  <c r="F421" i="17"/>
  <c r="E421" i="17"/>
  <c r="G420" i="17"/>
  <c r="F420" i="17"/>
  <c r="G419" i="17"/>
  <c r="F419" i="17"/>
  <c r="G418" i="17"/>
  <c r="F418" i="17"/>
  <c r="Q417" i="17"/>
  <c r="P417" i="17"/>
  <c r="O417" i="17"/>
  <c r="N417" i="17"/>
  <c r="M417" i="17"/>
  <c r="L417" i="17"/>
  <c r="K417" i="17"/>
  <c r="J417" i="17"/>
  <c r="I417" i="17"/>
  <c r="H417" i="17"/>
  <c r="E417" i="17"/>
  <c r="G416" i="17"/>
  <c r="F416" i="17"/>
  <c r="F414" i="17" s="1"/>
  <c r="G415" i="17"/>
  <c r="G414" i="17" s="1"/>
  <c r="Q414" i="17"/>
  <c r="P414" i="17"/>
  <c r="O414" i="17"/>
  <c r="N414" i="17"/>
  <c r="M414" i="17"/>
  <c r="L414" i="17"/>
  <c r="K414" i="17"/>
  <c r="J414" i="17"/>
  <c r="I414" i="17"/>
  <c r="H414" i="17"/>
  <c r="H413" i="17" s="1"/>
  <c r="E414" i="17"/>
  <c r="M413" i="17"/>
  <c r="G412" i="17"/>
  <c r="G411" i="17"/>
  <c r="G410" i="17"/>
  <c r="G409" i="17"/>
  <c r="G408" i="17"/>
  <c r="G407" i="17"/>
  <c r="G406" i="17"/>
  <c r="G405" i="17"/>
  <c r="G404" i="17"/>
  <c r="Q399" i="17"/>
  <c r="O399" i="17"/>
  <c r="N399" i="17"/>
  <c r="L399" i="17"/>
  <c r="J399" i="17"/>
  <c r="I399" i="17"/>
  <c r="E399" i="17"/>
  <c r="G398" i="17"/>
  <c r="G397" i="17"/>
  <c r="G396" i="17"/>
  <c r="Q395" i="17"/>
  <c r="O395" i="17"/>
  <c r="N395" i="17"/>
  <c r="L395" i="17"/>
  <c r="J395" i="17"/>
  <c r="J394" i="17" s="1"/>
  <c r="I395" i="17"/>
  <c r="E395" i="17"/>
  <c r="G393" i="17"/>
  <c r="G392" i="17"/>
  <c r="F392" i="17"/>
  <c r="F391" i="17" s="1"/>
  <c r="F374" i="17" s="1"/>
  <c r="Q391" i="17"/>
  <c r="P391" i="17"/>
  <c r="P374" i="17" s="1"/>
  <c r="O391" i="17"/>
  <c r="N391" i="17"/>
  <c r="M391" i="17"/>
  <c r="M374" i="17" s="1"/>
  <c r="L391" i="17"/>
  <c r="K391" i="17"/>
  <c r="J391" i="17"/>
  <c r="I391" i="17"/>
  <c r="H391" i="17"/>
  <c r="H374" i="17" s="1"/>
  <c r="E391" i="17"/>
  <c r="G390" i="17"/>
  <c r="G389" i="17"/>
  <c r="Q388" i="17"/>
  <c r="O388" i="17"/>
  <c r="N388" i="17"/>
  <c r="L388" i="17"/>
  <c r="J388" i="17"/>
  <c r="I388" i="17"/>
  <c r="E388" i="17"/>
  <c r="G387" i="17"/>
  <c r="G386" i="17"/>
  <c r="Q385" i="17"/>
  <c r="O385" i="17"/>
  <c r="N385" i="17"/>
  <c r="L385" i="17"/>
  <c r="J385" i="17"/>
  <c r="I385" i="17"/>
  <c r="E385" i="17"/>
  <c r="G384" i="17"/>
  <c r="G383" i="17"/>
  <c r="Q382" i="17"/>
  <c r="O382" i="17"/>
  <c r="N382" i="17"/>
  <c r="L382" i="17"/>
  <c r="J382" i="17"/>
  <c r="I382" i="17"/>
  <c r="E382" i="17"/>
  <c r="G381" i="17"/>
  <c r="G380" i="17"/>
  <c r="Q379" i="17"/>
  <c r="O379" i="17"/>
  <c r="N379" i="17"/>
  <c r="L379" i="17"/>
  <c r="J379" i="17"/>
  <c r="I379" i="17"/>
  <c r="E379" i="17"/>
  <c r="K374" i="17"/>
  <c r="G373" i="17"/>
  <c r="G372" i="17"/>
  <c r="Q371" i="17"/>
  <c r="O371" i="17"/>
  <c r="N371" i="17"/>
  <c r="L371" i="17"/>
  <c r="J371" i="17"/>
  <c r="I371" i="17"/>
  <c r="E371" i="17"/>
  <c r="G370" i="17"/>
  <c r="G369" i="17"/>
  <c r="Q368" i="17"/>
  <c r="O368" i="17"/>
  <c r="N368" i="17"/>
  <c r="L368" i="17"/>
  <c r="J368" i="17"/>
  <c r="I368" i="17"/>
  <c r="E368" i="17"/>
  <c r="G367" i="17"/>
  <c r="G366" i="17"/>
  <c r="Q365" i="17"/>
  <c r="O365" i="17"/>
  <c r="N365" i="17"/>
  <c r="L365" i="17"/>
  <c r="J365" i="17"/>
  <c r="I365" i="17"/>
  <c r="E365" i="17"/>
  <c r="G364" i="17"/>
  <c r="G363" i="17"/>
  <c r="Q362" i="17"/>
  <c r="O362" i="17"/>
  <c r="N362" i="17"/>
  <c r="L362" i="17"/>
  <c r="J362" i="17"/>
  <c r="I362" i="17"/>
  <c r="E362" i="17"/>
  <c r="E361" i="17" s="1"/>
  <c r="G360" i="17"/>
  <c r="G359" i="17"/>
  <c r="G358" i="17"/>
  <c r="Q357" i="17"/>
  <c r="O357" i="17"/>
  <c r="N357" i="17"/>
  <c r="L357" i="17"/>
  <c r="J357" i="17"/>
  <c r="I357" i="17"/>
  <c r="E357" i="17"/>
  <c r="G356" i="17"/>
  <c r="Q355" i="17"/>
  <c r="O355" i="17"/>
  <c r="N355" i="17"/>
  <c r="L355" i="17"/>
  <c r="J355" i="17"/>
  <c r="I355" i="17"/>
  <c r="E355" i="17"/>
  <c r="G354" i="17"/>
  <c r="G353" i="17"/>
  <c r="G348" i="17"/>
  <c r="G347" i="17"/>
  <c r="G346" i="17"/>
  <c r="G345" i="17"/>
  <c r="Q344" i="17"/>
  <c r="O344" i="17"/>
  <c r="N344" i="17"/>
  <c r="L344" i="17"/>
  <c r="J344" i="17"/>
  <c r="I344" i="17"/>
  <c r="E344" i="17"/>
  <c r="G343" i="17"/>
  <c r="G342" i="17"/>
  <c r="G341" i="17"/>
  <c r="G340" i="17"/>
  <c r="G339" i="17"/>
  <c r="F339" i="17"/>
  <c r="F334" i="17" s="1"/>
  <c r="F333" i="17" s="1"/>
  <c r="G338" i="17"/>
  <c r="G337" i="17"/>
  <c r="G336" i="17"/>
  <c r="G335" i="17"/>
  <c r="Q334" i="17"/>
  <c r="P334" i="17"/>
  <c r="P333" i="17" s="1"/>
  <c r="O334" i="17"/>
  <c r="N334" i="17"/>
  <c r="M334" i="17"/>
  <c r="M333" i="17" s="1"/>
  <c r="L334" i="17"/>
  <c r="K334" i="17"/>
  <c r="J334" i="17"/>
  <c r="I334" i="17"/>
  <c r="H334" i="17"/>
  <c r="H333" i="17" s="1"/>
  <c r="E334" i="17"/>
  <c r="K333" i="17"/>
  <c r="G332" i="17"/>
  <c r="Q331" i="17"/>
  <c r="O331" i="17"/>
  <c r="N331" i="17"/>
  <c r="L331" i="17"/>
  <c r="J331" i="17"/>
  <c r="I331" i="17"/>
  <c r="E331" i="17"/>
  <c r="G330" i="17"/>
  <c r="G329" i="17"/>
  <c r="G328" i="17"/>
  <c r="Q327" i="17"/>
  <c r="O327" i="17"/>
  <c r="N327" i="17"/>
  <c r="L327" i="17"/>
  <c r="J327" i="17"/>
  <c r="I327" i="17"/>
  <c r="E327" i="17"/>
  <c r="G326" i="17"/>
  <c r="Q325" i="17"/>
  <c r="O325" i="17"/>
  <c r="N325" i="17"/>
  <c r="L325" i="17"/>
  <c r="J325" i="17"/>
  <c r="I325" i="17"/>
  <c r="E325" i="17"/>
  <c r="G324" i="17"/>
  <c r="Q323" i="17"/>
  <c r="O323" i="17"/>
  <c r="N323" i="17"/>
  <c r="L323" i="17"/>
  <c r="J323" i="17"/>
  <c r="I323" i="17"/>
  <c r="E323" i="17"/>
  <c r="G318" i="17"/>
  <c r="G317" i="17"/>
  <c r="G316" i="17"/>
  <c r="Q315" i="17"/>
  <c r="Q314" i="17" s="1"/>
  <c r="O315" i="17"/>
  <c r="N315" i="17"/>
  <c r="L315" i="17"/>
  <c r="J315" i="17"/>
  <c r="I315" i="17"/>
  <c r="E315" i="17"/>
  <c r="N313" i="17"/>
  <c r="H313" i="17"/>
  <c r="H286" i="17" s="1"/>
  <c r="N312" i="17"/>
  <c r="G312" i="17" s="1"/>
  <c r="F312" i="17"/>
  <c r="F310" i="17"/>
  <c r="F309" i="17"/>
  <c r="F308" i="17"/>
  <c r="F307" i="17"/>
  <c r="M306" i="17"/>
  <c r="M303" i="17" s="1"/>
  <c r="F305" i="17"/>
  <c r="F304" i="17"/>
  <c r="M302" i="17"/>
  <c r="F302" i="17" s="1"/>
  <c r="M301" i="17"/>
  <c r="F301" i="17" s="1"/>
  <c r="F299" i="17"/>
  <c r="F298" i="17"/>
  <c r="F297" i="17"/>
  <c r="F296" i="17"/>
  <c r="M295" i="17"/>
  <c r="F295" i="17" s="1"/>
  <c r="M293" i="17"/>
  <c r="F293" i="17" s="1"/>
  <c r="G292" i="17"/>
  <c r="G291" i="17"/>
  <c r="N290" i="17"/>
  <c r="M290" i="17"/>
  <c r="G290" i="17" s="1"/>
  <c r="G289" i="17"/>
  <c r="F289" i="17"/>
  <c r="G288" i="17"/>
  <c r="Q286" i="17"/>
  <c r="P286" i="17"/>
  <c r="O286" i="17"/>
  <c r="L286" i="17"/>
  <c r="K286" i="17"/>
  <c r="J286" i="17"/>
  <c r="I286" i="17"/>
  <c r="E286" i="17"/>
  <c r="N285" i="17"/>
  <c r="N283" i="17" s="1"/>
  <c r="G284" i="17"/>
  <c r="F284" i="17"/>
  <c r="Q283" i="17"/>
  <c r="O283" i="17"/>
  <c r="L283" i="17"/>
  <c r="K283" i="17"/>
  <c r="J283" i="17"/>
  <c r="I283" i="17"/>
  <c r="H283" i="17"/>
  <c r="E283" i="17"/>
  <c r="H282" i="17"/>
  <c r="H275" i="17" s="1"/>
  <c r="P281" i="17"/>
  <c r="F281" i="17" s="1"/>
  <c r="G280" i="17"/>
  <c r="G279" i="17"/>
  <c r="M278" i="17"/>
  <c r="G278" i="17" s="1"/>
  <c r="G277" i="17"/>
  <c r="G276" i="17"/>
  <c r="Q275" i="17"/>
  <c r="O275" i="17"/>
  <c r="N275" i="17"/>
  <c r="L275" i="17"/>
  <c r="K275" i="17"/>
  <c r="J275" i="17"/>
  <c r="I275" i="17"/>
  <c r="E275" i="17"/>
  <c r="G274" i="17"/>
  <c r="F274" i="17"/>
  <c r="G269" i="17"/>
  <c r="F269" i="17"/>
  <c r="G268" i="17"/>
  <c r="G267" i="17"/>
  <c r="F267" i="17"/>
  <c r="G266" i="17"/>
  <c r="F266" i="17"/>
  <c r="P265" i="17"/>
  <c r="G265" i="17" s="1"/>
  <c r="F265" i="17"/>
  <c r="M264" i="17"/>
  <c r="F264" i="17" s="1"/>
  <c r="G263" i="17"/>
  <c r="Q262" i="17"/>
  <c r="P262" i="17"/>
  <c r="O262" i="17"/>
  <c r="N262" i="17"/>
  <c r="L262" i="17"/>
  <c r="K262" i="17"/>
  <c r="J262" i="17"/>
  <c r="I262" i="17"/>
  <c r="H262" i="17"/>
  <c r="E262" i="17"/>
  <c r="G261" i="17"/>
  <c r="G260" i="17"/>
  <c r="G259" i="17"/>
  <c r="G258" i="17"/>
  <c r="G257" i="17"/>
  <c r="F257" i="17"/>
  <c r="F256" i="17" s="1"/>
  <c r="Q256" i="17"/>
  <c r="P256" i="17"/>
  <c r="O256" i="17"/>
  <c r="O247" i="17" s="1"/>
  <c r="N256" i="17"/>
  <c r="M256" i="17"/>
  <c r="L256" i="17"/>
  <c r="K256" i="17"/>
  <c r="J256" i="17"/>
  <c r="I256" i="17"/>
  <c r="H256" i="17"/>
  <c r="E256" i="17"/>
  <c r="G255" i="17"/>
  <c r="G254" i="17"/>
  <c r="M253" i="17"/>
  <c r="G253" i="17" s="1"/>
  <c r="M252" i="17"/>
  <c r="F252" i="17" s="1"/>
  <c r="P251" i="17"/>
  <c r="M251" i="17"/>
  <c r="G249" i="17"/>
  <c r="F249" i="17"/>
  <c r="Q248" i="17"/>
  <c r="O248" i="17"/>
  <c r="N248" i="17"/>
  <c r="L248" i="17"/>
  <c r="K248" i="17"/>
  <c r="J248" i="17"/>
  <c r="I248" i="17"/>
  <c r="H248" i="17"/>
  <c r="E248" i="17"/>
  <c r="G246" i="17"/>
  <c r="Q245" i="17"/>
  <c r="O245" i="17"/>
  <c r="N245" i="17"/>
  <c r="L245" i="17"/>
  <c r="J245" i="17"/>
  <c r="I245" i="17"/>
  <c r="E245" i="17"/>
  <c r="G244" i="17"/>
  <c r="Q243" i="17"/>
  <c r="O243" i="17"/>
  <c r="N243" i="17"/>
  <c r="L243" i="17"/>
  <c r="J243" i="17"/>
  <c r="I243" i="17"/>
  <c r="E243" i="17"/>
  <c r="G242" i="17"/>
  <c r="G241" i="17" s="1"/>
  <c r="F242" i="17"/>
  <c r="Q241" i="17"/>
  <c r="P241" i="17"/>
  <c r="O241" i="17"/>
  <c r="N241" i="17"/>
  <c r="M241" i="17"/>
  <c r="L241" i="17"/>
  <c r="K241" i="17"/>
  <c r="J241" i="17"/>
  <c r="I241" i="17"/>
  <c r="H241" i="17"/>
  <c r="F241" i="17"/>
  <c r="E241" i="17"/>
  <c r="G240" i="17"/>
  <c r="G239" i="17" s="1"/>
  <c r="F240" i="17"/>
  <c r="F239" i="17" s="1"/>
  <c r="Q239" i="17"/>
  <c r="P239" i="17"/>
  <c r="O239" i="17"/>
  <c r="N239" i="17"/>
  <c r="M239" i="17"/>
  <c r="L239" i="17"/>
  <c r="K239" i="17"/>
  <c r="J239" i="17"/>
  <c r="I239" i="17"/>
  <c r="H239" i="17"/>
  <c r="E239" i="17"/>
  <c r="M238" i="17"/>
  <c r="F238" i="17" s="1"/>
  <c r="M233" i="17"/>
  <c r="G233" i="17" s="1"/>
  <c r="G232" i="17"/>
  <c r="G231" i="17"/>
  <c r="Q230" i="17"/>
  <c r="P230" i="17"/>
  <c r="O230" i="17"/>
  <c r="N230" i="17"/>
  <c r="L230" i="17"/>
  <c r="K230" i="17"/>
  <c r="J230" i="17"/>
  <c r="I230" i="17"/>
  <c r="H230" i="17"/>
  <c r="E230" i="17"/>
  <c r="G229" i="17"/>
  <c r="Q228" i="17"/>
  <c r="O228" i="17"/>
  <c r="N228" i="17"/>
  <c r="L228" i="17"/>
  <c r="J228" i="17"/>
  <c r="I228" i="17"/>
  <c r="E228" i="17"/>
  <c r="G227" i="17"/>
  <c r="N226" i="17"/>
  <c r="G226" i="17" s="1"/>
  <c r="F226" i="17"/>
  <c r="E226" i="17"/>
  <c r="N225" i="17"/>
  <c r="G225" i="17" s="1"/>
  <c r="F225" i="17"/>
  <c r="E225" i="17"/>
  <c r="Q224" i="17"/>
  <c r="P224" i="17"/>
  <c r="O224" i="17"/>
  <c r="M224" i="17"/>
  <c r="L224" i="17"/>
  <c r="K224" i="17"/>
  <c r="J224" i="17"/>
  <c r="I224" i="17"/>
  <c r="H224" i="17"/>
  <c r="R223" i="17"/>
  <c r="N223" i="17"/>
  <c r="N222" i="17" s="1"/>
  <c r="F223" i="17"/>
  <c r="F222" i="17" s="1"/>
  <c r="E223" i="17"/>
  <c r="E222" i="17" s="1"/>
  <c r="Q222" i="17"/>
  <c r="P222" i="17"/>
  <c r="O222" i="17"/>
  <c r="M222" i="17"/>
  <c r="L222" i="17"/>
  <c r="K222" i="17"/>
  <c r="J222" i="17"/>
  <c r="I222" i="17"/>
  <c r="H222" i="17"/>
  <c r="G209" i="17"/>
  <c r="G208" i="17"/>
  <c r="G207" i="17"/>
  <c r="G202" i="17"/>
  <c r="G201" i="17"/>
  <c r="G200" i="17"/>
  <c r="G199" i="17"/>
  <c r="G198" i="17"/>
  <c r="Q197" i="17"/>
  <c r="O197" i="17"/>
  <c r="N197" i="17"/>
  <c r="L197" i="17"/>
  <c r="J197" i="17"/>
  <c r="I197" i="17"/>
  <c r="E197" i="17"/>
  <c r="G196" i="17"/>
  <c r="G195" i="17"/>
  <c r="G194" i="17"/>
  <c r="G193" i="17"/>
  <c r="G192" i="17"/>
  <c r="G191" i="17"/>
  <c r="G190" i="17"/>
  <c r="G189" i="17"/>
  <c r="G188" i="17"/>
  <c r="Q187" i="17"/>
  <c r="Q186" i="17" s="1"/>
  <c r="O187" i="17"/>
  <c r="N187" i="17"/>
  <c r="L187" i="17"/>
  <c r="J187" i="17"/>
  <c r="J186" i="17" s="1"/>
  <c r="I187" i="17"/>
  <c r="E187" i="17"/>
  <c r="G185" i="17"/>
  <c r="G180" i="17"/>
  <c r="G179" i="17"/>
  <c r="G178" i="17"/>
  <c r="G177" i="17"/>
  <c r="G176" i="17"/>
  <c r="G175" i="17"/>
  <c r="Q174" i="17"/>
  <c r="O174" i="17"/>
  <c r="N174" i="17"/>
  <c r="L174" i="17"/>
  <c r="J174" i="17"/>
  <c r="I174" i="17"/>
  <c r="E174" i="17"/>
  <c r="G173" i="17"/>
  <c r="G172" i="17"/>
  <c r="G171" i="17"/>
  <c r="G170" i="17"/>
  <c r="G169" i="17"/>
  <c r="G168" i="17"/>
  <c r="G167" i="17"/>
  <c r="G166" i="17"/>
  <c r="G165" i="17"/>
  <c r="Q164" i="17"/>
  <c r="Q163" i="17" s="1"/>
  <c r="O164" i="17"/>
  <c r="N164" i="17"/>
  <c r="N163" i="17" s="1"/>
  <c r="L164" i="17"/>
  <c r="J164" i="17"/>
  <c r="J163" i="17" s="1"/>
  <c r="I164" i="17"/>
  <c r="E164" i="17"/>
  <c r="G161" i="17"/>
  <c r="Q160" i="17"/>
  <c r="O160" i="17"/>
  <c r="N160" i="17"/>
  <c r="L160" i="17"/>
  <c r="J160" i="17"/>
  <c r="I160" i="17"/>
  <c r="E160" i="17"/>
  <c r="G159" i="17"/>
  <c r="Q154" i="17"/>
  <c r="O154" i="17"/>
  <c r="N154" i="17"/>
  <c r="L154" i="17"/>
  <c r="J154" i="17"/>
  <c r="I154" i="17"/>
  <c r="G154" i="17" s="1"/>
  <c r="E154" i="17"/>
  <c r="G153" i="17"/>
  <c r="Q152" i="17"/>
  <c r="O152" i="17"/>
  <c r="N152" i="17"/>
  <c r="L152" i="17"/>
  <c r="J152" i="17"/>
  <c r="I152" i="17"/>
  <c r="E152" i="17"/>
  <c r="O151" i="17"/>
  <c r="G150" i="17"/>
  <c r="Q149" i="17"/>
  <c r="Q148" i="17" s="1"/>
  <c r="O149" i="17"/>
  <c r="N149" i="17"/>
  <c r="N148" i="17" s="1"/>
  <c r="L149" i="17"/>
  <c r="L148" i="17" s="1"/>
  <c r="J149" i="17"/>
  <c r="I149" i="17"/>
  <c r="I148" i="17" s="1"/>
  <c r="E149" i="17"/>
  <c r="E148" i="17" s="1"/>
  <c r="O148" i="17"/>
  <c r="J148" i="17"/>
  <c r="G147" i="17"/>
  <c r="Q146" i="17"/>
  <c r="O146" i="17"/>
  <c r="N146" i="17"/>
  <c r="L146" i="17"/>
  <c r="J146" i="17"/>
  <c r="I146" i="17"/>
  <c r="E146" i="17"/>
  <c r="G145" i="17"/>
  <c r="Q144" i="17"/>
  <c r="O144" i="17"/>
  <c r="N144" i="17"/>
  <c r="L144" i="17"/>
  <c r="J144" i="17"/>
  <c r="I144" i="17"/>
  <c r="E144" i="17"/>
  <c r="G143" i="17"/>
  <c r="Q142" i="17"/>
  <c r="O142" i="17"/>
  <c r="O141" i="17" s="1"/>
  <c r="N142" i="17"/>
  <c r="L142" i="17"/>
  <c r="J142" i="17"/>
  <c r="I142" i="17"/>
  <c r="E142" i="17"/>
  <c r="G140" i="17"/>
  <c r="Q139" i="17"/>
  <c r="O139" i="17"/>
  <c r="N139" i="17"/>
  <c r="L139" i="17"/>
  <c r="J139" i="17"/>
  <c r="I139" i="17"/>
  <c r="E139" i="17"/>
  <c r="G138" i="17"/>
  <c r="G137" i="17" s="1"/>
  <c r="F138" i="17"/>
  <c r="Q137" i="17"/>
  <c r="P137" i="17"/>
  <c r="O137" i="17"/>
  <c r="N137" i="17"/>
  <c r="M137" i="17"/>
  <c r="L137" i="17"/>
  <c r="K137" i="17"/>
  <c r="K134" i="17" s="1"/>
  <c r="K133" i="17" s="1"/>
  <c r="J137" i="17"/>
  <c r="I137" i="17"/>
  <c r="H137" i="17"/>
  <c r="H134" i="17" s="1"/>
  <c r="H133" i="17" s="1"/>
  <c r="E137" i="17"/>
  <c r="G136" i="17"/>
  <c r="F136" i="17"/>
  <c r="Q135" i="17"/>
  <c r="O135" i="17"/>
  <c r="N135" i="17"/>
  <c r="N134" i="17" s="1"/>
  <c r="L135" i="17"/>
  <c r="J135" i="17"/>
  <c r="I135" i="17"/>
  <c r="F135" i="17"/>
  <c r="E135" i="17"/>
  <c r="E134" i="17" s="1"/>
  <c r="P134" i="17"/>
  <c r="P133" i="17" s="1"/>
  <c r="O134" i="17"/>
  <c r="M134" i="17"/>
  <c r="M133" i="17" s="1"/>
  <c r="H132" i="17"/>
  <c r="F132" i="17" s="1"/>
  <c r="G132" i="17"/>
  <c r="G127" i="17" s="1"/>
  <c r="G126" i="17" s="1"/>
  <c r="F131" i="17"/>
  <c r="F130" i="17"/>
  <c r="F129" i="17"/>
  <c r="F128" i="17"/>
  <c r="Q127" i="17"/>
  <c r="Q126" i="17" s="1"/>
  <c r="P127" i="17"/>
  <c r="P126" i="17" s="1"/>
  <c r="O127" i="17"/>
  <c r="N127" i="17"/>
  <c r="N126" i="17" s="1"/>
  <c r="M127" i="17"/>
  <c r="M126" i="17" s="1"/>
  <c r="L127" i="17"/>
  <c r="L126" i="17" s="1"/>
  <c r="K127" i="17"/>
  <c r="J127" i="17"/>
  <c r="J126" i="17" s="1"/>
  <c r="I127" i="17"/>
  <c r="H127" i="17"/>
  <c r="E127" i="17"/>
  <c r="E126" i="17" s="1"/>
  <c r="O126" i="17"/>
  <c r="K126" i="17"/>
  <c r="I126" i="17"/>
  <c r="G125" i="17"/>
  <c r="F125" i="17"/>
  <c r="Q123" i="17"/>
  <c r="Q122" i="17" s="1"/>
  <c r="P123" i="17"/>
  <c r="O123" i="17"/>
  <c r="O122" i="17" s="1"/>
  <c r="N123" i="17"/>
  <c r="L123" i="17"/>
  <c r="L122" i="17" s="1"/>
  <c r="L120" i="17" s="1"/>
  <c r="K123" i="17"/>
  <c r="K122" i="17" s="1"/>
  <c r="K120" i="17" s="1"/>
  <c r="J123" i="17"/>
  <c r="I123" i="17"/>
  <c r="I122" i="17" s="1"/>
  <c r="I120" i="17" s="1"/>
  <c r="H123" i="17"/>
  <c r="H122" i="17" s="1"/>
  <c r="E123" i="17"/>
  <c r="E122" i="17" s="1"/>
  <c r="E120" i="17" s="1"/>
  <c r="P122" i="17"/>
  <c r="N122" i="17"/>
  <c r="J122" i="17"/>
  <c r="J120" i="17" s="1"/>
  <c r="F121" i="17"/>
  <c r="P120" i="17"/>
  <c r="G119" i="17"/>
  <c r="F119" i="17"/>
  <c r="Q118" i="17"/>
  <c r="O118" i="17"/>
  <c r="N118" i="17"/>
  <c r="N115" i="17" s="1"/>
  <c r="L118" i="17"/>
  <c r="J118" i="17"/>
  <c r="I118" i="17"/>
  <c r="F118" i="17"/>
  <c r="E118" i="17"/>
  <c r="G117" i="17"/>
  <c r="F117" i="17"/>
  <c r="Q116" i="17"/>
  <c r="Q115" i="17" s="1"/>
  <c r="O116" i="17"/>
  <c r="O115" i="17" s="1"/>
  <c r="N116" i="17"/>
  <c r="L116" i="17"/>
  <c r="L115" i="17" s="1"/>
  <c r="J116" i="17"/>
  <c r="J115" i="17" s="1"/>
  <c r="I116" i="17"/>
  <c r="F116" i="17"/>
  <c r="E116" i="17"/>
  <c r="F115" i="17"/>
  <c r="G114" i="17"/>
  <c r="F114" i="17"/>
  <c r="Q113" i="17"/>
  <c r="O113" i="17"/>
  <c r="N113" i="17"/>
  <c r="L113" i="17"/>
  <c r="J113" i="17"/>
  <c r="I113" i="17"/>
  <c r="F113" i="17"/>
  <c r="E113" i="17"/>
  <c r="G112" i="17"/>
  <c r="F112" i="17"/>
  <c r="G111" i="17"/>
  <c r="F111" i="17"/>
  <c r="Q110" i="17"/>
  <c r="P110" i="17"/>
  <c r="O110" i="17"/>
  <c r="N110" i="17"/>
  <c r="M110" i="17"/>
  <c r="L110" i="17"/>
  <c r="K110" i="17"/>
  <c r="J110" i="17"/>
  <c r="I110" i="17"/>
  <c r="H110" i="17"/>
  <c r="E110" i="17"/>
  <c r="G109" i="17"/>
  <c r="F109" i="17"/>
  <c r="G108" i="17"/>
  <c r="F108" i="17"/>
  <c r="G107" i="17"/>
  <c r="F107" i="17"/>
  <c r="G106" i="17"/>
  <c r="F106" i="17"/>
  <c r="G105" i="17"/>
  <c r="F105" i="17"/>
  <c r="G104" i="17"/>
  <c r="F104" i="17"/>
  <c r="F103" i="17"/>
  <c r="F102" i="17"/>
  <c r="F101" i="17"/>
  <c r="F100" i="17"/>
  <c r="Q99" i="17"/>
  <c r="O99" i="17"/>
  <c r="N99" i="17"/>
  <c r="L99" i="17"/>
  <c r="J99" i="17"/>
  <c r="I99" i="17"/>
  <c r="F99" i="17"/>
  <c r="E99" i="17"/>
  <c r="G98" i="17"/>
  <c r="F98" i="17"/>
  <c r="G97" i="17"/>
  <c r="F97" i="17"/>
  <c r="G96" i="17"/>
  <c r="F96" i="17"/>
  <c r="G95" i="17"/>
  <c r="F95" i="17"/>
  <c r="Q94" i="17"/>
  <c r="P94" i="17"/>
  <c r="O94" i="17"/>
  <c r="N94" i="17"/>
  <c r="M94" i="17"/>
  <c r="L94" i="17"/>
  <c r="K94" i="17"/>
  <c r="J94" i="17"/>
  <c r="I94" i="17"/>
  <c r="H94" i="17"/>
  <c r="E94" i="17"/>
  <c r="G93" i="17"/>
  <c r="F93" i="17"/>
  <c r="G92" i="17"/>
  <c r="F92" i="17"/>
  <c r="G91" i="17"/>
  <c r="F91" i="17"/>
  <c r="G90" i="17"/>
  <c r="G89" i="17"/>
  <c r="G88" i="17"/>
  <c r="Q87" i="17"/>
  <c r="P87" i="17"/>
  <c r="P86" i="17" s="1"/>
  <c r="O87" i="17"/>
  <c r="N87" i="17"/>
  <c r="M87" i="17"/>
  <c r="L87" i="17"/>
  <c r="K87" i="17"/>
  <c r="J87" i="17"/>
  <c r="I87" i="17"/>
  <c r="H87" i="17"/>
  <c r="E87" i="17"/>
  <c r="J86" i="17"/>
  <c r="G85" i="17"/>
  <c r="G84" i="17"/>
  <c r="Q83" i="17"/>
  <c r="O83" i="17"/>
  <c r="N83" i="17"/>
  <c r="L83" i="17"/>
  <c r="J83" i="17"/>
  <c r="I83" i="17"/>
  <c r="E83" i="17"/>
  <c r="G82" i="17"/>
  <c r="G81" i="17"/>
  <c r="G80" i="17"/>
  <c r="G79" i="17"/>
  <c r="Q78" i="17"/>
  <c r="O78" i="17"/>
  <c r="N78" i="17"/>
  <c r="L78" i="17"/>
  <c r="J78" i="17"/>
  <c r="I78" i="17"/>
  <c r="E78" i="17"/>
  <c r="G77" i="17"/>
  <c r="G76" i="17"/>
  <c r="Q75" i="17"/>
  <c r="O75" i="17"/>
  <c r="N75" i="17"/>
  <c r="L75" i="17"/>
  <c r="J75" i="17"/>
  <c r="J74" i="17" s="1"/>
  <c r="I75" i="17"/>
  <c r="E75" i="17"/>
  <c r="G69" i="17"/>
  <c r="G68" i="17"/>
  <c r="G67" i="17"/>
  <c r="Q66" i="17"/>
  <c r="O66" i="17"/>
  <c r="N66" i="17"/>
  <c r="L66" i="17"/>
  <c r="J66" i="17"/>
  <c r="I66" i="17"/>
  <c r="E66" i="17"/>
  <c r="G65" i="17"/>
  <c r="G64" i="17"/>
  <c r="G63" i="17"/>
  <c r="G62" i="17"/>
  <c r="Q61" i="17"/>
  <c r="O61" i="17"/>
  <c r="N61" i="17"/>
  <c r="L61" i="17"/>
  <c r="J61" i="17"/>
  <c r="I61" i="17"/>
  <c r="I60" i="17" s="1"/>
  <c r="E61" i="17"/>
  <c r="E60" i="17" s="1"/>
  <c r="Q60" i="17"/>
  <c r="G59" i="17"/>
  <c r="G58" i="17"/>
  <c r="G57" i="17"/>
  <c r="G56" i="17"/>
  <c r="G55" i="17"/>
  <c r="G54" i="17"/>
  <c r="Q53" i="17"/>
  <c r="O53" i="17"/>
  <c r="N53" i="17"/>
  <c r="L53" i="17"/>
  <c r="J53" i="17"/>
  <c r="I53" i="17"/>
  <c r="E53" i="17"/>
  <c r="G52" i="17"/>
  <c r="G51" i="17"/>
  <c r="G50" i="17"/>
  <c r="G49" i="17"/>
  <c r="G48" i="17"/>
  <c r="G47" i="17"/>
  <c r="Q42" i="17"/>
  <c r="O42" i="17"/>
  <c r="N42" i="17"/>
  <c r="L42" i="17"/>
  <c r="J42" i="17"/>
  <c r="I42" i="17"/>
  <c r="E42" i="17"/>
  <c r="G41" i="17"/>
  <c r="G40" i="17"/>
  <c r="Q39" i="17"/>
  <c r="O39" i="17"/>
  <c r="N39" i="17"/>
  <c r="L39" i="17"/>
  <c r="J39" i="17"/>
  <c r="I39" i="17"/>
  <c r="E39" i="17"/>
  <c r="G38" i="17"/>
  <c r="G37" i="17"/>
  <c r="G36" i="17"/>
  <c r="G35" i="17"/>
  <c r="G34" i="17"/>
  <c r="G33" i="17"/>
  <c r="Q32" i="17"/>
  <c r="O32" i="17"/>
  <c r="N32" i="17"/>
  <c r="L32" i="17"/>
  <c r="J32" i="17"/>
  <c r="I32" i="17"/>
  <c r="E32" i="17"/>
  <c r="G31" i="17"/>
  <c r="G30" i="17"/>
  <c r="G29" i="17"/>
  <c r="G28" i="17"/>
  <c r="G27" i="17"/>
  <c r="Q26" i="17"/>
  <c r="O26" i="17"/>
  <c r="N26" i="17"/>
  <c r="L26" i="17"/>
  <c r="J26" i="17"/>
  <c r="I26" i="17"/>
  <c r="E26" i="17"/>
  <c r="G25" i="17"/>
  <c r="G24" i="17"/>
  <c r="G23" i="17"/>
  <c r="G22" i="17"/>
  <c r="G21" i="17"/>
  <c r="G20" i="17"/>
  <c r="Q19" i="17"/>
  <c r="O19" i="17"/>
  <c r="N19" i="17"/>
  <c r="L19" i="17"/>
  <c r="J19" i="17"/>
  <c r="I19" i="17"/>
  <c r="E19" i="17"/>
  <c r="G18" i="17"/>
  <c r="Q17" i="17"/>
  <c r="O17" i="17"/>
  <c r="N17" i="17"/>
  <c r="L17" i="17"/>
  <c r="J17" i="17"/>
  <c r="I17" i="17"/>
  <c r="E17" i="17"/>
  <c r="G16" i="17"/>
  <c r="G15" i="17"/>
  <c r="G10" i="17"/>
  <c r="Q9" i="17"/>
  <c r="O9" i="17"/>
  <c r="N9" i="17"/>
  <c r="L9" i="17"/>
  <c r="J9" i="17"/>
  <c r="I9" i="17"/>
  <c r="E9" i="17"/>
  <c r="P447" i="14"/>
  <c r="G540" i="14"/>
  <c r="Q539" i="14"/>
  <c r="Q515" i="14" s="1"/>
  <c r="Q485" i="14" s="1"/>
  <c r="O539" i="14"/>
  <c r="N539" i="14"/>
  <c r="L539" i="14"/>
  <c r="J539" i="14"/>
  <c r="I539" i="14"/>
  <c r="E539" i="14"/>
  <c r="G538" i="14"/>
  <c r="G537" i="14"/>
  <c r="G536" i="14"/>
  <c r="G535" i="14"/>
  <c r="G534" i="14"/>
  <c r="G533" i="14"/>
  <c r="G532" i="14"/>
  <c r="G531" i="14"/>
  <c r="Q530" i="14"/>
  <c r="O530" i="14"/>
  <c r="N530" i="14"/>
  <c r="L530" i="14"/>
  <c r="J530" i="14"/>
  <c r="I530" i="14"/>
  <c r="G530" i="14" s="1"/>
  <c r="E530" i="14"/>
  <c r="G529" i="14"/>
  <c r="G528" i="14"/>
  <c r="G527" i="14"/>
  <c r="G526" i="14"/>
  <c r="G525" i="14"/>
  <c r="G524" i="14"/>
  <c r="G523" i="14"/>
  <c r="G522" i="14"/>
  <c r="G517" i="14"/>
  <c r="Q516" i="14"/>
  <c r="O516" i="14"/>
  <c r="N516" i="14"/>
  <c r="L516" i="14"/>
  <c r="J516" i="14"/>
  <c r="J515" i="14" s="1"/>
  <c r="J485" i="14" s="1"/>
  <c r="I516" i="14"/>
  <c r="G516" i="14" s="1"/>
  <c r="E516" i="14"/>
  <c r="E515" i="14" s="1"/>
  <c r="L515" i="14"/>
  <c r="G514" i="14"/>
  <c r="Q513" i="14"/>
  <c r="O513" i="14"/>
  <c r="N513" i="14"/>
  <c r="L513" i="14"/>
  <c r="J513" i="14"/>
  <c r="I513" i="14"/>
  <c r="E513" i="14"/>
  <c r="G512" i="14"/>
  <c r="Q511" i="14"/>
  <c r="O511" i="14"/>
  <c r="N511" i="14"/>
  <c r="L511" i="14"/>
  <c r="J511" i="14"/>
  <c r="I511" i="14"/>
  <c r="G511" i="14"/>
  <c r="E511" i="14"/>
  <c r="G510" i="14"/>
  <c r="Q509" i="14"/>
  <c r="O509" i="14"/>
  <c r="N509" i="14"/>
  <c r="L509" i="14"/>
  <c r="J509" i="14"/>
  <c r="I509" i="14"/>
  <c r="E509" i="14"/>
  <c r="G508" i="14"/>
  <c r="G507" i="14"/>
  <c r="G506" i="14"/>
  <c r="G505" i="14"/>
  <c r="G504" i="14"/>
  <c r="G503" i="14"/>
  <c r="G502" i="14"/>
  <c r="Q501" i="14"/>
  <c r="O501" i="14"/>
  <c r="N501" i="14"/>
  <c r="L501" i="14"/>
  <c r="J501" i="14"/>
  <c r="I501" i="14"/>
  <c r="G501" i="14"/>
  <c r="E501" i="14"/>
  <c r="G500" i="14"/>
  <c r="G499" i="14"/>
  <c r="G498" i="14"/>
  <c r="G497" i="14"/>
  <c r="G496" i="14"/>
  <c r="G495" i="14"/>
  <c r="G490" i="14"/>
  <c r="G489" i="14"/>
  <c r="G488" i="14"/>
  <c r="Q487" i="14"/>
  <c r="O487" i="14"/>
  <c r="O486" i="14" s="1"/>
  <c r="N487" i="14"/>
  <c r="L487" i="14"/>
  <c r="J487" i="14"/>
  <c r="J486" i="14" s="1"/>
  <c r="I487" i="14"/>
  <c r="G487" i="14" s="1"/>
  <c r="E487" i="14"/>
  <c r="Q486" i="14"/>
  <c r="G484" i="14"/>
  <c r="Q483" i="14"/>
  <c r="O483" i="14"/>
  <c r="O482" i="14" s="1"/>
  <c r="N483" i="14"/>
  <c r="N482" i="14" s="1"/>
  <c r="L483" i="14"/>
  <c r="J483" i="14"/>
  <c r="J482" i="14" s="1"/>
  <c r="I483" i="14"/>
  <c r="G483" i="14" s="1"/>
  <c r="E483" i="14"/>
  <c r="Q482" i="14"/>
  <c r="L482" i="14"/>
  <c r="E482" i="14"/>
  <c r="G481" i="14"/>
  <c r="G480" i="14"/>
  <c r="Q479" i="14"/>
  <c r="O479" i="14"/>
  <c r="N479" i="14"/>
  <c r="L479" i="14"/>
  <c r="G479" i="14" s="1"/>
  <c r="J479" i="14"/>
  <c r="I479" i="14"/>
  <c r="E479" i="14"/>
  <c r="G478" i="14"/>
  <c r="Q477" i="14"/>
  <c r="O477" i="14"/>
  <c r="N477" i="14"/>
  <c r="N474" i="14" s="1"/>
  <c r="L477" i="14"/>
  <c r="J477" i="14"/>
  <c r="J474" i="14" s="1"/>
  <c r="I477" i="14"/>
  <c r="E477" i="14"/>
  <c r="G476" i="14"/>
  <c r="Q475" i="14"/>
  <c r="O475" i="14"/>
  <c r="N475" i="14"/>
  <c r="L475" i="14"/>
  <c r="J475" i="14"/>
  <c r="I475" i="14"/>
  <c r="G475" i="14" s="1"/>
  <c r="E475" i="14"/>
  <c r="E474" i="14" s="1"/>
  <c r="Q474" i="14"/>
  <c r="L474" i="14"/>
  <c r="G473" i="14"/>
  <c r="Q472" i="14"/>
  <c r="O472" i="14"/>
  <c r="N472" i="14"/>
  <c r="L472" i="14"/>
  <c r="J472" i="14"/>
  <c r="J471" i="14" s="1"/>
  <c r="I472" i="14"/>
  <c r="I471" i="14" s="1"/>
  <c r="E472" i="14"/>
  <c r="E471" i="14" s="1"/>
  <c r="Q471" i="14"/>
  <c r="O471" i="14"/>
  <c r="N471" i="14"/>
  <c r="L471" i="14"/>
  <c r="G470" i="14"/>
  <c r="Q469" i="14"/>
  <c r="O469" i="14"/>
  <c r="N469" i="14"/>
  <c r="L469" i="14"/>
  <c r="J469" i="14"/>
  <c r="I469" i="14"/>
  <c r="G469" i="14" s="1"/>
  <c r="E469" i="14"/>
  <c r="G468" i="14"/>
  <c r="G467" i="14"/>
  <c r="G462" i="14"/>
  <c r="Q461" i="14"/>
  <c r="O461" i="14"/>
  <c r="N461" i="14"/>
  <c r="L461" i="14"/>
  <c r="G461" i="14" s="1"/>
  <c r="J461" i="14"/>
  <c r="I461" i="14"/>
  <c r="E461" i="14"/>
  <c r="G460" i="14"/>
  <c r="Q459" i="14"/>
  <c r="O459" i="14"/>
  <c r="N459" i="14"/>
  <c r="L459" i="14"/>
  <c r="J459" i="14"/>
  <c r="I459" i="14"/>
  <c r="G459" i="14"/>
  <c r="E459" i="14"/>
  <c r="O458" i="14"/>
  <c r="N458" i="14"/>
  <c r="I458" i="14"/>
  <c r="G457" i="14"/>
  <c r="F457" i="14"/>
  <c r="Q456" i="14"/>
  <c r="P456" i="14"/>
  <c r="O456" i="14"/>
  <c r="N456" i="14"/>
  <c r="M456" i="14"/>
  <c r="L456" i="14"/>
  <c r="K456" i="14"/>
  <c r="J456" i="14"/>
  <c r="I456" i="14"/>
  <c r="H456" i="14"/>
  <c r="G456" i="14"/>
  <c r="F456" i="14"/>
  <c r="E456" i="14"/>
  <c r="G455" i="14"/>
  <c r="Q454" i="14"/>
  <c r="O454" i="14"/>
  <c r="N454" i="14"/>
  <c r="L454" i="14"/>
  <c r="J454" i="14"/>
  <c r="I454" i="14"/>
  <c r="G454" i="14" s="1"/>
  <c r="E454" i="14"/>
  <c r="G453" i="14"/>
  <c r="Q452" i="14"/>
  <c r="O452" i="14"/>
  <c r="N452" i="14"/>
  <c r="L452" i="14"/>
  <c r="J452" i="14"/>
  <c r="I452" i="14"/>
  <c r="G452" i="14" s="1"/>
  <c r="E452" i="14"/>
  <c r="G451" i="14"/>
  <c r="G450" i="14"/>
  <c r="G449" i="14"/>
  <c r="G448" i="14"/>
  <c r="H447" i="14"/>
  <c r="F447" i="14" s="1"/>
  <c r="G446" i="14"/>
  <c r="G445" i="14"/>
  <c r="T444" i="14"/>
  <c r="P444" i="14"/>
  <c r="G444" i="14" s="1"/>
  <c r="F444" i="14"/>
  <c r="P443" i="14"/>
  <c r="F443" i="14" s="1"/>
  <c r="G442" i="14"/>
  <c r="Q441" i="14"/>
  <c r="O441" i="14"/>
  <c r="N441" i="14"/>
  <c r="M441" i="14"/>
  <c r="L441" i="14"/>
  <c r="K441" i="14"/>
  <c r="J441" i="14"/>
  <c r="I441" i="14"/>
  <c r="H441" i="14"/>
  <c r="E441" i="14"/>
  <c r="G440" i="14"/>
  <c r="G439" i="14"/>
  <c r="F439" i="14"/>
  <c r="F436" i="14" s="1"/>
  <c r="G438" i="14"/>
  <c r="G437" i="14"/>
  <c r="Q436" i="14"/>
  <c r="Q435" i="14" s="1"/>
  <c r="P436" i="14"/>
  <c r="O436" i="14"/>
  <c r="N436" i="14"/>
  <c r="N435" i="14" s="1"/>
  <c r="M436" i="14"/>
  <c r="M435" i="14" s="1"/>
  <c r="M434" i="14" s="1"/>
  <c r="L436" i="14"/>
  <c r="K436" i="14"/>
  <c r="J436" i="14"/>
  <c r="J435" i="14" s="1"/>
  <c r="I436" i="14"/>
  <c r="I435" i="14" s="1"/>
  <c r="H436" i="14"/>
  <c r="E436" i="14"/>
  <c r="O435" i="14"/>
  <c r="K435" i="14"/>
  <c r="K434" i="14" s="1"/>
  <c r="G433" i="14"/>
  <c r="Q432" i="14"/>
  <c r="O432" i="14"/>
  <c r="N432" i="14"/>
  <c r="L432" i="14"/>
  <c r="J432" i="14"/>
  <c r="I432" i="14"/>
  <c r="E432" i="14"/>
  <c r="G427" i="14"/>
  <c r="Q426" i="14"/>
  <c r="O426" i="14"/>
  <c r="N426" i="14"/>
  <c r="L426" i="14"/>
  <c r="J426" i="14"/>
  <c r="I426" i="14"/>
  <c r="G426" i="14" s="1"/>
  <c r="E426" i="14"/>
  <c r="G425" i="14"/>
  <c r="G424" i="14"/>
  <c r="Q423" i="14"/>
  <c r="O423" i="14"/>
  <c r="N423" i="14"/>
  <c r="L423" i="14"/>
  <c r="J423" i="14"/>
  <c r="I423" i="14"/>
  <c r="E423" i="14"/>
  <c r="G422" i="14"/>
  <c r="F422" i="14"/>
  <c r="Q421" i="14"/>
  <c r="P421" i="14"/>
  <c r="O421" i="14"/>
  <c r="N421" i="14"/>
  <c r="M421" i="14"/>
  <c r="L421" i="14"/>
  <c r="K421" i="14"/>
  <c r="J421" i="14"/>
  <c r="I421" i="14"/>
  <c r="H421" i="14"/>
  <c r="G421" i="14"/>
  <c r="F421" i="14"/>
  <c r="E421" i="14"/>
  <c r="G420" i="14"/>
  <c r="F420" i="14"/>
  <c r="G419" i="14"/>
  <c r="G417" i="14" s="1"/>
  <c r="F419" i="14"/>
  <c r="G418" i="14"/>
  <c r="F418" i="14"/>
  <c r="Q417" i="14"/>
  <c r="P417" i="14"/>
  <c r="O417" i="14"/>
  <c r="N417" i="14"/>
  <c r="M417" i="14"/>
  <c r="L417" i="14"/>
  <c r="K417" i="14"/>
  <c r="J417" i="14"/>
  <c r="I417" i="14"/>
  <c r="H417" i="14"/>
  <c r="F417" i="14"/>
  <c r="E417" i="14"/>
  <c r="G416" i="14"/>
  <c r="F416" i="14"/>
  <c r="G415" i="14"/>
  <c r="G414" i="14" s="1"/>
  <c r="Q414" i="14"/>
  <c r="P414" i="14"/>
  <c r="O414" i="14"/>
  <c r="N414" i="14"/>
  <c r="N413" i="14" s="1"/>
  <c r="M414" i="14"/>
  <c r="M413" i="14" s="1"/>
  <c r="L414" i="14"/>
  <c r="K414" i="14"/>
  <c r="J414" i="14"/>
  <c r="J413" i="14" s="1"/>
  <c r="I414" i="14"/>
  <c r="H414" i="14"/>
  <c r="F414" i="14"/>
  <c r="E414" i="14"/>
  <c r="P413" i="14"/>
  <c r="O413" i="14"/>
  <c r="K413" i="14"/>
  <c r="H413" i="14"/>
  <c r="G412" i="14"/>
  <c r="G411" i="14"/>
  <c r="G410" i="14"/>
  <c r="G409" i="14"/>
  <c r="G408" i="14"/>
  <c r="G407" i="14"/>
  <c r="G406" i="14"/>
  <c r="G405" i="14"/>
  <c r="G404" i="14"/>
  <c r="Q399" i="14"/>
  <c r="O399" i="14"/>
  <c r="N399" i="14"/>
  <c r="L399" i="14"/>
  <c r="J399" i="14"/>
  <c r="I399" i="14"/>
  <c r="E399" i="14"/>
  <c r="E394" i="14" s="1"/>
  <c r="G398" i="14"/>
  <c r="G397" i="14"/>
  <c r="G396" i="14"/>
  <c r="Q395" i="14"/>
  <c r="O395" i="14"/>
  <c r="N395" i="14"/>
  <c r="L395" i="14"/>
  <c r="J395" i="14"/>
  <c r="I395" i="14"/>
  <c r="E395" i="14"/>
  <c r="O394" i="14"/>
  <c r="N394" i="14"/>
  <c r="G393" i="14"/>
  <c r="G392" i="14"/>
  <c r="F392" i="14"/>
  <c r="Q391" i="14"/>
  <c r="P391" i="14"/>
  <c r="O391" i="14"/>
  <c r="N391" i="14"/>
  <c r="M391" i="14"/>
  <c r="L391" i="14"/>
  <c r="K391" i="14"/>
  <c r="K374" i="14" s="1"/>
  <c r="J391" i="14"/>
  <c r="I391" i="14"/>
  <c r="H391" i="14"/>
  <c r="G391" i="14"/>
  <c r="F391" i="14"/>
  <c r="E391" i="14"/>
  <c r="G390" i="14"/>
  <c r="G389" i="14"/>
  <c r="Q388" i="14"/>
  <c r="O388" i="14"/>
  <c r="N388" i="14"/>
  <c r="L388" i="14"/>
  <c r="G388" i="14" s="1"/>
  <c r="J388" i="14"/>
  <c r="I388" i="14"/>
  <c r="E388" i="14"/>
  <c r="G387" i="14"/>
  <c r="G386" i="14"/>
  <c r="Q385" i="14"/>
  <c r="O385" i="14"/>
  <c r="N385" i="14"/>
  <c r="L385" i="14"/>
  <c r="J385" i="14"/>
  <c r="I385" i="14"/>
  <c r="E385" i="14"/>
  <c r="G384" i="14"/>
  <c r="G383" i="14"/>
  <c r="Q382" i="14"/>
  <c r="O382" i="14"/>
  <c r="N382" i="14"/>
  <c r="L382" i="14"/>
  <c r="J382" i="14"/>
  <c r="I382" i="14"/>
  <c r="E382" i="14"/>
  <c r="G381" i="14"/>
  <c r="G380" i="14"/>
  <c r="Q379" i="14"/>
  <c r="Q374" i="14" s="1"/>
  <c r="O379" i="14"/>
  <c r="O374" i="14" s="1"/>
  <c r="N379" i="14"/>
  <c r="L379" i="14"/>
  <c r="L374" i="14" s="1"/>
  <c r="J379" i="14"/>
  <c r="J374" i="14" s="1"/>
  <c r="I379" i="14"/>
  <c r="I374" i="14" s="1"/>
  <c r="E379" i="14"/>
  <c r="P374" i="14"/>
  <c r="M374" i="14"/>
  <c r="H374" i="14"/>
  <c r="F374" i="14"/>
  <c r="G373" i="14"/>
  <c r="G372" i="14"/>
  <c r="Q371" i="14"/>
  <c r="O371" i="14"/>
  <c r="N371" i="14"/>
  <c r="L371" i="14"/>
  <c r="J371" i="14"/>
  <c r="I371" i="14"/>
  <c r="G371" i="14" s="1"/>
  <c r="E371" i="14"/>
  <c r="G370" i="14"/>
  <c r="G369" i="14"/>
  <c r="Q368" i="14"/>
  <c r="O368" i="14"/>
  <c r="N368" i="14"/>
  <c r="L368" i="14"/>
  <c r="J368" i="14"/>
  <c r="G368" i="14" s="1"/>
  <c r="I368" i="14"/>
  <c r="E368" i="14"/>
  <c r="G367" i="14"/>
  <c r="G366" i="14"/>
  <c r="Q365" i="14"/>
  <c r="O365" i="14"/>
  <c r="N365" i="14"/>
  <c r="N361" i="14" s="1"/>
  <c r="L365" i="14"/>
  <c r="J365" i="14"/>
  <c r="I365" i="14"/>
  <c r="E365" i="14"/>
  <c r="E361" i="14" s="1"/>
  <c r="G364" i="14"/>
  <c r="G363" i="14"/>
  <c r="Q362" i="14"/>
  <c r="Q361" i="14" s="1"/>
  <c r="O362" i="14"/>
  <c r="N362" i="14"/>
  <c r="L362" i="14"/>
  <c r="J362" i="14"/>
  <c r="G362" i="14" s="1"/>
  <c r="I362" i="14"/>
  <c r="E362" i="14"/>
  <c r="L361" i="14"/>
  <c r="G360" i="14"/>
  <c r="G359" i="14"/>
  <c r="G358" i="14"/>
  <c r="Q357" i="14"/>
  <c r="O357" i="14"/>
  <c r="N357" i="14"/>
  <c r="L357" i="14"/>
  <c r="J357" i="14"/>
  <c r="I357" i="14"/>
  <c r="E357" i="14"/>
  <c r="G356" i="14"/>
  <c r="Q355" i="14"/>
  <c r="O355" i="14"/>
  <c r="N355" i="14"/>
  <c r="L355" i="14"/>
  <c r="L333" i="14" s="1"/>
  <c r="J355" i="14"/>
  <c r="I355" i="14"/>
  <c r="E355" i="14"/>
  <c r="G354" i="14"/>
  <c r="G353" i="14"/>
  <c r="G348" i="14"/>
  <c r="G347" i="14"/>
  <c r="G346" i="14"/>
  <c r="G345" i="14"/>
  <c r="Q344" i="14"/>
  <c r="O344" i="14"/>
  <c r="N344" i="14"/>
  <c r="L344" i="14"/>
  <c r="J344" i="14"/>
  <c r="I344" i="14"/>
  <c r="G344" i="14" s="1"/>
  <c r="E344" i="14"/>
  <c r="G343" i="14"/>
  <c r="G342" i="14"/>
  <c r="G341" i="14"/>
  <c r="G340" i="14"/>
  <c r="G339" i="14"/>
  <c r="F339" i="14"/>
  <c r="G338" i="14"/>
  <c r="G337" i="14"/>
  <c r="G336" i="14"/>
  <c r="G335" i="14"/>
  <c r="G334" i="14" s="1"/>
  <c r="Q334" i="14"/>
  <c r="Q333" i="14" s="1"/>
  <c r="P334" i="14"/>
  <c r="O334" i="14"/>
  <c r="N334" i="14"/>
  <c r="N333" i="14" s="1"/>
  <c r="M334" i="14"/>
  <c r="M333" i="14" s="1"/>
  <c r="L334" i="14"/>
  <c r="K334" i="14"/>
  <c r="K333" i="14" s="1"/>
  <c r="J334" i="14"/>
  <c r="J333" i="14" s="1"/>
  <c r="I334" i="14"/>
  <c r="H334" i="14"/>
  <c r="F334" i="14"/>
  <c r="F333" i="14" s="1"/>
  <c r="E334" i="14"/>
  <c r="E333" i="14" s="1"/>
  <c r="P333" i="14"/>
  <c r="H333" i="14"/>
  <c r="G332" i="14"/>
  <c r="Q331" i="14"/>
  <c r="O331" i="14"/>
  <c r="N331" i="14"/>
  <c r="L331" i="14"/>
  <c r="J331" i="14"/>
  <c r="I331" i="14"/>
  <c r="E331" i="14"/>
  <c r="G330" i="14"/>
  <c r="G329" i="14"/>
  <c r="G328" i="14"/>
  <c r="Q327" i="14"/>
  <c r="O327" i="14"/>
  <c r="N327" i="14"/>
  <c r="L327" i="14"/>
  <c r="J327" i="14"/>
  <c r="I327" i="14"/>
  <c r="G327" i="14"/>
  <c r="E327" i="14"/>
  <c r="G326" i="14"/>
  <c r="Q325" i="14"/>
  <c r="O325" i="14"/>
  <c r="N325" i="14"/>
  <c r="L325" i="14"/>
  <c r="J325" i="14"/>
  <c r="I325" i="14"/>
  <c r="G325" i="14" s="1"/>
  <c r="E325" i="14"/>
  <c r="G324" i="14"/>
  <c r="Q323" i="14"/>
  <c r="O323" i="14"/>
  <c r="O314" i="14" s="1"/>
  <c r="N323" i="14"/>
  <c r="L323" i="14"/>
  <c r="J323" i="14"/>
  <c r="I323" i="14"/>
  <c r="E323" i="14"/>
  <c r="G318" i="14"/>
  <c r="G317" i="14"/>
  <c r="G316" i="14"/>
  <c r="Q315" i="14"/>
  <c r="O315" i="14"/>
  <c r="N315" i="14"/>
  <c r="L315" i="14"/>
  <c r="J315" i="14"/>
  <c r="I315" i="14"/>
  <c r="E315" i="14"/>
  <c r="I314" i="14"/>
  <c r="N313" i="14"/>
  <c r="M313" i="14"/>
  <c r="H313" i="14"/>
  <c r="N312" i="14"/>
  <c r="G312" i="14" s="1"/>
  <c r="F312" i="14"/>
  <c r="G311" i="14"/>
  <c r="F311" i="14"/>
  <c r="F310" i="14"/>
  <c r="F309" i="14"/>
  <c r="F308" i="14"/>
  <c r="F307" i="14"/>
  <c r="M306" i="14"/>
  <c r="F306" i="14" s="1"/>
  <c r="F305" i="14"/>
  <c r="F304" i="14"/>
  <c r="M302" i="14"/>
  <c r="F302" i="14" s="1"/>
  <c r="M301" i="14"/>
  <c r="F301" i="14" s="1"/>
  <c r="M300" i="14"/>
  <c r="F300" i="14" s="1"/>
  <c r="F299" i="14"/>
  <c r="F298" i="14"/>
  <c r="F297" i="14"/>
  <c r="F296" i="14"/>
  <c r="M295" i="14"/>
  <c r="F295" i="14"/>
  <c r="M294" i="14"/>
  <c r="F294" i="14"/>
  <c r="M293" i="14"/>
  <c r="F293" i="14" s="1"/>
  <c r="G293" i="14"/>
  <c r="G292" i="14"/>
  <c r="G291" i="14"/>
  <c r="N290" i="14"/>
  <c r="G290" i="14" s="1"/>
  <c r="M290" i="14"/>
  <c r="F290" i="14" s="1"/>
  <c r="G289" i="14"/>
  <c r="F289" i="14"/>
  <c r="G288" i="14"/>
  <c r="M287" i="14"/>
  <c r="F287" i="14" s="1"/>
  <c r="Q286" i="14"/>
  <c r="P286" i="14"/>
  <c r="O286" i="14"/>
  <c r="L286" i="14"/>
  <c r="K286" i="14"/>
  <c r="J286" i="14"/>
  <c r="I286" i="14"/>
  <c r="H286" i="14"/>
  <c r="E286" i="14"/>
  <c r="P285" i="14"/>
  <c r="N285" i="14"/>
  <c r="N283" i="14" s="1"/>
  <c r="M285" i="14"/>
  <c r="M283" i="14" s="1"/>
  <c r="G284" i="14"/>
  <c r="F284" i="14"/>
  <c r="Q283" i="14"/>
  <c r="P283" i="14"/>
  <c r="O283" i="14"/>
  <c r="L283" i="14"/>
  <c r="K283" i="14"/>
  <c r="J283" i="14"/>
  <c r="I283" i="14"/>
  <c r="H283" i="14"/>
  <c r="E283" i="14"/>
  <c r="P282" i="14"/>
  <c r="F282" i="14" s="1"/>
  <c r="H282" i="14"/>
  <c r="P281" i="14"/>
  <c r="G280" i="14"/>
  <c r="G279" i="14"/>
  <c r="M278" i="14"/>
  <c r="G278" i="14" s="1"/>
  <c r="G277" i="14"/>
  <c r="G276" i="14"/>
  <c r="Q275" i="14"/>
  <c r="O275" i="14"/>
  <c r="N275" i="14"/>
  <c r="L275" i="14"/>
  <c r="K275" i="14"/>
  <c r="J275" i="14"/>
  <c r="I275" i="14"/>
  <c r="H275" i="14"/>
  <c r="E275" i="14"/>
  <c r="G274" i="14"/>
  <c r="F274" i="14"/>
  <c r="G269" i="14"/>
  <c r="F269" i="14"/>
  <c r="G268" i="14"/>
  <c r="G267" i="14"/>
  <c r="F267" i="14"/>
  <c r="G266" i="14"/>
  <c r="F266" i="14"/>
  <c r="P265" i="14"/>
  <c r="F265" i="14" s="1"/>
  <c r="M264" i="14"/>
  <c r="F264" i="14" s="1"/>
  <c r="G264" i="14"/>
  <c r="G263" i="14"/>
  <c r="Q262" i="14"/>
  <c r="O262" i="14"/>
  <c r="N262" i="14"/>
  <c r="M262" i="14"/>
  <c r="L262" i="14"/>
  <c r="K262" i="14"/>
  <c r="J262" i="14"/>
  <c r="I262" i="14"/>
  <c r="H262" i="14"/>
  <c r="E262" i="14"/>
  <c r="G261" i="14"/>
  <c r="G260" i="14"/>
  <c r="G259" i="14"/>
  <c r="G258" i="14"/>
  <c r="G257" i="14"/>
  <c r="F257" i="14"/>
  <c r="Q256" i="14"/>
  <c r="P256" i="14"/>
  <c r="O256" i="14"/>
  <c r="N256" i="14"/>
  <c r="M256" i="14"/>
  <c r="L256" i="14"/>
  <c r="K256" i="14"/>
  <c r="J256" i="14"/>
  <c r="I256" i="14"/>
  <c r="H256" i="14"/>
  <c r="G256" i="14"/>
  <c r="F256" i="14"/>
  <c r="E256" i="14"/>
  <c r="G255" i="14"/>
  <c r="G254" i="14"/>
  <c r="M253" i="14"/>
  <c r="G253" i="14" s="1"/>
  <c r="M252" i="14"/>
  <c r="F252" i="14" s="1"/>
  <c r="P251" i="14"/>
  <c r="P248" i="14" s="1"/>
  <c r="M251" i="14"/>
  <c r="M250" i="14"/>
  <c r="F250" i="14" s="1"/>
  <c r="G250" i="14"/>
  <c r="G249" i="14"/>
  <c r="F249" i="14"/>
  <c r="Q248" i="14"/>
  <c r="Q247" i="14" s="1"/>
  <c r="O248" i="14"/>
  <c r="N248" i="14"/>
  <c r="L248" i="14"/>
  <c r="K248" i="14"/>
  <c r="J248" i="14"/>
  <c r="J247" i="14" s="1"/>
  <c r="I248" i="14"/>
  <c r="I247" i="14" s="1"/>
  <c r="H248" i="14"/>
  <c r="E248" i="14"/>
  <c r="E247" i="14" s="1"/>
  <c r="G246" i="14"/>
  <c r="Q245" i="14"/>
  <c r="O245" i="14"/>
  <c r="N245" i="14"/>
  <c r="L245" i="14"/>
  <c r="J245" i="14"/>
  <c r="I245" i="14"/>
  <c r="G245" i="14" s="1"/>
  <c r="E245" i="14"/>
  <c r="G244" i="14"/>
  <c r="Q243" i="14"/>
  <c r="O243" i="14"/>
  <c r="N243" i="14"/>
  <c r="L243" i="14"/>
  <c r="J243" i="14"/>
  <c r="I243" i="14"/>
  <c r="E243" i="14"/>
  <c r="G242" i="14"/>
  <c r="F242" i="14"/>
  <c r="Q241" i="14"/>
  <c r="P241" i="14"/>
  <c r="O241" i="14"/>
  <c r="N241" i="14"/>
  <c r="M241" i="14"/>
  <c r="L241" i="14"/>
  <c r="K241" i="14"/>
  <c r="J241" i="14"/>
  <c r="I241" i="14"/>
  <c r="H241" i="14"/>
  <c r="G241" i="14"/>
  <c r="F241" i="14"/>
  <c r="E241" i="14"/>
  <c r="G240" i="14"/>
  <c r="F240" i="14"/>
  <c r="Q239" i="14"/>
  <c r="P239" i="14"/>
  <c r="O239" i="14"/>
  <c r="N239" i="14"/>
  <c r="M239" i="14"/>
  <c r="L239" i="14"/>
  <c r="K239" i="14"/>
  <c r="J239" i="14"/>
  <c r="I239" i="14"/>
  <c r="H239" i="14"/>
  <c r="G239" i="14"/>
  <c r="F239" i="14"/>
  <c r="E239" i="14"/>
  <c r="M238" i="14"/>
  <c r="F238" i="14" s="1"/>
  <c r="M233" i="14"/>
  <c r="G233" i="14" s="1"/>
  <c r="F233" i="14"/>
  <c r="G232" i="14"/>
  <c r="G231" i="14"/>
  <c r="Q230" i="14"/>
  <c r="P230" i="14"/>
  <c r="O230" i="14"/>
  <c r="N230" i="14"/>
  <c r="M230" i="14"/>
  <c r="L230" i="14"/>
  <c r="K230" i="14"/>
  <c r="J230" i="14"/>
  <c r="I230" i="14"/>
  <c r="H230" i="14"/>
  <c r="E230" i="14"/>
  <c r="G229" i="14"/>
  <c r="Q228" i="14"/>
  <c r="O228" i="14"/>
  <c r="N228" i="14"/>
  <c r="L228" i="14"/>
  <c r="J228" i="14"/>
  <c r="I228" i="14"/>
  <c r="E228" i="14"/>
  <c r="G227" i="14"/>
  <c r="N226" i="14"/>
  <c r="G226" i="14" s="1"/>
  <c r="F226" i="14"/>
  <c r="E226" i="14"/>
  <c r="N225" i="14"/>
  <c r="N224" i="14" s="1"/>
  <c r="F225" i="14"/>
  <c r="E225" i="14"/>
  <c r="E224" i="14" s="1"/>
  <c r="E221" i="14" s="1"/>
  <c r="Q224" i="14"/>
  <c r="P224" i="14"/>
  <c r="O224" i="14"/>
  <c r="M224" i="14"/>
  <c r="L224" i="14"/>
  <c r="K224" i="14"/>
  <c r="J224" i="14"/>
  <c r="I224" i="14"/>
  <c r="H224" i="14"/>
  <c r="F224" i="14"/>
  <c r="R223" i="14"/>
  <c r="N223" i="14"/>
  <c r="N222" i="14" s="1"/>
  <c r="F223" i="14"/>
  <c r="E223" i="14"/>
  <c r="Q222" i="14"/>
  <c r="Q221" i="14" s="1"/>
  <c r="P222" i="14"/>
  <c r="O222" i="14"/>
  <c r="M222" i="14"/>
  <c r="M221" i="14" s="1"/>
  <c r="L222" i="14"/>
  <c r="K222" i="14"/>
  <c r="J222" i="14"/>
  <c r="I222" i="14"/>
  <c r="I221" i="14" s="1"/>
  <c r="H222" i="14"/>
  <c r="H221" i="14" s="1"/>
  <c r="F222" i="14"/>
  <c r="E222" i="14"/>
  <c r="G209" i="14"/>
  <c r="G208" i="14"/>
  <c r="G207" i="14"/>
  <c r="G202" i="14"/>
  <c r="G201" i="14"/>
  <c r="G200" i="14"/>
  <c r="G199" i="14"/>
  <c r="G198" i="14"/>
  <c r="Q197" i="14"/>
  <c r="O197" i="14"/>
  <c r="N197" i="14"/>
  <c r="N186" i="14" s="1"/>
  <c r="L197" i="14"/>
  <c r="J197" i="14"/>
  <c r="I197" i="14"/>
  <c r="G197" i="14" s="1"/>
  <c r="E197" i="14"/>
  <c r="G196" i="14"/>
  <c r="G195" i="14"/>
  <c r="G194" i="14"/>
  <c r="G193" i="14"/>
  <c r="G192" i="14"/>
  <c r="G191" i="14"/>
  <c r="G190" i="14"/>
  <c r="G189" i="14"/>
  <c r="G188" i="14"/>
  <c r="Q187" i="14"/>
  <c r="Q186" i="14" s="1"/>
  <c r="O187" i="14"/>
  <c r="O186" i="14" s="1"/>
  <c r="O162" i="14" s="1"/>
  <c r="N187" i="14"/>
  <c r="L187" i="14"/>
  <c r="L186" i="14" s="1"/>
  <c r="J187" i="14"/>
  <c r="J186" i="14" s="1"/>
  <c r="I187" i="14"/>
  <c r="E187" i="14"/>
  <c r="E186" i="14"/>
  <c r="G185" i="14"/>
  <c r="G180" i="14"/>
  <c r="G179" i="14"/>
  <c r="G178" i="14"/>
  <c r="G177" i="14"/>
  <c r="G176" i="14"/>
  <c r="G175" i="14"/>
  <c r="Q174" i="14"/>
  <c r="O174" i="14"/>
  <c r="N174" i="14"/>
  <c r="L174" i="14"/>
  <c r="J174" i="14"/>
  <c r="I174" i="14"/>
  <c r="G174" i="14" s="1"/>
  <c r="E174" i="14"/>
  <c r="G173" i="14"/>
  <c r="G172" i="14"/>
  <c r="G171" i="14"/>
  <c r="G170" i="14"/>
  <c r="G169" i="14"/>
  <c r="G168" i="14"/>
  <c r="G167" i="14"/>
  <c r="G166" i="14"/>
  <c r="G165" i="14"/>
  <c r="Q164" i="14"/>
  <c r="Q163" i="14" s="1"/>
  <c r="Q162" i="14" s="1"/>
  <c r="O164" i="14"/>
  <c r="N164" i="14"/>
  <c r="L164" i="14"/>
  <c r="L163" i="14" s="1"/>
  <c r="J164" i="14"/>
  <c r="J163" i="14" s="1"/>
  <c r="I164" i="14"/>
  <c r="E164" i="14"/>
  <c r="O163" i="14"/>
  <c r="I163" i="14"/>
  <c r="E163" i="14"/>
  <c r="E162" i="14" s="1"/>
  <c r="G161" i="14"/>
  <c r="Q160" i="14"/>
  <c r="O160" i="14"/>
  <c r="N160" i="14"/>
  <c r="L160" i="14"/>
  <c r="J160" i="14"/>
  <c r="I160" i="14"/>
  <c r="E160" i="14"/>
  <c r="G159" i="14"/>
  <c r="Q154" i="14"/>
  <c r="O154" i="14"/>
  <c r="N154" i="14"/>
  <c r="L154" i="14"/>
  <c r="J154" i="14"/>
  <c r="I154" i="14"/>
  <c r="E154" i="14"/>
  <c r="G153" i="14"/>
  <c r="Q152" i="14"/>
  <c r="O152" i="14"/>
  <c r="N152" i="14"/>
  <c r="N151" i="14" s="1"/>
  <c r="L152" i="14"/>
  <c r="J152" i="14"/>
  <c r="I152" i="14"/>
  <c r="G152" i="14" s="1"/>
  <c r="E152" i="14"/>
  <c r="O151" i="14"/>
  <c r="I151" i="14"/>
  <c r="G150" i="14"/>
  <c r="Q149" i="14"/>
  <c r="Q148" i="14" s="1"/>
  <c r="O149" i="14"/>
  <c r="N149" i="14"/>
  <c r="N148" i="14" s="1"/>
  <c r="L149" i="14"/>
  <c r="L148" i="14" s="1"/>
  <c r="J149" i="14"/>
  <c r="I149" i="14"/>
  <c r="E149" i="14"/>
  <c r="E148" i="14" s="1"/>
  <c r="O148" i="14"/>
  <c r="J148" i="14"/>
  <c r="I148" i="14"/>
  <c r="G147" i="14"/>
  <c r="Q146" i="14"/>
  <c r="Q141" i="14" s="1"/>
  <c r="O146" i="14"/>
  <c r="N146" i="14"/>
  <c r="L146" i="14"/>
  <c r="J146" i="14"/>
  <c r="I146" i="14"/>
  <c r="E146" i="14"/>
  <c r="G145" i="14"/>
  <c r="Q144" i="14"/>
  <c r="O144" i="14"/>
  <c r="N144" i="14"/>
  <c r="L144" i="14"/>
  <c r="J144" i="14"/>
  <c r="I144" i="14"/>
  <c r="E144" i="14"/>
  <c r="G143" i="14"/>
  <c r="Q142" i="14"/>
  <c r="O142" i="14"/>
  <c r="N142" i="14"/>
  <c r="L142" i="14"/>
  <c r="J142" i="14"/>
  <c r="I142" i="14"/>
  <c r="I141" i="14" s="1"/>
  <c r="E142" i="14"/>
  <c r="O141" i="14"/>
  <c r="N141" i="14"/>
  <c r="G140" i="14"/>
  <c r="Q139" i="14"/>
  <c r="O139" i="14"/>
  <c r="N139" i="14"/>
  <c r="L139" i="14"/>
  <c r="J139" i="14"/>
  <c r="I139" i="14"/>
  <c r="G139" i="14" s="1"/>
  <c r="E139" i="14"/>
  <c r="G138" i="14"/>
  <c r="F138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G136" i="14"/>
  <c r="F136" i="14"/>
  <c r="Q135" i="14"/>
  <c r="O135" i="14"/>
  <c r="N135" i="14"/>
  <c r="L135" i="14"/>
  <c r="L134" i="14" s="1"/>
  <c r="J135" i="14"/>
  <c r="I135" i="14"/>
  <c r="F135" i="14"/>
  <c r="E135" i="14"/>
  <c r="E134" i="14" s="1"/>
  <c r="P134" i="14"/>
  <c r="P133" i="14" s="1"/>
  <c r="N134" i="14"/>
  <c r="M134" i="14"/>
  <c r="K134" i="14"/>
  <c r="H134" i="14"/>
  <c r="F134" i="14" s="1"/>
  <c r="M133" i="14"/>
  <c r="K133" i="14"/>
  <c r="H132" i="14"/>
  <c r="F132" i="14" s="1"/>
  <c r="G132" i="14"/>
  <c r="G127" i="14" s="1"/>
  <c r="G126" i="14" s="1"/>
  <c r="F131" i="14"/>
  <c r="F130" i="14"/>
  <c r="F129" i="14"/>
  <c r="F128" i="14"/>
  <c r="Q127" i="14"/>
  <c r="P127" i="14"/>
  <c r="O127" i="14"/>
  <c r="O126" i="14" s="1"/>
  <c r="N127" i="14"/>
  <c r="N126" i="14" s="1"/>
  <c r="M127" i="14"/>
  <c r="L127" i="14"/>
  <c r="K127" i="14"/>
  <c r="K126" i="14" s="1"/>
  <c r="J127" i="14"/>
  <c r="J126" i="14" s="1"/>
  <c r="I127" i="14"/>
  <c r="E127" i="14"/>
  <c r="Q126" i="14"/>
  <c r="P126" i="14"/>
  <c r="M126" i="14"/>
  <c r="L126" i="14"/>
  <c r="I126" i="14"/>
  <c r="E126" i="14"/>
  <c r="G125" i="14"/>
  <c r="F125" i="14"/>
  <c r="M124" i="14"/>
  <c r="F124" i="14" s="1"/>
  <c r="G124" i="14"/>
  <c r="Q123" i="14"/>
  <c r="P123" i="14"/>
  <c r="O123" i="14"/>
  <c r="N123" i="14"/>
  <c r="N122" i="14" s="1"/>
  <c r="M123" i="14"/>
  <c r="M122" i="14" s="1"/>
  <c r="M7" i="14" s="1"/>
  <c r="M6" i="14" s="1"/>
  <c r="M210" i="14" s="1"/>
  <c r="L123" i="14"/>
  <c r="L122" i="14" s="1"/>
  <c r="L120" i="14" s="1"/>
  <c r="K123" i="14"/>
  <c r="F123" i="14" s="1"/>
  <c r="J123" i="14"/>
  <c r="J122" i="14" s="1"/>
  <c r="J120" i="14" s="1"/>
  <c r="I123" i="14"/>
  <c r="H123" i="14"/>
  <c r="E123" i="14"/>
  <c r="E122" i="14" s="1"/>
  <c r="E120" i="14" s="1"/>
  <c r="Q122" i="14"/>
  <c r="P122" i="14"/>
  <c r="O122" i="14"/>
  <c r="K122" i="14"/>
  <c r="K120" i="14" s="1"/>
  <c r="I122" i="14"/>
  <c r="I120" i="14" s="1"/>
  <c r="H122" i="14"/>
  <c r="F121" i="14"/>
  <c r="P120" i="14"/>
  <c r="G119" i="14"/>
  <c r="F119" i="14"/>
  <c r="Q118" i="14"/>
  <c r="O118" i="14"/>
  <c r="N118" i="14"/>
  <c r="L118" i="14"/>
  <c r="J118" i="14"/>
  <c r="J115" i="14" s="1"/>
  <c r="I118" i="14"/>
  <c r="F118" i="14"/>
  <c r="E118" i="14"/>
  <c r="G117" i="14"/>
  <c r="F117" i="14"/>
  <c r="Q116" i="14"/>
  <c r="O116" i="14"/>
  <c r="O115" i="14" s="1"/>
  <c r="N116" i="14"/>
  <c r="N115" i="14" s="1"/>
  <c r="L116" i="14"/>
  <c r="L115" i="14" s="1"/>
  <c r="J116" i="14"/>
  <c r="I116" i="14"/>
  <c r="I115" i="14" s="1"/>
  <c r="G116" i="14"/>
  <c r="F116" i="14"/>
  <c r="E116" i="14"/>
  <c r="Q115" i="14"/>
  <c r="F115" i="14"/>
  <c r="E115" i="14"/>
  <c r="G114" i="14"/>
  <c r="F114" i="14"/>
  <c r="Q113" i="14"/>
  <c r="Q86" i="14" s="1"/>
  <c r="O113" i="14"/>
  <c r="N113" i="14"/>
  <c r="L113" i="14"/>
  <c r="J113" i="14"/>
  <c r="I113" i="14"/>
  <c r="G113" i="14" s="1"/>
  <c r="F113" i="14"/>
  <c r="E113" i="14"/>
  <c r="G112" i="14"/>
  <c r="F112" i="14"/>
  <c r="G111" i="14"/>
  <c r="F111" i="14"/>
  <c r="Q110" i="14"/>
  <c r="P110" i="14"/>
  <c r="O110" i="14"/>
  <c r="N110" i="14"/>
  <c r="M110" i="14"/>
  <c r="L110" i="14"/>
  <c r="K110" i="14"/>
  <c r="J110" i="14"/>
  <c r="I110" i="14"/>
  <c r="H110" i="14"/>
  <c r="E110" i="14"/>
  <c r="G109" i="14"/>
  <c r="F109" i="14"/>
  <c r="G108" i="14"/>
  <c r="F108" i="14"/>
  <c r="G107" i="14"/>
  <c r="F107" i="14"/>
  <c r="G106" i="14"/>
  <c r="F106" i="14"/>
  <c r="G105" i="14"/>
  <c r="F105" i="14"/>
  <c r="G104" i="14"/>
  <c r="F104" i="14"/>
  <c r="F103" i="14"/>
  <c r="F102" i="14"/>
  <c r="F101" i="14"/>
  <c r="F100" i="14"/>
  <c r="Q99" i="14"/>
  <c r="O99" i="14"/>
  <c r="N99" i="14"/>
  <c r="L99" i="14"/>
  <c r="J99" i="14"/>
  <c r="I99" i="14"/>
  <c r="G99" i="14" s="1"/>
  <c r="F99" i="14"/>
  <c r="E99" i="14"/>
  <c r="E86" i="14" s="1"/>
  <c r="G98" i="14"/>
  <c r="F98" i="14"/>
  <c r="F94" i="14" s="1"/>
  <c r="G97" i="14"/>
  <c r="G94" i="14" s="1"/>
  <c r="F97" i="14"/>
  <c r="G96" i="14"/>
  <c r="F96" i="14"/>
  <c r="G95" i="14"/>
  <c r="F95" i="14"/>
  <c r="Q94" i="14"/>
  <c r="P94" i="14"/>
  <c r="O94" i="14"/>
  <c r="N94" i="14"/>
  <c r="N86" i="14" s="1"/>
  <c r="M94" i="14"/>
  <c r="L94" i="14"/>
  <c r="K94" i="14"/>
  <c r="J94" i="14"/>
  <c r="I94" i="14"/>
  <c r="H94" i="14"/>
  <c r="E94" i="14"/>
  <c r="G93" i="14"/>
  <c r="F93" i="14"/>
  <c r="G92" i="14"/>
  <c r="F92" i="14"/>
  <c r="G91" i="14"/>
  <c r="F91" i="14"/>
  <c r="G90" i="14"/>
  <c r="G89" i="14"/>
  <c r="G88" i="14"/>
  <c r="Q87" i="14"/>
  <c r="P87" i="14"/>
  <c r="O87" i="14"/>
  <c r="N87" i="14"/>
  <c r="M87" i="14"/>
  <c r="L87" i="14"/>
  <c r="L86" i="14" s="1"/>
  <c r="K87" i="14"/>
  <c r="J87" i="14"/>
  <c r="I87" i="14"/>
  <c r="I86" i="14" s="1"/>
  <c r="H87" i="14"/>
  <c r="E87" i="14"/>
  <c r="H86" i="14"/>
  <c r="G85" i="14"/>
  <c r="G84" i="14"/>
  <c r="Q83" i="14"/>
  <c r="O83" i="14"/>
  <c r="N83" i="14"/>
  <c r="L83" i="14"/>
  <c r="J83" i="14"/>
  <c r="G83" i="14" s="1"/>
  <c r="I83" i="14"/>
  <c r="E83" i="14"/>
  <c r="G82" i="14"/>
  <c r="G81" i="14"/>
  <c r="G80" i="14"/>
  <c r="G79" i="14"/>
  <c r="Q78" i="14"/>
  <c r="O78" i="14"/>
  <c r="O74" i="14" s="1"/>
  <c r="N78" i="14"/>
  <c r="L78" i="14"/>
  <c r="J78" i="14"/>
  <c r="G78" i="14" s="1"/>
  <c r="I78" i="14"/>
  <c r="E78" i="14"/>
  <c r="G77" i="14"/>
  <c r="G76" i="14"/>
  <c r="Q75" i="14"/>
  <c r="Q74" i="14" s="1"/>
  <c r="O75" i="14"/>
  <c r="N75" i="14"/>
  <c r="L75" i="14"/>
  <c r="L74" i="14" s="1"/>
  <c r="J75" i="14"/>
  <c r="I75" i="14"/>
  <c r="E75" i="14"/>
  <c r="E74" i="14" s="1"/>
  <c r="G69" i="14"/>
  <c r="G68" i="14"/>
  <c r="G67" i="14"/>
  <c r="Q66" i="14"/>
  <c r="Q60" i="14" s="1"/>
  <c r="O66" i="14"/>
  <c r="N66" i="14"/>
  <c r="L66" i="14"/>
  <c r="J66" i="14"/>
  <c r="I66" i="14"/>
  <c r="E66" i="14"/>
  <c r="G65" i="14"/>
  <c r="G64" i="14"/>
  <c r="G63" i="14"/>
  <c r="G62" i="14"/>
  <c r="Q61" i="14"/>
  <c r="O61" i="14"/>
  <c r="O60" i="14" s="1"/>
  <c r="N61" i="14"/>
  <c r="N60" i="14" s="1"/>
  <c r="L61" i="14"/>
  <c r="L60" i="14" s="1"/>
  <c r="J61" i="14"/>
  <c r="I61" i="14"/>
  <c r="I60" i="14" s="1"/>
  <c r="G60" i="14" s="1"/>
  <c r="E61" i="14"/>
  <c r="J60" i="14"/>
  <c r="E60" i="14"/>
  <c r="G59" i="14"/>
  <c r="G58" i="14"/>
  <c r="G57" i="14"/>
  <c r="G56" i="14"/>
  <c r="G55" i="14"/>
  <c r="G54" i="14"/>
  <c r="Q53" i="14"/>
  <c r="O53" i="14"/>
  <c r="N53" i="14"/>
  <c r="L53" i="14"/>
  <c r="J53" i="14"/>
  <c r="I53" i="14"/>
  <c r="E53" i="14"/>
  <c r="G52" i="14"/>
  <c r="G51" i="14"/>
  <c r="G50" i="14"/>
  <c r="G49" i="14"/>
  <c r="G48" i="14"/>
  <c r="G47" i="14"/>
  <c r="Q42" i="14"/>
  <c r="O42" i="14"/>
  <c r="N42" i="14"/>
  <c r="L42" i="14"/>
  <c r="J42" i="14"/>
  <c r="I42" i="14"/>
  <c r="G42" i="14" s="1"/>
  <c r="E42" i="14"/>
  <c r="G41" i="14"/>
  <c r="G40" i="14"/>
  <c r="Q39" i="14"/>
  <c r="O39" i="14"/>
  <c r="N39" i="14"/>
  <c r="L39" i="14"/>
  <c r="J39" i="14"/>
  <c r="I39" i="14"/>
  <c r="E39" i="14"/>
  <c r="G38" i="14"/>
  <c r="G37" i="14"/>
  <c r="G36" i="14"/>
  <c r="G35" i="14"/>
  <c r="G34" i="14"/>
  <c r="G33" i="14"/>
  <c r="Q32" i="14"/>
  <c r="O32" i="14"/>
  <c r="N32" i="14"/>
  <c r="L32" i="14"/>
  <c r="J32" i="14"/>
  <c r="I32" i="14"/>
  <c r="E32" i="14"/>
  <c r="G31" i="14"/>
  <c r="G30" i="14"/>
  <c r="G29" i="14"/>
  <c r="G28" i="14"/>
  <c r="G27" i="14"/>
  <c r="Q26" i="14"/>
  <c r="O26" i="14"/>
  <c r="N26" i="14"/>
  <c r="L26" i="14"/>
  <c r="J26" i="14"/>
  <c r="G26" i="14" s="1"/>
  <c r="I26" i="14"/>
  <c r="E26" i="14"/>
  <c r="E8" i="14" s="1"/>
  <c r="G25" i="14"/>
  <c r="G24" i="14"/>
  <c r="G23" i="14"/>
  <c r="G22" i="14"/>
  <c r="G21" i="14"/>
  <c r="G20" i="14"/>
  <c r="Q19" i="14"/>
  <c r="O19" i="14"/>
  <c r="N19" i="14"/>
  <c r="L19" i="14"/>
  <c r="J19" i="14"/>
  <c r="I19" i="14"/>
  <c r="G19" i="14"/>
  <c r="E19" i="14"/>
  <c r="G18" i="14"/>
  <c r="Q17" i="14"/>
  <c r="O17" i="14"/>
  <c r="N17" i="14"/>
  <c r="L17" i="14"/>
  <c r="J17" i="14"/>
  <c r="J8" i="14" s="1"/>
  <c r="I17" i="14"/>
  <c r="G17" i="14" s="1"/>
  <c r="E17" i="14"/>
  <c r="G16" i="14"/>
  <c r="G15" i="14"/>
  <c r="G10" i="14"/>
  <c r="Q9" i="14"/>
  <c r="O9" i="14"/>
  <c r="N9" i="14"/>
  <c r="N8" i="14" s="1"/>
  <c r="L9" i="14"/>
  <c r="J9" i="14"/>
  <c r="I9" i="14"/>
  <c r="G9" i="14"/>
  <c r="E9" i="14"/>
  <c r="O8" i="14"/>
  <c r="I8" i="14"/>
  <c r="D133" i="13"/>
  <c r="D128" i="13" s="1"/>
  <c r="D127" i="13" s="1"/>
  <c r="D405" i="13"/>
  <c r="D403" i="13"/>
  <c r="D400" i="13" s="1"/>
  <c r="D125" i="13"/>
  <c r="D124" i="13" s="1"/>
  <c r="D123" i="13" s="1"/>
  <c r="E430" i="13"/>
  <c r="L430" i="13" s="1"/>
  <c r="K374" i="13"/>
  <c r="E98" i="13"/>
  <c r="L98" i="13" s="1"/>
  <c r="E99" i="13"/>
  <c r="E100" i="13"/>
  <c r="L100" i="13" s="1"/>
  <c r="E523" i="13"/>
  <c r="L523" i="13" s="1"/>
  <c r="K522" i="13"/>
  <c r="J522" i="13"/>
  <c r="I522" i="13"/>
  <c r="H522" i="13"/>
  <c r="G522" i="13"/>
  <c r="F522" i="13"/>
  <c r="D522" i="13"/>
  <c r="L521" i="13"/>
  <c r="E521" i="13"/>
  <c r="E520" i="13"/>
  <c r="L520" i="13" s="1"/>
  <c r="L519" i="13"/>
  <c r="E519" i="13"/>
  <c r="E518" i="13"/>
  <c r="L518" i="13" s="1"/>
  <c r="E517" i="13"/>
  <c r="L517" i="13" s="1"/>
  <c r="E516" i="13"/>
  <c r="L516" i="13" s="1"/>
  <c r="E515" i="13"/>
  <c r="L515" i="13" s="1"/>
  <c r="E514" i="13"/>
  <c r="L514" i="13" s="1"/>
  <c r="K513" i="13"/>
  <c r="J513" i="13"/>
  <c r="I513" i="13"/>
  <c r="H513" i="13"/>
  <c r="G513" i="13"/>
  <c r="F513" i="13"/>
  <c r="D513" i="13"/>
  <c r="E512" i="13"/>
  <c r="L512" i="13" s="1"/>
  <c r="L511" i="13"/>
  <c r="E511" i="13"/>
  <c r="E510" i="13"/>
  <c r="L510" i="13" s="1"/>
  <c r="E509" i="13"/>
  <c r="L509" i="13" s="1"/>
  <c r="E508" i="13"/>
  <c r="L508" i="13" s="1"/>
  <c r="E507" i="13"/>
  <c r="L507" i="13" s="1"/>
  <c r="E506" i="13"/>
  <c r="L506" i="13" s="1"/>
  <c r="L505" i="13"/>
  <c r="E505" i="13"/>
  <c r="L504" i="13"/>
  <c r="L503" i="13"/>
  <c r="L502" i="13"/>
  <c r="L501" i="13"/>
  <c r="E500" i="13"/>
  <c r="L500" i="13" s="1"/>
  <c r="K499" i="13"/>
  <c r="K498" i="13" s="1"/>
  <c r="J499" i="13"/>
  <c r="I499" i="13"/>
  <c r="I498" i="13" s="1"/>
  <c r="H499" i="13"/>
  <c r="H498" i="13" s="1"/>
  <c r="G499" i="13"/>
  <c r="G498" i="13" s="1"/>
  <c r="F499" i="13"/>
  <c r="D499" i="13"/>
  <c r="D498" i="13" s="1"/>
  <c r="J498" i="13"/>
  <c r="E497" i="13"/>
  <c r="L497" i="13" s="1"/>
  <c r="K496" i="13"/>
  <c r="J496" i="13"/>
  <c r="I496" i="13"/>
  <c r="H496" i="13"/>
  <c r="G496" i="13"/>
  <c r="F496" i="13"/>
  <c r="E496" i="13" s="1"/>
  <c r="L496" i="13" s="1"/>
  <c r="D496" i="13"/>
  <c r="E495" i="13"/>
  <c r="L495" i="13" s="1"/>
  <c r="K494" i="13"/>
  <c r="J494" i="13"/>
  <c r="I494" i="13"/>
  <c r="H494" i="13"/>
  <c r="G494" i="13"/>
  <c r="F494" i="13"/>
  <c r="D494" i="13"/>
  <c r="L493" i="13"/>
  <c r="E493" i="13"/>
  <c r="K492" i="13"/>
  <c r="J492" i="13"/>
  <c r="I492" i="13"/>
  <c r="H492" i="13"/>
  <c r="G492" i="13"/>
  <c r="F492" i="13"/>
  <c r="D492" i="13"/>
  <c r="L491" i="13"/>
  <c r="E491" i="13"/>
  <c r="E490" i="13"/>
  <c r="L490" i="13" s="1"/>
  <c r="L489" i="13"/>
  <c r="E489" i="13"/>
  <c r="E488" i="13"/>
  <c r="L488" i="13" s="1"/>
  <c r="E487" i="13"/>
  <c r="L487" i="13" s="1"/>
  <c r="L486" i="13"/>
  <c r="E486" i="13"/>
  <c r="L485" i="13"/>
  <c r="E485" i="13"/>
  <c r="K484" i="13"/>
  <c r="J484" i="13"/>
  <c r="J469" i="13" s="1"/>
  <c r="J468" i="13" s="1"/>
  <c r="J537" i="13" s="1"/>
  <c r="I484" i="13"/>
  <c r="H484" i="13"/>
  <c r="G484" i="13"/>
  <c r="F484" i="13"/>
  <c r="D484" i="13"/>
  <c r="E483" i="13"/>
  <c r="L483" i="13" s="1"/>
  <c r="L482" i="13"/>
  <c r="E482" i="13"/>
  <c r="E481" i="13"/>
  <c r="L481" i="13" s="1"/>
  <c r="E480" i="13"/>
  <c r="L480" i="13" s="1"/>
  <c r="E479" i="13"/>
  <c r="L479" i="13" s="1"/>
  <c r="E478" i="13"/>
  <c r="L478" i="13" s="1"/>
  <c r="L477" i="13"/>
  <c r="L476" i="13"/>
  <c r="L475" i="13"/>
  <c r="L474" i="13"/>
  <c r="E473" i="13"/>
  <c r="L473" i="13" s="1"/>
  <c r="E472" i="13"/>
  <c r="L472" i="13" s="1"/>
  <c r="E471" i="13"/>
  <c r="L471" i="13" s="1"/>
  <c r="K470" i="13"/>
  <c r="J470" i="13"/>
  <c r="I470" i="13"/>
  <c r="H470" i="13"/>
  <c r="H469" i="13" s="1"/>
  <c r="H468" i="13" s="1"/>
  <c r="H537" i="13" s="1"/>
  <c r="G470" i="13"/>
  <c r="F470" i="13"/>
  <c r="E470" i="13" s="1"/>
  <c r="L470" i="13" s="1"/>
  <c r="D470" i="13"/>
  <c r="D469" i="13" s="1"/>
  <c r="D468" i="13" s="1"/>
  <c r="D537" i="13" s="1"/>
  <c r="I469" i="13"/>
  <c r="E467" i="13"/>
  <c r="L467" i="13" s="1"/>
  <c r="K466" i="13"/>
  <c r="K465" i="13" s="1"/>
  <c r="J466" i="13"/>
  <c r="J465" i="13" s="1"/>
  <c r="I466" i="13"/>
  <c r="H466" i="13"/>
  <c r="H465" i="13" s="1"/>
  <c r="G466" i="13"/>
  <c r="G465" i="13" s="1"/>
  <c r="F466" i="13"/>
  <c r="F465" i="13" s="1"/>
  <c r="D466" i="13"/>
  <c r="D465" i="13" s="1"/>
  <c r="I465" i="13"/>
  <c r="E464" i="13"/>
  <c r="L464" i="13" s="1"/>
  <c r="L463" i="13"/>
  <c r="E463" i="13"/>
  <c r="K462" i="13"/>
  <c r="J462" i="13"/>
  <c r="I462" i="13"/>
  <c r="H462" i="13"/>
  <c r="G462" i="13"/>
  <c r="F462" i="13"/>
  <c r="D462" i="13"/>
  <c r="E461" i="13"/>
  <c r="L461" i="13" s="1"/>
  <c r="K460" i="13"/>
  <c r="J460" i="13"/>
  <c r="I460" i="13"/>
  <c r="H460" i="13"/>
  <c r="G460" i="13"/>
  <c r="G457" i="13" s="1"/>
  <c r="F460" i="13"/>
  <c r="D460" i="13"/>
  <c r="E459" i="13"/>
  <c r="L459" i="13" s="1"/>
  <c r="K458" i="13"/>
  <c r="J458" i="13"/>
  <c r="I458" i="13"/>
  <c r="H458" i="13"/>
  <c r="G458" i="13"/>
  <c r="F458" i="13"/>
  <c r="E458" i="13" s="1"/>
  <c r="L458" i="13" s="1"/>
  <c r="D458" i="13"/>
  <c r="K457" i="13"/>
  <c r="I457" i="13"/>
  <c r="L456" i="13"/>
  <c r="E456" i="13"/>
  <c r="K455" i="13"/>
  <c r="J455" i="13"/>
  <c r="I455" i="13"/>
  <c r="H455" i="13"/>
  <c r="H454" i="13" s="1"/>
  <c r="G455" i="13"/>
  <c r="F455" i="13"/>
  <c r="F454" i="13" s="1"/>
  <c r="D455" i="13"/>
  <c r="D454" i="13" s="1"/>
  <c r="K454" i="13"/>
  <c r="J454" i="13"/>
  <c r="I454" i="13"/>
  <c r="G454" i="13"/>
  <c r="E453" i="13"/>
  <c r="L453" i="13" s="1"/>
  <c r="K452" i="13"/>
  <c r="J452" i="13"/>
  <c r="I452" i="13"/>
  <c r="H452" i="13"/>
  <c r="G452" i="13"/>
  <c r="F452" i="13"/>
  <c r="D452" i="13"/>
  <c r="E451" i="13"/>
  <c r="L451" i="13" s="1"/>
  <c r="L450" i="13"/>
  <c r="E450" i="13"/>
  <c r="L449" i="13"/>
  <c r="L448" i="13"/>
  <c r="L447" i="13"/>
  <c r="L446" i="13"/>
  <c r="E445" i="13"/>
  <c r="L445" i="13" s="1"/>
  <c r="K444" i="13"/>
  <c r="J444" i="13"/>
  <c r="I444" i="13"/>
  <c r="H444" i="13"/>
  <c r="H441" i="13" s="1"/>
  <c r="G444" i="13"/>
  <c r="F444" i="13"/>
  <c r="D444" i="13"/>
  <c r="E443" i="13"/>
  <c r="L443" i="13" s="1"/>
  <c r="K442" i="13"/>
  <c r="K441" i="13" s="1"/>
  <c r="J442" i="13"/>
  <c r="J441" i="13" s="1"/>
  <c r="I442" i="13"/>
  <c r="H442" i="13"/>
  <c r="G442" i="13"/>
  <c r="F442" i="13"/>
  <c r="D442" i="13"/>
  <c r="I441" i="13"/>
  <c r="L440" i="13"/>
  <c r="E440" i="13"/>
  <c r="K439" i="13"/>
  <c r="J439" i="13"/>
  <c r="I439" i="13"/>
  <c r="H439" i="13"/>
  <c r="G439" i="13"/>
  <c r="F439" i="13"/>
  <c r="D439" i="13"/>
  <c r="L438" i="13"/>
  <c r="E438" i="13"/>
  <c r="K437" i="13"/>
  <c r="J437" i="13"/>
  <c r="I437" i="13"/>
  <c r="H437" i="13"/>
  <c r="G437" i="13"/>
  <c r="F437" i="13"/>
  <c r="E437" i="13" s="1"/>
  <c r="L437" i="13" s="1"/>
  <c r="D437" i="13"/>
  <c r="E436" i="13"/>
  <c r="L436" i="13" s="1"/>
  <c r="K435" i="13"/>
  <c r="J435" i="13"/>
  <c r="I435" i="13"/>
  <c r="H435" i="13"/>
  <c r="G435" i="13"/>
  <c r="F435" i="13"/>
  <c r="D435" i="13"/>
  <c r="E434" i="13"/>
  <c r="L434" i="13" s="1"/>
  <c r="L433" i="13"/>
  <c r="E433" i="13"/>
  <c r="E432" i="13"/>
  <c r="L432" i="13" s="1"/>
  <c r="E431" i="13"/>
  <c r="L431" i="13" s="1"/>
  <c r="E429" i="13"/>
  <c r="L429" i="13" s="1"/>
  <c r="E428" i="13"/>
  <c r="L428" i="13" s="1"/>
  <c r="E427" i="13"/>
  <c r="L427" i="13" s="1"/>
  <c r="E426" i="13"/>
  <c r="L426" i="13" s="1"/>
  <c r="L425" i="13"/>
  <c r="E425" i="13"/>
  <c r="K424" i="13"/>
  <c r="J424" i="13"/>
  <c r="I424" i="13"/>
  <c r="H424" i="13"/>
  <c r="G424" i="13"/>
  <c r="F424" i="13"/>
  <c r="D424" i="13"/>
  <c r="L423" i="13"/>
  <c r="E423" i="13"/>
  <c r="E422" i="13"/>
  <c r="L422" i="13" s="1"/>
  <c r="E421" i="13"/>
  <c r="L421" i="13" s="1"/>
  <c r="E420" i="13"/>
  <c r="L420" i="13" s="1"/>
  <c r="K419" i="13"/>
  <c r="J419" i="13"/>
  <c r="I419" i="13"/>
  <c r="H419" i="13"/>
  <c r="H418" i="13" s="1"/>
  <c r="G419" i="13"/>
  <c r="F419" i="13"/>
  <c r="D419" i="13"/>
  <c r="G418" i="13"/>
  <c r="E416" i="13"/>
  <c r="L416" i="13" s="1"/>
  <c r="K415" i="13"/>
  <c r="J415" i="13"/>
  <c r="I415" i="13"/>
  <c r="H415" i="13"/>
  <c r="G415" i="13"/>
  <c r="E415" i="13" s="1"/>
  <c r="L415" i="13" s="1"/>
  <c r="F415" i="13"/>
  <c r="D415" i="13"/>
  <c r="L414" i="13"/>
  <c r="L413" i="13"/>
  <c r="L412" i="13"/>
  <c r="L411" i="13"/>
  <c r="L410" i="13"/>
  <c r="E410" i="13"/>
  <c r="K409" i="13"/>
  <c r="J409" i="13"/>
  <c r="I409" i="13"/>
  <c r="H409" i="13"/>
  <c r="G409" i="13"/>
  <c r="F409" i="13"/>
  <c r="D409" i="13"/>
  <c r="E408" i="13"/>
  <c r="L408" i="13" s="1"/>
  <c r="E407" i="13"/>
  <c r="L407" i="13" s="1"/>
  <c r="K406" i="13"/>
  <c r="E406" i="13" s="1"/>
  <c r="L406" i="13" s="1"/>
  <c r="J406" i="13"/>
  <c r="I406" i="13"/>
  <c r="H406" i="13"/>
  <c r="G406" i="13"/>
  <c r="F406" i="13"/>
  <c r="D406" i="13"/>
  <c r="E405" i="13"/>
  <c r="K404" i="13"/>
  <c r="J404" i="13"/>
  <c r="I404" i="13"/>
  <c r="H404" i="13"/>
  <c r="G404" i="13"/>
  <c r="F404" i="13"/>
  <c r="D404" i="13"/>
  <c r="E403" i="13"/>
  <c r="L403" i="13" s="1"/>
  <c r="E402" i="13"/>
  <c r="L402" i="13" s="1"/>
  <c r="E401" i="13"/>
  <c r="L401" i="13" s="1"/>
  <c r="K400" i="13"/>
  <c r="J400" i="13"/>
  <c r="I400" i="13"/>
  <c r="H400" i="13"/>
  <c r="G400" i="13"/>
  <c r="F400" i="13"/>
  <c r="E399" i="13"/>
  <c r="L399" i="13" s="1"/>
  <c r="L398" i="13"/>
  <c r="E398" i="13"/>
  <c r="K397" i="13"/>
  <c r="J397" i="13"/>
  <c r="I397" i="13"/>
  <c r="H397" i="13"/>
  <c r="G397" i="13"/>
  <c r="F397" i="13"/>
  <c r="D397" i="13"/>
  <c r="H396" i="13"/>
  <c r="L395" i="13"/>
  <c r="E395" i="13"/>
  <c r="L394" i="13"/>
  <c r="E394" i="13"/>
  <c r="E393" i="13"/>
  <c r="L393" i="13" s="1"/>
  <c r="L392" i="13"/>
  <c r="E392" i="13"/>
  <c r="L391" i="13"/>
  <c r="E391" i="13"/>
  <c r="E390" i="13"/>
  <c r="L390" i="13" s="1"/>
  <c r="L389" i="13"/>
  <c r="E389" i="13"/>
  <c r="L388" i="13"/>
  <c r="E388" i="13"/>
  <c r="E387" i="13"/>
  <c r="L387" i="13" s="1"/>
  <c r="L386" i="13"/>
  <c r="L385" i="13"/>
  <c r="L384" i="13"/>
  <c r="L383" i="13"/>
  <c r="K382" i="13"/>
  <c r="J382" i="13"/>
  <c r="I382" i="13"/>
  <c r="H382" i="13"/>
  <c r="G382" i="13"/>
  <c r="F382" i="13"/>
  <c r="D382" i="13"/>
  <c r="E381" i="13"/>
  <c r="L381" i="13" s="1"/>
  <c r="E380" i="13"/>
  <c r="L380" i="13" s="1"/>
  <c r="E379" i="13"/>
  <c r="L379" i="13" s="1"/>
  <c r="K378" i="13"/>
  <c r="K377" i="13" s="1"/>
  <c r="J378" i="13"/>
  <c r="I378" i="13"/>
  <c r="I377" i="13" s="1"/>
  <c r="H378" i="13"/>
  <c r="H377" i="13" s="1"/>
  <c r="G378" i="13"/>
  <c r="F378" i="13"/>
  <c r="D378" i="13"/>
  <c r="G377" i="13"/>
  <c r="D377" i="13"/>
  <c r="L376" i="13"/>
  <c r="E376" i="13"/>
  <c r="E375" i="13"/>
  <c r="L375" i="13" s="1"/>
  <c r="J374" i="13"/>
  <c r="I374" i="13"/>
  <c r="H374" i="13"/>
  <c r="G374" i="13"/>
  <c r="F374" i="13"/>
  <c r="D374" i="13"/>
  <c r="L373" i="13"/>
  <c r="E373" i="13"/>
  <c r="L372" i="13"/>
  <c r="E372" i="13"/>
  <c r="K371" i="13"/>
  <c r="J371" i="13"/>
  <c r="I371" i="13"/>
  <c r="H371" i="13"/>
  <c r="G371" i="13"/>
  <c r="F371" i="13"/>
  <c r="D371" i="13"/>
  <c r="E370" i="13"/>
  <c r="L370" i="13" s="1"/>
  <c r="L369" i="13"/>
  <c r="E369" i="13"/>
  <c r="K368" i="13"/>
  <c r="J368" i="13"/>
  <c r="I368" i="13"/>
  <c r="H368" i="13"/>
  <c r="G368" i="13"/>
  <c r="F368" i="13"/>
  <c r="E368" i="13" s="1"/>
  <c r="L368" i="13" s="1"/>
  <c r="D368" i="13"/>
  <c r="E367" i="13"/>
  <c r="L367" i="13" s="1"/>
  <c r="L366" i="13"/>
  <c r="E366" i="13"/>
  <c r="K365" i="13"/>
  <c r="J365" i="13"/>
  <c r="I365" i="13"/>
  <c r="H365" i="13"/>
  <c r="H357" i="13" s="1"/>
  <c r="G365" i="13"/>
  <c r="F365" i="13"/>
  <c r="D365" i="13"/>
  <c r="L364" i="13"/>
  <c r="E364" i="13"/>
  <c r="E363" i="13"/>
  <c r="L363" i="13" s="1"/>
  <c r="K362" i="13"/>
  <c r="J362" i="13"/>
  <c r="I362" i="13"/>
  <c r="H362" i="13"/>
  <c r="G362" i="13"/>
  <c r="F362" i="13"/>
  <c r="E362" i="13" s="1"/>
  <c r="L362" i="13" s="1"/>
  <c r="D362" i="13"/>
  <c r="L361" i="13"/>
  <c r="L360" i="13"/>
  <c r="L359" i="13"/>
  <c r="L358" i="13"/>
  <c r="D357" i="13"/>
  <c r="E356" i="13"/>
  <c r="L356" i="13" s="1"/>
  <c r="L355" i="13"/>
  <c r="E355" i="13"/>
  <c r="K354" i="13"/>
  <c r="J354" i="13"/>
  <c r="I354" i="13"/>
  <c r="H354" i="13"/>
  <c r="G354" i="13"/>
  <c r="F354" i="13"/>
  <c r="D354" i="13"/>
  <c r="E353" i="13"/>
  <c r="L353" i="13" s="1"/>
  <c r="E352" i="13"/>
  <c r="L352" i="13" s="1"/>
  <c r="K351" i="13"/>
  <c r="J351" i="13"/>
  <c r="I351" i="13"/>
  <c r="H351" i="13"/>
  <c r="G351" i="13"/>
  <c r="F351" i="13"/>
  <c r="D351" i="13"/>
  <c r="L350" i="13"/>
  <c r="E350" i="13"/>
  <c r="E349" i="13"/>
  <c r="L349" i="13" s="1"/>
  <c r="K348" i="13"/>
  <c r="J348" i="13"/>
  <c r="J344" i="13" s="1"/>
  <c r="I348" i="13"/>
  <c r="H348" i="13"/>
  <c r="G348" i="13"/>
  <c r="E348" i="13" s="1"/>
  <c r="L348" i="13" s="1"/>
  <c r="F348" i="13"/>
  <c r="D348" i="13"/>
  <c r="L347" i="13"/>
  <c r="E347" i="13"/>
  <c r="L346" i="13"/>
  <c r="E346" i="13"/>
  <c r="K345" i="13"/>
  <c r="J345" i="13"/>
  <c r="I345" i="13"/>
  <c r="H345" i="13"/>
  <c r="G345" i="13"/>
  <c r="F345" i="13"/>
  <c r="E345" i="13" s="1"/>
  <c r="L345" i="13" s="1"/>
  <c r="D345" i="13"/>
  <c r="D344" i="13" s="1"/>
  <c r="E343" i="13"/>
  <c r="L343" i="13" s="1"/>
  <c r="L342" i="13"/>
  <c r="E342" i="13"/>
  <c r="E341" i="13"/>
  <c r="L341" i="13" s="1"/>
  <c r="K340" i="13"/>
  <c r="J340" i="13"/>
  <c r="J316" i="13" s="1"/>
  <c r="I340" i="13"/>
  <c r="H340" i="13"/>
  <c r="G340" i="13"/>
  <c r="F340" i="13"/>
  <c r="E340" i="13" s="1"/>
  <c r="L340" i="13" s="1"/>
  <c r="D340" i="13"/>
  <c r="E339" i="13"/>
  <c r="L339" i="13" s="1"/>
  <c r="K338" i="13"/>
  <c r="J338" i="13"/>
  <c r="I338" i="13"/>
  <c r="H338" i="13"/>
  <c r="G338" i="13"/>
  <c r="E338" i="13" s="1"/>
  <c r="L338" i="13" s="1"/>
  <c r="F338" i="13"/>
  <c r="D338" i="13"/>
  <c r="L337" i="13"/>
  <c r="E337" i="13"/>
  <c r="E336" i="13"/>
  <c r="L336" i="13" s="1"/>
  <c r="L335" i="13"/>
  <c r="L334" i="13"/>
  <c r="L333" i="13"/>
  <c r="L332" i="13"/>
  <c r="E331" i="13"/>
  <c r="L331" i="13" s="1"/>
  <c r="L330" i="13"/>
  <c r="E330" i="13"/>
  <c r="L329" i="13"/>
  <c r="E329" i="13"/>
  <c r="E328" i="13"/>
  <c r="L328" i="13" s="1"/>
  <c r="K327" i="13"/>
  <c r="J327" i="13"/>
  <c r="I327" i="13"/>
  <c r="H327" i="13"/>
  <c r="H316" i="13" s="1"/>
  <c r="G327" i="13"/>
  <c r="F327" i="13"/>
  <c r="E327" i="13" s="1"/>
  <c r="L327" i="13" s="1"/>
  <c r="D327" i="13"/>
  <c r="E326" i="13"/>
  <c r="L326" i="13" s="1"/>
  <c r="L325" i="13"/>
  <c r="E325" i="13"/>
  <c r="E324" i="13"/>
  <c r="L324" i="13" s="1"/>
  <c r="E323" i="13"/>
  <c r="L323" i="13" s="1"/>
  <c r="E322" i="13"/>
  <c r="L322" i="13" s="1"/>
  <c r="E321" i="13"/>
  <c r="L321" i="13" s="1"/>
  <c r="E320" i="13"/>
  <c r="L320" i="13" s="1"/>
  <c r="E319" i="13"/>
  <c r="L319" i="13" s="1"/>
  <c r="E318" i="13"/>
  <c r="L318" i="13" s="1"/>
  <c r="K317" i="13"/>
  <c r="J317" i="13"/>
  <c r="I317" i="13"/>
  <c r="H317" i="13"/>
  <c r="G317" i="13"/>
  <c r="F317" i="13"/>
  <c r="D317" i="13"/>
  <c r="D316" i="13" s="1"/>
  <c r="E315" i="13"/>
  <c r="L315" i="13" s="1"/>
  <c r="K314" i="13"/>
  <c r="J314" i="13"/>
  <c r="I314" i="13"/>
  <c r="H314" i="13"/>
  <c r="G314" i="13"/>
  <c r="F314" i="13"/>
  <c r="D314" i="13"/>
  <c r="E313" i="13"/>
  <c r="L313" i="13" s="1"/>
  <c r="E312" i="13"/>
  <c r="L312" i="13" s="1"/>
  <c r="E311" i="13"/>
  <c r="L311" i="13" s="1"/>
  <c r="K310" i="13"/>
  <c r="J310" i="13"/>
  <c r="I310" i="13"/>
  <c r="H310" i="13"/>
  <c r="G310" i="13"/>
  <c r="F310" i="13"/>
  <c r="D310" i="13"/>
  <c r="L309" i="13"/>
  <c r="E309" i="13"/>
  <c r="K308" i="13"/>
  <c r="J308" i="13"/>
  <c r="I308" i="13"/>
  <c r="H308" i="13"/>
  <c r="G308" i="13"/>
  <c r="E308" i="13" s="1"/>
  <c r="L308" i="13" s="1"/>
  <c r="F308" i="13"/>
  <c r="D308" i="13"/>
  <c r="L307" i="13"/>
  <c r="E307" i="13"/>
  <c r="K306" i="13"/>
  <c r="J306" i="13"/>
  <c r="I306" i="13"/>
  <c r="H306" i="13"/>
  <c r="H297" i="13" s="1"/>
  <c r="G306" i="13"/>
  <c r="F306" i="13"/>
  <c r="E306" i="13" s="1"/>
  <c r="L306" i="13" s="1"/>
  <c r="D306" i="13"/>
  <c r="L305" i="13"/>
  <c r="L304" i="13"/>
  <c r="L303" i="13"/>
  <c r="L302" i="13"/>
  <c r="E301" i="13"/>
  <c r="L301" i="13" s="1"/>
  <c r="E300" i="13"/>
  <c r="L300" i="13" s="1"/>
  <c r="E299" i="13"/>
  <c r="L299" i="13" s="1"/>
  <c r="K298" i="13"/>
  <c r="J298" i="13"/>
  <c r="I298" i="13"/>
  <c r="H298" i="13"/>
  <c r="G298" i="13"/>
  <c r="G297" i="13" s="1"/>
  <c r="F298" i="13"/>
  <c r="D298" i="13"/>
  <c r="D297" i="13" s="1"/>
  <c r="I297" i="13"/>
  <c r="E296" i="13"/>
  <c r="L296" i="13" s="1"/>
  <c r="E295" i="13"/>
  <c r="L295" i="13" s="1"/>
  <c r="E294" i="13"/>
  <c r="L294" i="13" s="1"/>
  <c r="E293" i="13"/>
  <c r="L293" i="13" s="1"/>
  <c r="E292" i="13"/>
  <c r="L292" i="13" s="1"/>
  <c r="E291" i="13"/>
  <c r="L291" i="13" s="1"/>
  <c r="E290" i="13"/>
  <c r="L290" i="13" s="1"/>
  <c r="E289" i="13"/>
  <c r="L289" i="13" s="1"/>
  <c r="E288" i="13"/>
  <c r="L288" i="13" s="1"/>
  <c r="K287" i="13"/>
  <c r="J287" i="13"/>
  <c r="I287" i="13"/>
  <c r="H287" i="13"/>
  <c r="G287" i="13"/>
  <c r="F287" i="13"/>
  <c r="D287" i="13"/>
  <c r="E286" i="13"/>
  <c r="L286" i="13" s="1"/>
  <c r="E285" i="13"/>
  <c r="L285" i="13" s="1"/>
  <c r="K284" i="13"/>
  <c r="J284" i="13"/>
  <c r="I284" i="13"/>
  <c r="H284" i="13"/>
  <c r="G284" i="13"/>
  <c r="F284" i="13"/>
  <c r="D284" i="13"/>
  <c r="E283" i="13"/>
  <c r="L283" i="13" s="1"/>
  <c r="E282" i="13"/>
  <c r="L282" i="13" s="1"/>
  <c r="E281" i="13"/>
  <c r="L281" i="13" s="1"/>
  <c r="E280" i="13"/>
  <c r="L280" i="13" s="1"/>
  <c r="E279" i="13"/>
  <c r="L279" i="13" s="1"/>
  <c r="E278" i="13"/>
  <c r="L278" i="13" s="1"/>
  <c r="E277" i="13"/>
  <c r="L277" i="13" s="1"/>
  <c r="K276" i="13"/>
  <c r="J276" i="13"/>
  <c r="I276" i="13"/>
  <c r="H276" i="13"/>
  <c r="G276" i="13"/>
  <c r="F276" i="13"/>
  <c r="D276" i="13"/>
  <c r="E275" i="13"/>
  <c r="L275" i="13" s="1"/>
  <c r="L274" i="13"/>
  <c r="L273" i="13"/>
  <c r="L272" i="13"/>
  <c r="L271" i="13"/>
  <c r="E270" i="13"/>
  <c r="L270" i="13" s="1"/>
  <c r="L269" i="13"/>
  <c r="E269" i="13"/>
  <c r="E268" i="13"/>
  <c r="L268" i="13" s="1"/>
  <c r="E267" i="13"/>
  <c r="L267" i="13" s="1"/>
  <c r="E266" i="13"/>
  <c r="L266" i="13" s="1"/>
  <c r="E265" i="13"/>
  <c r="L265" i="13" s="1"/>
  <c r="E264" i="13"/>
  <c r="L264" i="13" s="1"/>
  <c r="K263" i="13"/>
  <c r="J263" i="13"/>
  <c r="I263" i="13"/>
  <c r="H263" i="13"/>
  <c r="G263" i="13"/>
  <c r="F263" i="13"/>
  <c r="D263" i="13"/>
  <c r="E262" i="13"/>
  <c r="L262" i="13" s="1"/>
  <c r="E261" i="13"/>
  <c r="L261" i="13" s="1"/>
  <c r="E260" i="13"/>
  <c r="L260" i="13" s="1"/>
  <c r="E259" i="13"/>
  <c r="L259" i="13" s="1"/>
  <c r="E258" i="13"/>
  <c r="L258" i="13" s="1"/>
  <c r="K257" i="13"/>
  <c r="J257" i="13"/>
  <c r="I257" i="13"/>
  <c r="H257" i="13"/>
  <c r="G257" i="13"/>
  <c r="G248" i="13" s="1"/>
  <c r="F257" i="13"/>
  <c r="D257" i="13"/>
  <c r="L256" i="13"/>
  <c r="E256" i="13"/>
  <c r="E255" i="13"/>
  <c r="L255" i="13" s="1"/>
  <c r="E254" i="13"/>
  <c r="L254" i="13" s="1"/>
  <c r="E253" i="13"/>
  <c r="L253" i="13" s="1"/>
  <c r="E252" i="13"/>
  <c r="L252" i="13" s="1"/>
  <c r="E251" i="13"/>
  <c r="L251" i="13" s="1"/>
  <c r="E250" i="13"/>
  <c r="L250" i="13" s="1"/>
  <c r="K249" i="13"/>
  <c r="J249" i="13"/>
  <c r="I249" i="13"/>
  <c r="H249" i="13"/>
  <c r="G249" i="13"/>
  <c r="F249" i="13"/>
  <c r="D249" i="13"/>
  <c r="E247" i="13"/>
  <c r="L247" i="13" s="1"/>
  <c r="K246" i="13"/>
  <c r="J246" i="13"/>
  <c r="I246" i="13"/>
  <c r="H246" i="13"/>
  <c r="G246" i="13"/>
  <c r="F246" i="13"/>
  <c r="D246" i="13"/>
  <c r="E245" i="13"/>
  <c r="L245" i="13" s="1"/>
  <c r="K244" i="13"/>
  <c r="J244" i="13"/>
  <c r="I244" i="13"/>
  <c r="H244" i="13"/>
  <c r="H222" i="13" s="1"/>
  <c r="G244" i="13"/>
  <c r="F244" i="13"/>
  <c r="D244" i="13"/>
  <c r="E243" i="13"/>
  <c r="L243" i="13" s="1"/>
  <c r="K242" i="13"/>
  <c r="J242" i="13"/>
  <c r="I242" i="13"/>
  <c r="H242" i="13"/>
  <c r="G242" i="13"/>
  <c r="F242" i="13"/>
  <c r="E242" i="13" s="1"/>
  <c r="L242" i="13" s="1"/>
  <c r="D242" i="13"/>
  <c r="E241" i="13"/>
  <c r="L241" i="13" s="1"/>
  <c r="K240" i="13"/>
  <c r="J240" i="13"/>
  <c r="I240" i="13"/>
  <c r="H240" i="13"/>
  <c r="G240" i="13"/>
  <c r="F240" i="13"/>
  <c r="D240" i="13"/>
  <c r="E239" i="13"/>
  <c r="D239" i="13"/>
  <c r="D231" i="13" s="1"/>
  <c r="L238" i="13"/>
  <c r="E234" i="13"/>
  <c r="L234" i="13" s="1"/>
  <c r="E233" i="13"/>
  <c r="L233" i="13" s="1"/>
  <c r="L232" i="13"/>
  <c r="E232" i="13"/>
  <c r="K231" i="13"/>
  <c r="J231" i="13"/>
  <c r="I231" i="13"/>
  <c r="H231" i="13"/>
  <c r="G231" i="13"/>
  <c r="F231" i="13"/>
  <c r="E230" i="13"/>
  <c r="L230" i="13" s="1"/>
  <c r="K229" i="13"/>
  <c r="J229" i="13"/>
  <c r="I229" i="13"/>
  <c r="H229" i="13"/>
  <c r="G229" i="13"/>
  <c r="F229" i="13"/>
  <c r="D229" i="13"/>
  <c r="E228" i="13"/>
  <c r="L228" i="13" s="1"/>
  <c r="E227" i="13"/>
  <c r="L227" i="13" s="1"/>
  <c r="E226" i="13"/>
  <c r="L226" i="13" s="1"/>
  <c r="K225" i="13"/>
  <c r="J225" i="13"/>
  <c r="I225" i="13"/>
  <c r="H225" i="13"/>
  <c r="G225" i="13"/>
  <c r="F225" i="13"/>
  <c r="D225" i="13"/>
  <c r="E224" i="13"/>
  <c r="L224" i="13" s="1"/>
  <c r="K223" i="13"/>
  <c r="J223" i="13"/>
  <c r="I223" i="13"/>
  <c r="H223" i="13"/>
  <c r="G223" i="13"/>
  <c r="F223" i="13"/>
  <c r="D223" i="13"/>
  <c r="L210" i="13"/>
  <c r="E210" i="13"/>
  <c r="L209" i="13"/>
  <c r="E209" i="13"/>
  <c r="E208" i="13"/>
  <c r="L208" i="13" s="1"/>
  <c r="L207" i="13"/>
  <c r="L206" i="13"/>
  <c r="L205" i="13"/>
  <c r="L204" i="13"/>
  <c r="E203" i="13"/>
  <c r="L203" i="13" s="1"/>
  <c r="L202" i="13"/>
  <c r="E202" i="13"/>
  <c r="L201" i="13"/>
  <c r="E201" i="13"/>
  <c r="E200" i="13"/>
  <c r="L200" i="13" s="1"/>
  <c r="L199" i="13"/>
  <c r="E199" i="13"/>
  <c r="K198" i="13"/>
  <c r="J198" i="13"/>
  <c r="I198" i="13"/>
  <c r="H198" i="13"/>
  <c r="H187" i="13" s="1"/>
  <c r="G198" i="13"/>
  <c r="F198" i="13"/>
  <c r="D198" i="13"/>
  <c r="E197" i="13"/>
  <c r="L197" i="13" s="1"/>
  <c r="E196" i="13"/>
  <c r="L196" i="13" s="1"/>
  <c r="E195" i="13"/>
  <c r="L195" i="13" s="1"/>
  <c r="E194" i="13"/>
  <c r="L194" i="13" s="1"/>
  <c r="E193" i="13"/>
  <c r="L193" i="13" s="1"/>
  <c r="E192" i="13"/>
  <c r="L192" i="13" s="1"/>
  <c r="E191" i="13"/>
  <c r="L191" i="13" s="1"/>
  <c r="E190" i="13"/>
  <c r="L190" i="13" s="1"/>
  <c r="E189" i="13"/>
  <c r="L189" i="13" s="1"/>
  <c r="K188" i="13"/>
  <c r="J188" i="13"/>
  <c r="I188" i="13"/>
  <c r="H188" i="13"/>
  <c r="G188" i="13"/>
  <c r="G187" i="13" s="1"/>
  <c r="F188" i="13"/>
  <c r="D188" i="13"/>
  <c r="D187" i="13" s="1"/>
  <c r="J187" i="13"/>
  <c r="I187" i="13"/>
  <c r="E186" i="13"/>
  <c r="L186" i="13" s="1"/>
  <c r="L185" i="13"/>
  <c r="L184" i="13"/>
  <c r="L183" i="13"/>
  <c r="L182" i="13"/>
  <c r="E181" i="13"/>
  <c r="L181" i="13" s="1"/>
  <c r="E180" i="13"/>
  <c r="L180" i="13" s="1"/>
  <c r="L179" i="13"/>
  <c r="E179" i="13"/>
  <c r="E178" i="13"/>
  <c r="L178" i="13" s="1"/>
  <c r="E177" i="13"/>
  <c r="L177" i="13" s="1"/>
  <c r="E176" i="13"/>
  <c r="L176" i="13" s="1"/>
  <c r="K175" i="13"/>
  <c r="J175" i="13"/>
  <c r="I175" i="13"/>
  <c r="H175" i="13"/>
  <c r="G175" i="13"/>
  <c r="F175" i="13"/>
  <c r="D175" i="13"/>
  <c r="L174" i="13"/>
  <c r="E174" i="13"/>
  <c r="E173" i="13"/>
  <c r="L173" i="13" s="1"/>
  <c r="E172" i="13"/>
  <c r="L172" i="13" s="1"/>
  <c r="E171" i="13"/>
  <c r="L171" i="13" s="1"/>
  <c r="L170" i="13"/>
  <c r="E170" i="13"/>
  <c r="E169" i="13"/>
  <c r="L169" i="13" s="1"/>
  <c r="E168" i="13"/>
  <c r="L168" i="13" s="1"/>
  <c r="E167" i="13"/>
  <c r="L167" i="13" s="1"/>
  <c r="L166" i="13"/>
  <c r="E166" i="13"/>
  <c r="K165" i="13"/>
  <c r="K164" i="13" s="1"/>
  <c r="J165" i="13"/>
  <c r="I165" i="13"/>
  <c r="I164" i="13" s="1"/>
  <c r="I163" i="13" s="1"/>
  <c r="I536" i="13" s="1"/>
  <c r="H165" i="13"/>
  <c r="G165" i="13"/>
  <c r="G164" i="13" s="1"/>
  <c r="F165" i="13"/>
  <c r="D165" i="13"/>
  <c r="D164" i="13" s="1"/>
  <c r="E162" i="13"/>
  <c r="L162" i="13" s="1"/>
  <c r="K161" i="13"/>
  <c r="J161" i="13"/>
  <c r="I161" i="13"/>
  <c r="H161" i="13"/>
  <c r="G161" i="13"/>
  <c r="F161" i="13"/>
  <c r="F152" i="13" s="1"/>
  <c r="D161" i="13"/>
  <c r="L160" i="13"/>
  <c r="E160" i="13"/>
  <c r="L159" i="13"/>
  <c r="L158" i="13"/>
  <c r="L157" i="13"/>
  <c r="L156" i="13"/>
  <c r="K155" i="13"/>
  <c r="K152" i="13" s="1"/>
  <c r="J155" i="13"/>
  <c r="I155" i="13"/>
  <c r="H155" i="13"/>
  <c r="H152" i="13" s="1"/>
  <c r="G155" i="13"/>
  <c r="F155" i="13"/>
  <c r="D155" i="13"/>
  <c r="D152" i="13" s="1"/>
  <c r="E154" i="13"/>
  <c r="L154" i="13" s="1"/>
  <c r="K153" i="13"/>
  <c r="J153" i="13"/>
  <c r="I153" i="13"/>
  <c r="I152" i="13" s="1"/>
  <c r="H153" i="13"/>
  <c r="G153" i="13"/>
  <c r="F153" i="13"/>
  <c r="D153" i="13"/>
  <c r="L151" i="13"/>
  <c r="E151" i="13"/>
  <c r="K150" i="13"/>
  <c r="K149" i="13" s="1"/>
  <c r="J150" i="13"/>
  <c r="I150" i="13"/>
  <c r="I149" i="13" s="1"/>
  <c r="H150" i="13"/>
  <c r="G150" i="13"/>
  <c r="E150" i="13" s="1"/>
  <c r="L150" i="13" s="1"/>
  <c r="F150" i="13"/>
  <c r="D150" i="13"/>
  <c r="D149" i="13" s="1"/>
  <c r="J149" i="13"/>
  <c r="H149" i="13"/>
  <c r="F149" i="13"/>
  <c r="E148" i="13"/>
  <c r="L148" i="13" s="1"/>
  <c r="K147" i="13"/>
  <c r="J147" i="13"/>
  <c r="J142" i="13" s="1"/>
  <c r="I147" i="13"/>
  <c r="H147" i="13"/>
  <c r="G147" i="13"/>
  <c r="F147" i="13"/>
  <c r="D147" i="13"/>
  <c r="E146" i="13"/>
  <c r="L146" i="13" s="1"/>
  <c r="K145" i="13"/>
  <c r="J145" i="13"/>
  <c r="I145" i="13"/>
  <c r="H145" i="13"/>
  <c r="G145" i="13"/>
  <c r="F145" i="13"/>
  <c r="E145" i="13" s="1"/>
  <c r="L145" i="13" s="1"/>
  <c r="D145" i="13"/>
  <c r="E144" i="13"/>
  <c r="L144" i="13" s="1"/>
  <c r="K143" i="13"/>
  <c r="K142" i="13" s="1"/>
  <c r="J143" i="13"/>
  <c r="I143" i="13"/>
  <c r="H143" i="13"/>
  <c r="G143" i="13"/>
  <c r="G142" i="13" s="1"/>
  <c r="F143" i="13"/>
  <c r="D143" i="13"/>
  <c r="I142" i="13"/>
  <c r="D142" i="13"/>
  <c r="E141" i="13"/>
  <c r="L141" i="13" s="1"/>
  <c r="K140" i="13"/>
  <c r="J140" i="13"/>
  <c r="I140" i="13"/>
  <c r="H140" i="13"/>
  <c r="G140" i="13"/>
  <c r="E140" i="13" s="1"/>
  <c r="L140" i="13" s="1"/>
  <c r="F140" i="13"/>
  <c r="D140" i="13"/>
  <c r="E139" i="13"/>
  <c r="L139" i="13" s="1"/>
  <c r="K138" i="13"/>
  <c r="J138" i="13"/>
  <c r="I138" i="13"/>
  <c r="H138" i="13"/>
  <c r="G138" i="13"/>
  <c r="G135" i="13" s="1"/>
  <c r="F138" i="13"/>
  <c r="D138" i="13"/>
  <c r="E137" i="13"/>
  <c r="L137" i="13" s="1"/>
  <c r="K136" i="13"/>
  <c r="J136" i="13"/>
  <c r="I136" i="13"/>
  <c r="I135" i="13" s="1"/>
  <c r="I134" i="13" s="1"/>
  <c r="H136" i="13"/>
  <c r="H135" i="13" s="1"/>
  <c r="G136" i="13"/>
  <c r="F136" i="13"/>
  <c r="E136" i="13" s="1"/>
  <c r="L136" i="13" s="1"/>
  <c r="D136" i="13"/>
  <c r="E133" i="13"/>
  <c r="L132" i="13"/>
  <c r="L131" i="13"/>
  <c r="L130" i="13"/>
  <c r="L129" i="13"/>
  <c r="K128" i="13"/>
  <c r="K127" i="13" s="1"/>
  <c r="J128" i="13"/>
  <c r="J127" i="13" s="1"/>
  <c r="I128" i="13"/>
  <c r="I127" i="13" s="1"/>
  <c r="H128" i="13"/>
  <c r="G128" i="13"/>
  <c r="G127" i="13" s="1"/>
  <c r="F128" i="13"/>
  <c r="H127" i="13"/>
  <c r="E126" i="13"/>
  <c r="L126" i="13" s="1"/>
  <c r="E125" i="13"/>
  <c r="K124" i="13"/>
  <c r="K123" i="13" s="1"/>
  <c r="J124" i="13"/>
  <c r="I124" i="13"/>
  <c r="I123" i="13" s="1"/>
  <c r="H124" i="13"/>
  <c r="G124" i="13"/>
  <c r="F124" i="13"/>
  <c r="F123" i="13" s="1"/>
  <c r="J123" i="13"/>
  <c r="H123" i="13"/>
  <c r="G123" i="13"/>
  <c r="E122" i="13"/>
  <c r="L122" i="13" s="1"/>
  <c r="K121" i="13"/>
  <c r="J121" i="13"/>
  <c r="J118" i="13" s="1"/>
  <c r="I121" i="13"/>
  <c r="H121" i="13"/>
  <c r="G121" i="13"/>
  <c r="F121" i="13"/>
  <c r="D121" i="13"/>
  <c r="E120" i="13"/>
  <c r="L120" i="13" s="1"/>
  <c r="K119" i="13"/>
  <c r="J119" i="13"/>
  <c r="I119" i="13"/>
  <c r="I118" i="13" s="1"/>
  <c r="H119" i="13"/>
  <c r="H118" i="13" s="1"/>
  <c r="G119" i="13"/>
  <c r="G118" i="13" s="1"/>
  <c r="F119" i="13"/>
  <c r="E119" i="13"/>
  <c r="L119" i="13" s="1"/>
  <c r="D119" i="13"/>
  <c r="K118" i="13"/>
  <c r="L117" i="13"/>
  <c r="E117" i="13"/>
  <c r="K116" i="13"/>
  <c r="J116" i="13"/>
  <c r="I116" i="13"/>
  <c r="H116" i="13"/>
  <c r="G116" i="13"/>
  <c r="F116" i="13"/>
  <c r="E116" i="13" s="1"/>
  <c r="L116" i="13" s="1"/>
  <c r="D116" i="13"/>
  <c r="E115" i="13"/>
  <c r="L115" i="13" s="1"/>
  <c r="E114" i="13"/>
  <c r="L114" i="13" s="1"/>
  <c r="K113" i="13"/>
  <c r="J113" i="13"/>
  <c r="I113" i="13"/>
  <c r="H113" i="13"/>
  <c r="G113" i="13"/>
  <c r="F113" i="13"/>
  <c r="D113" i="13"/>
  <c r="L112" i="13"/>
  <c r="E112" i="13"/>
  <c r="L111" i="13"/>
  <c r="E111" i="13"/>
  <c r="E110" i="13"/>
  <c r="L110" i="13" s="1"/>
  <c r="L109" i="13"/>
  <c r="E109" i="13"/>
  <c r="L108" i="13"/>
  <c r="E108" i="13"/>
  <c r="L107" i="13"/>
  <c r="E107" i="13"/>
  <c r="L106" i="13"/>
  <c r="L105" i="13"/>
  <c r="L104" i="13"/>
  <c r="L103" i="13"/>
  <c r="K102" i="13"/>
  <c r="J102" i="13"/>
  <c r="J89" i="13" s="1"/>
  <c r="I102" i="13"/>
  <c r="H102" i="13"/>
  <c r="G102" i="13"/>
  <c r="F102" i="13"/>
  <c r="D102" i="13"/>
  <c r="E101" i="13"/>
  <c r="L101" i="13" s="1"/>
  <c r="L99" i="13"/>
  <c r="K97" i="13"/>
  <c r="J97" i="13"/>
  <c r="I97" i="13"/>
  <c r="H97" i="13"/>
  <c r="G97" i="13"/>
  <c r="F97" i="13"/>
  <c r="D97" i="13"/>
  <c r="E96" i="13"/>
  <c r="L96" i="13" s="1"/>
  <c r="E95" i="13"/>
  <c r="L95" i="13" s="1"/>
  <c r="L94" i="13"/>
  <c r="E94" i="13"/>
  <c r="E93" i="13"/>
  <c r="L93" i="13" s="1"/>
  <c r="E92" i="13"/>
  <c r="L92" i="13" s="1"/>
  <c r="E91" i="13"/>
  <c r="L91" i="13" s="1"/>
  <c r="K90" i="13"/>
  <c r="J90" i="13"/>
  <c r="I90" i="13"/>
  <c r="I89" i="13" s="1"/>
  <c r="H90" i="13"/>
  <c r="G90" i="13"/>
  <c r="F90" i="13"/>
  <c r="E90" i="13"/>
  <c r="L90" i="13" s="1"/>
  <c r="D90" i="13"/>
  <c r="K89" i="13"/>
  <c r="E88" i="13"/>
  <c r="L88" i="13" s="1"/>
  <c r="L87" i="13"/>
  <c r="E87" i="13"/>
  <c r="K86" i="13"/>
  <c r="J86" i="13"/>
  <c r="I86" i="13"/>
  <c r="H86" i="13"/>
  <c r="G86" i="13"/>
  <c r="F86" i="13"/>
  <c r="D86" i="13"/>
  <c r="E85" i="13"/>
  <c r="L85" i="13" s="1"/>
  <c r="E84" i="13"/>
  <c r="L84" i="13" s="1"/>
  <c r="E83" i="13"/>
  <c r="L83" i="13" s="1"/>
  <c r="E82" i="13"/>
  <c r="L82" i="13" s="1"/>
  <c r="K81" i="13"/>
  <c r="J81" i="13"/>
  <c r="I81" i="13"/>
  <c r="H81" i="13"/>
  <c r="G81" i="13"/>
  <c r="F81" i="13"/>
  <c r="D81" i="13"/>
  <c r="E80" i="13"/>
  <c r="L80" i="13" s="1"/>
  <c r="E79" i="13"/>
  <c r="L79" i="13" s="1"/>
  <c r="K78" i="13"/>
  <c r="J78" i="13"/>
  <c r="I78" i="13"/>
  <c r="I77" i="13" s="1"/>
  <c r="H78" i="13"/>
  <c r="G78" i="13"/>
  <c r="G77" i="13" s="1"/>
  <c r="F78" i="13"/>
  <c r="E78" i="13"/>
  <c r="L78" i="13" s="1"/>
  <c r="D78" i="13"/>
  <c r="K77" i="13"/>
  <c r="F77" i="13"/>
  <c r="L76" i="13"/>
  <c r="L75" i="13"/>
  <c r="L74" i="13"/>
  <c r="L73" i="13"/>
  <c r="L72" i="13"/>
  <c r="E72" i="13"/>
  <c r="L71" i="13"/>
  <c r="E71" i="13"/>
  <c r="L70" i="13"/>
  <c r="E70" i="13"/>
  <c r="K69" i="13"/>
  <c r="J69" i="13"/>
  <c r="I69" i="13"/>
  <c r="H69" i="13"/>
  <c r="G69" i="13"/>
  <c r="F69" i="13"/>
  <c r="D69" i="13"/>
  <c r="E68" i="13"/>
  <c r="L68" i="13" s="1"/>
  <c r="L67" i="13"/>
  <c r="E67" i="13"/>
  <c r="E66" i="13"/>
  <c r="L66" i="13" s="1"/>
  <c r="E65" i="13"/>
  <c r="L65" i="13" s="1"/>
  <c r="K64" i="13"/>
  <c r="J64" i="13"/>
  <c r="J63" i="13" s="1"/>
  <c r="I64" i="13"/>
  <c r="I63" i="13" s="1"/>
  <c r="H64" i="13"/>
  <c r="G64" i="13"/>
  <c r="G63" i="13" s="1"/>
  <c r="F64" i="13"/>
  <c r="D64" i="13"/>
  <c r="K63" i="13"/>
  <c r="L62" i="13"/>
  <c r="E62" i="13"/>
  <c r="E61" i="13"/>
  <c r="L61" i="13" s="1"/>
  <c r="E60" i="13"/>
  <c r="L60" i="13" s="1"/>
  <c r="E59" i="13"/>
  <c r="L59" i="13" s="1"/>
  <c r="E58" i="13"/>
  <c r="L58" i="13" s="1"/>
  <c r="E57" i="13"/>
  <c r="L57" i="13" s="1"/>
  <c r="K56" i="13"/>
  <c r="J56" i="13"/>
  <c r="I56" i="13"/>
  <c r="H56" i="13"/>
  <c r="G56" i="13"/>
  <c r="E56" i="13" s="1"/>
  <c r="L56" i="13" s="1"/>
  <c r="F56" i="13"/>
  <c r="D56" i="13"/>
  <c r="L55" i="13"/>
  <c r="E55" i="13"/>
  <c r="E54" i="13"/>
  <c r="L54" i="13" s="1"/>
  <c r="E53" i="13"/>
  <c r="L53" i="13" s="1"/>
  <c r="E52" i="13"/>
  <c r="L52" i="13" s="1"/>
  <c r="E51" i="13"/>
  <c r="L51" i="13" s="1"/>
  <c r="E50" i="13"/>
  <c r="L50" i="13" s="1"/>
  <c r="L49" i="13"/>
  <c r="L48" i="13"/>
  <c r="L47" i="13"/>
  <c r="L46" i="13"/>
  <c r="K45" i="13"/>
  <c r="J45" i="13"/>
  <c r="I45" i="13"/>
  <c r="H45" i="13"/>
  <c r="G45" i="13"/>
  <c r="F45" i="13"/>
  <c r="E45" i="13" s="1"/>
  <c r="L45" i="13" s="1"/>
  <c r="D45" i="13"/>
  <c r="E44" i="13"/>
  <c r="L44" i="13" s="1"/>
  <c r="L43" i="13"/>
  <c r="E43" i="13"/>
  <c r="K42" i="13"/>
  <c r="J42" i="13"/>
  <c r="I42" i="13"/>
  <c r="H42" i="13"/>
  <c r="G42" i="13"/>
  <c r="F42" i="13"/>
  <c r="D42" i="13"/>
  <c r="L41" i="13"/>
  <c r="E41" i="13"/>
  <c r="E40" i="13"/>
  <c r="L40" i="13" s="1"/>
  <c r="E39" i="13"/>
  <c r="L39" i="13" s="1"/>
  <c r="L38" i="13"/>
  <c r="E38" i="13"/>
  <c r="L37" i="13"/>
  <c r="E37" i="13"/>
  <c r="L36" i="13"/>
  <c r="E36" i="13"/>
  <c r="K35" i="13"/>
  <c r="J35" i="13"/>
  <c r="I35" i="13"/>
  <c r="H35" i="13"/>
  <c r="G35" i="13"/>
  <c r="F35" i="13"/>
  <c r="D35" i="13"/>
  <c r="E34" i="13"/>
  <c r="L34" i="13" s="1"/>
  <c r="E33" i="13"/>
  <c r="L33" i="13" s="1"/>
  <c r="E32" i="13"/>
  <c r="L32" i="13" s="1"/>
  <c r="E31" i="13"/>
  <c r="L31" i="13" s="1"/>
  <c r="L30" i="13"/>
  <c r="E30" i="13"/>
  <c r="K29" i="13"/>
  <c r="J29" i="13"/>
  <c r="I29" i="13"/>
  <c r="H29" i="13"/>
  <c r="G29" i="13"/>
  <c r="E29" i="13" s="1"/>
  <c r="L29" i="13" s="1"/>
  <c r="F29" i="13"/>
  <c r="D29" i="13"/>
  <c r="E28" i="13"/>
  <c r="L28" i="13" s="1"/>
  <c r="E27" i="13"/>
  <c r="L27" i="13" s="1"/>
  <c r="E26" i="13"/>
  <c r="L26" i="13" s="1"/>
  <c r="L25" i="13"/>
  <c r="E25" i="13"/>
  <c r="E24" i="13"/>
  <c r="L24" i="13" s="1"/>
  <c r="E23" i="13"/>
  <c r="L23" i="13" s="1"/>
  <c r="K22" i="13"/>
  <c r="J22" i="13"/>
  <c r="J11" i="13" s="1"/>
  <c r="I22" i="13"/>
  <c r="H22" i="13"/>
  <c r="G22" i="13"/>
  <c r="F22" i="13"/>
  <c r="D22" i="13"/>
  <c r="E21" i="13"/>
  <c r="L21" i="13" s="1"/>
  <c r="K20" i="13"/>
  <c r="J20" i="13"/>
  <c r="I20" i="13"/>
  <c r="H20" i="13"/>
  <c r="G20" i="13"/>
  <c r="F20" i="13"/>
  <c r="E20" i="13"/>
  <c r="L20" i="13" s="1"/>
  <c r="D20" i="13"/>
  <c r="E19" i="13"/>
  <c r="L19" i="13" s="1"/>
  <c r="E18" i="13"/>
  <c r="L18" i="13" s="1"/>
  <c r="L17" i="13"/>
  <c r="L16" i="13"/>
  <c r="L15" i="13"/>
  <c r="L14" i="13"/>
  <c r="L13" i="13"/>
  <c r="E13" i="13"/>
  <c r="K12" i="13"/>
  <c r="J12" i="13"/>
  <c r="I12" i="13"/>
  <c r="H12" i="13"/>
  <c r="G12" i="13"/>
  <c r="F12" i="13"/>
  <c r="D12" i="13"/>
  <c r="D11" i="13" s="1"/>
  <c r="M313" i="11"/>
  <c r="G313" i="11" s="1"/>
  <c r="M285" i="11"/>
  <c r="F285" i="11" s="1"/>
  <c r="M124" i="11"/>
  <c r="M123" i="11" s="1"/>
  <c r="M122" i="11" s="1"/>
  <c r="M287" i="11"/>
  <c r="F287" i="11" s="1"/>
  <c r="M251" i="11"/>
  <c r="G540" i="11"/>
  <c r="Q539" i="11"/>
  <c r="O539" i="11"/>
  <c r="N539" i="11"/>
  <c r="L539" i="11"/>
  <c r="J539" i="11"/>
  <c r="I539" i="11"/>
  <c r="E539" i="11"/>
  <c r="G538" i="11"/>
  <c r="G537" i="11"/>
  <c r="G536" i="11"/>
  <c r="G535" i="11"/>
  <c r="G534" i="11"/>
  <c r="G533" i="11"/>
  <c r="G532" i="11"/>
  <c r="G531" i="11"/>
  <c r="Q530" i="11"/>
  <c r="O530" i="11"/>
  <c r="N530" i="11"/>
  <c r="L530" i="11"/>
  <c r="J530" i="11"/>
  <c r="I530" i="11"/>
  <c r="E530" i="11"/>
  <c r="G529" i="11"/>
  <c r="G528" i="11"/>
  <c r="G527" i="11"/>
  <c r="G526" i="11"/>
  <c r="G525" i="11"/>
  <c r="G524" i="11"/>
  <c r="G523" i="11"/>
  <c r="G522" i="11"/>
  <c r="G517" i="11"/>
  <c r="Q516" i="11"/>
  <c r="O516" i="11"/>
  <c r="O515" i="11" s="1"/>
  <c r="N516" i="11"/>
  <c r="L516" i="11"/>
  <c r="J516" i="11"/>
  <c r="I516" i="11"/>
  <c r="E516" i="11"/>
  <c r="N515" i="11"/>
  <c r="G514" i="11"/>
  <c r="Q513" i="11"/>
  <c r="O513" i="11"/>
  <c r="N513" i="11"/>
  <c r="L513" i="11"/>
  <c r="J513" i="11"/>
  <c r="I513" i="11"/>
  <c r="E513" i="11"/>
  <c r="G512" i="11"/>
  <c r="Q511" i="11"/>
  <c r="O511" i="11"/>
  <c r="N511" i="11"/>
  <c r="L511" i="11"/>
  <c r="J511" i="11"/>
  <c r="I511" i="11"/>
  <c r="E511" i="11"/>
  <c r="G510" i="11"/>
  <c r="Q509" i="11"/>
  <c r="O509" i="11"/>
  <c r="N509" i="11"/>
  <c r="L509" i="11"/>
  <c r="J509" i="11"/>
  <c r="I509" i="11"/>
  <c r="E509" i="11"/>
  <c r="G508" i="11"/>
  <c r="G507" i="11"/>
  <c r="G506" i="11"/>
  <c r="G505" i="11"/>
  <c r="G504" i="11"/>
  <c r="G503" i="11"/>
  <c r="G502" i="11"/>
  <c r="Q501" i="11"/>
  <c r="O501" i="11"/>
  <c r="N501" i="11"/>
  <c r="L501" i="11"/>
  <c r="J501" i="11"/>
  <c r="I501" i="11"/>
  <c r="E501" i="11"/>
  <c r="G500" i="11"/>
  <c r="G499" i="11"/>
  <c r="G498" i="11"/>
  <c r="G497" i="11"/>
  <c r="G496" i="11"/>
  <c r="G495" i="11"/>
  <c r="G490" i="11"/>
  <c r="G489" i="11"/>
  <c r="G488" i="11"/>
  <c r="Q487" i="11"/>
  <c r="O487" i="11"/>
  <c r="N487" i="11"/>
  <c r="L487" i="11"/>
  <c r="L486" i="11" s="1"/>
  <c r="J487" i="11"/>
  <c r="J486" i="11" s="1"/>
  <c r="I487" i="11"/>
  <c r="E487" i="11"/>
  <c r="E486" i="11" s="1"/>
  <c r="G484" i="11"/>
  <c r="Q483" i="11"/>
  <c r="O483" i="11"/>
  <c r="O482" i="11" s="1"/>
  <c r="N483" i="11"/>
  <c r="L483" i="11"/>
  <c r="L482" i="11" s="1"/>
  <c r="J483" i="11"/>
  <c r="J482" i="11" s="1"/>
  <c r="I483" i="11"/>
  <c r="I482" i="11" s="1"/>
  <c r="E483" i="11"/>
  <c r="E482" i="11" s="1"/>
  <c r="Q482" i="11"/>
  <c r="N482" i="11"/>
  <c r="G481" i="11"/>
  <c r="G480" i="11"/>
  <c r="Q479" i="11"/>
  <c r="O479" i="11"/>
  <c r="N479" i="11"/>
  <c r="L479" i="11"/>
  <c r="J479" i="11"/>
  <c r="I479" i="11"/>
  <c r="E479" i="11"/>
  <c r="G478" i="11"/>
  <c r="Q477" i="11"/>
  <c r="O477" i="11"/>
  <c r="N477" i="11"/>
  <c r="L477" i="11"/>
  <c r="J477" i="11"/>
  <c r="I477" i="11"/>
  <c r="G477" i="11" s="1"/>
  <c r="E477" i="11"/>
  <c r="G476" i="11"/>
  <c r="Q475" i="11"/>
  <c r="O475" i="11"/>
  <c r="N475" i="11"/>
  <c r="L475" i="11"/>
  <c r="L474" i="11" s="1"/>
  <c r="J475" i="11"/>
  <c r="I475" i="11"/>
  <c r="E475" i="11"/>
  <c r="E474" i="11" s="1"/>
  <c r="G473" i="11"/>
  <c r="Q472" i="11"/>
  <c r="Q471" i="11" s="1"/>
  <c r="O472" i="11"/>
  <c r="N472" i="11"/>
  <c r="L472" i="11"/>
  <c r="L471" i="11" s="1"/>
  <c r="J472" i="11"/>
  <c r="J471" i="11" s="1"/>
  <c r="I472" i="11"/>
  <c r="E472" i="11"/>
  <c r="E471" i="11" s="1"/>
  <c r="O471" i="11"/>
  <c r="N471" i="11"/>
  <c r="I471" i="11"/>
  <c r="G470" i="11"/>
  <c r="Q469" i="11"/>
  <c r="O469" i="11"/>
  <c r="N469" i="11"/>
  <c r="L469" i="11"/>
  <c r="J469" i="11"/>
  <c r="I469" i="11"/>
  <c r="E469" i="11"/>
  <c r="G468" i="11"/>
  <c r="G467" i="11"/>
  <c r="G462" i="11"/>
  <c r="Q461" i="11"/>
  <c r="Q458" i="11" s="1"/>
  <c r="O461" i="11"/>
  <c r="N461" i="11"/>
  <c r="L461" i="11"/>
  <c r="J461" i="11"/>
  <c r="I461" i="11"/>
  <c r="E461" i="11"/>
  <c r="G460" i="11"/>
  <c r="Q459" i="11"/>
  <c r="O459" i="11"/>
  <c r="O458" i="11" s="1"/>
  <c r="N459" i="11"/>
  <c r="L459" i="11"/>
  <c r="J459" i="11"/>
  <c r="J458" i="11" s="1"/>
  <c r="I459" i="11"/>
  <c r="E459" i="11"/>
  <c r="I458" i="11"/>
  <c r="G457" i="11"/>
  <c r="F457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G455" i="11"/>
  <c r="Q454" i="11"/>
  <c r="O454" i="11"/>
  <c r="N454" i="11"/>
  <c r="L454" i="11"/>
  <c r="J454" i="11"/>
  <c r="I454" i="11"/>
  <c r="E454" i="11"/>
  <c r="G453" i="11"/>
  <c r="Q452" i="11"/>
  <c r="O452" i="11"/>
  <c r="N452" i="11"/>
  <c r="L452" i="11"/>
  <c r="J452" i="11"/>
  <c r="I452" i="11"/>
  <c r="E452" i="11"/>
  <c r="G451" i="11"/>
  <c r="G450" i="11"/>
  <c r="G449" i="11"/>
  <c r="G448" i="11"/>
  <c r="H447" i="11"/>
  <c r="H441" i="11" s="1"/>
  <c r="G446" i="11"/>
  <c r="G445" i="11"/>
  <c r="T444" i="11"/>
  <c r="P444" i="11"/>
  <c r="P441" i="11" s="1"/>
  <c r="P443" i="11"/>
  <c r="F443" i="11" s="1"/>
  <c r="G442" i="11"/>
  <c r="Q441" i="11"/>
  <c r="O441" i="11"/>
  <c r="N441" i="11"/>
  <c r="M441" i="11"/>
  <c r="L441" i="11"/>
  <c r="K441" i="11"/>
  <c r="J441" i="11"/>
  <c r="I441" i="11"/>
  <c r="E441" i="11"/>
  <c r="G440" i="11"/>
  <c r="G439" i="11"/>
  <c r="F439" i="11"/>
  <c r="F436" i="11" s="1"/>
  <c r="G438" i="11"/>
  <c r="G437" i="11"/>
  <c r="Q436" i="11"/>
  <c r="Q435" i="11" s="1"/>
  <c r="P436" i="11"/>
  <c r="O436" i="11"/>
  <c r="N436" i="11"/>
  <c r="M436" i="11"/>
  <c r="M435" i="11" s="1"/>
  <c r="M434" i="11" s="1"/>
  <c r="L436" i="11"/>
  <c r="K436" i="11"/>
  <c r="J436" i="11"/>
  <c r="I436" i="11"/>
  <c r="H436" i="11"/>
  <c r="E436" i="11"/>
  <c r="E435" i="11" s="1"/>
  <c r="G433" i="11"/>
  <c r="Q432" i="11"/>
  <c r="O432" i="11"/>
  <c r="N432" i="11"/>
  <c r="L432" i="11"/>
  <c r="J432" i="11"/>
  <c r="I432" i="11"/>
  <c r="E432" i="11"/>
  <c r="G427" i="11"/>
  <c r="Q426" i="11"/>
  <c r="O426" i="11"/>
  <c r="N426" i="11"/>
  <c r="L426" i="11"/>
  <c r="J426" i="11"/>
  <c r="I426" i="11"/>
  <c r="E426" i="11"/>
  <c r="G425" i="11"/>
  <c r="G424" i="11"/>
  <c r="Q423" i="11"/>
  <c r="O423" i="11"/>
  <c r="N423" i="11"/>
  <c r="L423" i="11"/>
  <c r="J423" i="11"/>
  <c r="I423" i="11"/>
  <c r="E423" i="11"/>
  <c r="G422" i="11"/>
  <c r="G421" i="11" s="1"/>
  <c r="F422" i="11"/>
  <c r="F421" i="11" s="1"/>
  <c r="Q421" i="11"/>
  <c r="P421" i="11"/>
  <c r="O421" i="11"/>
  <c r="N421" i="11"/>
  <c r="M421" i="11"/>
  <c r="M413" i="11" s="1"/>
  <c r="L421" i="11"/>
  <c r="K421" i="11"/>
  <c r="J421" i="11"/>
  <c r="I421" i="11"/>
  <c r="H421" i="11"/>
  <c r="E421" i="11"/>
  <c r="E413" i="11" s="1"/>
  <c r="G420" i="11"/>
  <c r="F420" i="11"/>
  <c r="G419" i="11"/>
  <c r="F419" i="11"/>
  <c r="G418" i="11"/>
  <c r="F418" i="11"/>
  <c r="Q417" i="11"/>
  <c r="P417" i="11"/>
  <c r="O417" i="11"/>
  <c r="N417" i="11"/>
  <c r="M417" i="11"/>
  <c r="L417" i="11"/>
  <c r="K417" i="11"/>
  <c r="J417" i="11"/>
  <c r="I417" i="11"/>
  <c r="H417" i="11"/>
  <c r="E417" i="11"/>
  <c r="G416" i="11"/>
  <c r="G414" i="11" s="1"/>
  <c r="F416" i="11"/>
  <c r="G415" i="11"/>
  <c r="Q414" i="11"/>
  <c r="Q413" i="11" s="1"/>
  <c r="P414" i="11"/>
  <c r="P413" i="11" s="1"/>
  <c r="O414" i="11"/>
  <c r="N414" i="11"/>
  <c r="M414" i="11"/>
  <c r="L414" i="11"/>
  <c r="K414" i="11"/>
  <c r="J414" i="11"/>
  <c r="I414" i="11"/>
  <c r="H414" i="11"/>
  <c r="H413" i="11" s="1"/>
  <c r="F414" i="11"/>
  <c r="E414" i="11"/>
  <c r="G412" i="11"/>
  <c r="G411" i="11"/>
  <c r="G410" i="11"/>
  <c r="G409" i="11"/>
  <c r="G408" i="11"/>
  <c r="G407" i="11"/>
  <c r="G406" i="11"/>
  <c r="G405" i="11"/>
  <c r="G404" i="11"/>
  <c r="Q399" i="11"/>
  <c r="O399" i="11"/>
  <c r="N399" i="11"/>
  <c r="L399" i="11"/>
  <c r="J399" i="11"/>
  <c r="I399" i="11"/>
  <c r="E399" i="11"/>
  <c r="G398" i="11"/>
  <c r="G397" i="11"/>
  <c r="G396" i="11"/>
  <c r="Q395" i="11"/>
  <c r="Q394" i="11" s="1"/>
  <c r="O395" i="11"/>
  <c r="N395" i="11"/>
  <c r="L395" i="11"/>
  <c r="J395" i="11"/>
  <c r="I395" i="11"/>
  <c r="E395" i="11"/>
  <c r="E394" i="11" s="1"/>
  <c r="G393" i="11"/>
  <c r="G392" i="11"/>
  <c r="F392" i="11"/>
  <c r="Q391" i="11"/>
  <c r="P391" i="11"/>
  <c r="O391" i="11"/>
  <c r="N391" i="11"/>
  <c r="M391" i="11"/>
  <c r="M374" i="11" s="1"/>
  <c r="L391" i="11"/>
  <c r="K391" i="11"/>
  <c r="K374" i="11" s="1"/>
  <c r="J391" i="11"/>
  <c r="I391" i="11"/>
  <c r="H391" i="11"/>
  <c r="G391" i="11"/>
  <c r="F391" i="11"/>
  <c r="F374" i="11" s="1"/>
  <c r="E391" i="11"/>
  <c r="G390" i="11"/>
  <c r="G389" i="11"/>
  <c r="Q388" i="11"/>
  <c r="O388" i="11"/>
  <c r="N388" i="11"/>
  <c r="L388" i="11"/>
  <c r="J388" i="11"/>
  <c r="I388" i="11"/>
  <c r="E388" i="11"/>
  <c r="G387" i="11"/>
  <c r="G386" i="11"/>
  <c r="Q385" i="11"/>
  <c r="O385" i="11"/>
  <c r="N385" i="11"/>
  <c r="L385" i="11"/>
  <c r="J385" i="11"/>
  <c r="I385" i="11"/>
  <c r="E385" i="11"/>
  <c r="G384" i="11"/>
  <c r="G383" i="11"/>
  <c r="Q382" i="11"/>
  <c r="O382" i="11"/>
  <c r="N382" i="11"/>
  <c r="L382" i="11"/>
  <c r="J382" i="11"/>
  <c r="I382" i="11"/>
  <c r="E382" i="11"/>
  <c r="G381" i="11"/>
  <c r="G380" i="11"/>
  <c r="Q379" i="11"/>
  <c r="O379" i="11"/>
  <c r="N379" i="11"/>
  <c r="N374" i="11" s="1"/>
  <c r="L379" i="11"/>
  <c r="J379" i="11"/>
  <c r="I379" i="11"/>
  <c r="E379" i="11"/>
  <c r="P374" i="11"/>
  <c r="H374" i="11"/>
  <c r="G373" i="11"/>
  <c r="G372" i="11"/>
  <c r="Q371" i="11"/>
  <c r="O371" i="11"/>
  <c r="N371" i="11"/>
  <c r="L371" i="11"/>
  <c r="J371" i="11"/>
  <c r="I371" i="11"/>
  <c r="E371" i="11"/>
  <c r="G370" i="11"/>
  <c r="G369" i="11"/>
  <c r="Q368" i="11"/>
  <c r="O368" i="11"/>
  <c r="N368" i="11"/>
  <c r="L368" i="11"/>
  <c r="J368" i="11"/>
  <c r="I368" i="11"/>
  <c r="E368" i="11"/>
  <c r="G367" i="11"/>
  <c r="G366" i="11"/>
  <c r="Q365" i="11"/>
  <c r="O365" i="11"/>
  <c r="N365" i="11"/>
  <c r="L365" i="11"/>
  <c r="J365" i="11"/>
  <c r="I365" i="11"/>
  <c r="E365" i="11"/>
  <c r="E361" i="11" s="1"/>
  <c r="G364" i="11"/>
  <c r="G363" i="11"/>
  <c r="Q362" i="11"/>
  <c r="O362" i="11"/>
  <c r="N362" i="11"/>
  <c r="L362" i="11"/>
  <c r="J362" i="11"/>
  <c r="I362" i="11"/>
  <c r="I361" i="11" s="1"/>
  <c r="E362" i="11"/>
  <c r="N361" i="11"/>
  <c r="G360" i="11"/>
  <c r="G359" i="11"/>
  <c r="G358" i="11"/>
  <c r="Q357" i="11"/>
  <c r="O357" i="11"/>
  <c r="N357" i="11"/>
  <c r="L357" i="11"/>
  <c r="J357" i="11"/>
  <c r="I357" i="11"/>
  <c r="E357" i="11"/>
  <c r="G356" i="11"/>
  <c r="Q355" i="11"/>
  <c r="O355" i="11"/>
  <c r="N355" i="11"/>
  <c r="L355" i="11"/>
  <c r="J355" i="11"/>
  <c r="I355" i="11"/>
  <c r="E355" i="11"/>
  <c r="G354" i="11"/>
  <c r="G353" i="11"/>
  <c r="G348" i="11"/>
  <c r="G347" i="11"/>
  <c r="G346" i="11"/>
  <c r="G345" i="11"/>
  <c r="Q344" i="11"/>
  <c r="O344" i="11"/>
  <c r="N344" i="11"/>
  <c r="L344" i="11"/>
  <c r="J344" i="11"/>
  <c r="I344" i="11"/>
  <c r="E344" i="11"/>
  <c r="G343" i="11"/>
  <c r="G342" i="11"/>
  <c r="G341" i="11"/>
  <c r="G340" i="11"/>
  <c r="G339" i="11"/>
  <c r="F339" i="11"/>
  <c r="G338" i="11"/>
  <c r="G337" i="11"/>
  <c r="G336" i="11"/>
  <c r="G335" i="11"/>
  <c r="Q334" i="11"/>
  <c r="P334" i="11"/>
  <c r="P333" i="11" s="1"/>
  <c r="O334" i="11"/>
  <c r="N334" i="11"/>
  <c r="M334" i="11"/>
  <c r="M333" i="11" s="1"/>
  <c r="L334" i="11"/>
  <c r="K334" i="11"/>
  <c r="K333" i="11" s="1"/>
  <c r="J334" i="11"/>
  <c r="I334" i="11"/>
  <c r="I333" i="11" s="1"/>
  <c r="H334" i="11"/>
  <c r="F334" i="11"/>
  <c r="F333" i="11" s="1"/>
  <c r="E334" i="11"/>
  <c r="L333" i="11"/>
  <c r="H333" i="11"/>
  <c r="G332" i="11"/>
  <c r="Q331" i="11"/>
  <c r="O331" i="11"/>
  <c r="N331" i="11"/>
  <c r="L331" i="11"/>
  <c r="J331" i="11"/>
  <c r="I331" i="11"/>
  <c r="E331" i="11"/>
  <c r="G330" i="11"/>
  <c r="G329" i="11"/>
  <c r="G328" i="11"/>
  <c r="Q327" i="11"/>
  <c r="O327" i="11"/>
  <c r="N327" i="11"/>
  <c r="L327" i="11"/>
  <c r="L314" i="11" s="1"/>
  <c r="J327" i="11"/>
  <c r="I327" i="11"/>
  <c r="E327" i="11"/>
  <c r="G326" i="11"/>
  <c r="Q325" i="11"/>
  <c r="O325" i="11"/>
  <c r="N325" i="11"/>
  <c r="L325" i="11"/>
  <c r="J325" i="11"/>
  <c r="I325" i="11"/>
  <c r="E325" i="11"/>
  <c r="G324" i="11"/>
  <c r="Q323" i="11"/>
  <c r="O323" i="11"/>
  <c r="N323" i="11"/>
  <c r="N314" i="11" s="1"/>
  <c r="L323" i="11"/>
  <c r="J323" i="11"/>
  <c r="I323" i="11"/>
  <c r="E323" i="11"/>
  <c r="G318" i="11"/>
  <c r="G317" i="11"/>
  <c r="G316" i="11"/>
  <c r="Q315" i="11"/>
  <c r="O315" i="11"/>
  <c r="N315" i="11"/>
  <c r="L315" i="11"/>
  <c r="J315" i="11"/>
  <c r="I315" i="11"/>
  <c r="E315" i="11"/>
  <c r="N313" i="11"/>
  <c r="H313" i="11"/>
  <c r="N312" i="11"/>
  <c r="G312" i="11" s="1"/>
  <c r="F312" i="11"/>
  <c r="G311" i="11"/>
  <c r="F311" i="11"/>
  <c r="F310" i="11"/>
  <c r="F309" i="11"/>
  <c r="F308" i="11"/>
  <c r="F307" i="11"/>
  <c r="M306" i="11"/>
  <c r="M303" i="11" s="1"/>
  <c r="F306" i="11"/>
  <c r="F305" i="11"/>
  <c r="F304" i="11"/>
  <c r="M302" i="11"/>
  <c r="F302" i="11"/>
  <c r="M301" i="11"/>
  <c r="M300" i="11" s="1"/>
  <c r="F300" i="11" s="1"/>
  <c r="F301" i="11"/>
  <c r="F299" i="11"/>
  <c r="F298" i="11"/>
  <c r="F297" i="11"/>
  <c r="F296" i="11"/>
  <c r="M295" i="11"/>
  <c r="M294" i="11" s="1"/>
  <c r="F295" i="11"/>
  <c r="M293" i="11"/>
  <c r="F293" i="11" s="1"/>
  <c r="G292" i="11"/>
  <c r="G291" i="11"/>
  <c r="N290" i="11"/>
  <c r="N286" i="11" s="1"/>
  <c r="M290" i="11"/>
  <c r="F290" i="11" s="1"/>
  <c r="G290" i="11"/>
  <c r="G289" i="11"/>
  <c r="F289" i="11"/>
  <c r="G288" i="11"/>
  <c r="Q286" i="11"/>
  <c r="P286" i="11"/>
  <c r="O286" i="11"/>
  <c r="L286" i="11"/>
  <c r="K286" i="11"/>
  <c r="J286" i="11"/>
  <c r="I286" i="11"/>
  <c r="E286" i="11"/>
  <c r="N285" i="11"/>
  <c r="N283" i="11" s="1"/>
  <c r="G284" i="11"/>
  <c r="F284" i="11"/>
  <c r="Q283" i="11"/>
  <c r="P283" i="11"/>
  <c r="O283" i="11"/>
  <c r="M283" i="11"/>
  <c r="L283" i="11"/>
  <c r="K283" i="11"/>
  <c r="J283" i="11"/>
  <c r="I283" i="11"/>
  <c r="H283" i="11"/>
  <c r="E283" i="11"/>
  <c r="P282" i="11"/>
  <c r="F282" i="11" s="1"/>
  <c r="P281" i="11"/>
  <c r="P275" i="11" s="1"/>
  <c r="G280" i="11"/>
  <c r="G279" i="11"/>
  <c r="M278" i="11"/>
  <c r="F278" i="11" s="1"/>
  <c r="G277" i="11"/>
  <c r="G276" i="11"/>
  <c r="Q275" i="11"/>
  <c r="O275" i="11"/>
  <c r="N275" i="11"/>
  <c r="L275" i="11"/>
  <c r="K275" i="11"/>
  <c r="J275" i="11"/>
  <c r="I275" i="11"/>
  <c r="H275" i="11"/>
  <c r="E275" i="11"/>
  <c r="G274" i="11"/>
  <c r="F274" i="11"/>
  <c r="G269" i="11"/>
  <c r="F269" i="11"/>
  <c r="G268" i="11"/>
  <c r="G267" i="11"/>
  <c r="F267" i="11"/>
  <c r="G266" i="11"/>
  <c r="F266" i="11"/>
  <c r="P265" i="11"/>
  <c r="F265" i="11" s="1"/>
  <c r="M264" i="11"/>
  <c r="M262" i="11" s="1"/>
  <c r="G264" i="11"/>
  <c r="G263" i="11"/>
  <c r="Q262" i="11"/>
  <c r="O262" i="11"/>
  <c r="N262" i="11"/>
  <c r="L262" i="11"/>
  <c r="K262" i="11"/>
  <c r="J262" i="11"/>
  <c r="I262" i="11"/>
  <c r="H262" i="11"/>
  <c r="E262" i="11"/>
  <c r="G261" i="11"/>
  <c r="G260" i="11"/>
  <c r="G259" i="11"/>
  <c r="G258" i="11"/>
  <c r="G257" i="11"/>
  <c r="F257" i="11"/>
  <c r="F256" i="11" s="1"/>
  <c r="Q256" i="11"/>
  <c r="P256" i="11"/>
  <c r="O256" i="11"/>
  <c r="N256" i="11"/>
  <c r="M256" i="11"/>
  <c r="L256" i="11"/>
  <c r="K256" i="11"/>
  <c r="J256" i="11"/>
  <c r="I256" i="11"/>
  <c r="H256" i="11"/>
  <c r="E256" i="11"/>
  <c r="G255" i="11"/>
  <c r="G254" i="11"/>
  <c r="M253" i="11"/>
  <c r="M252" i="11"/>
  <c r="F252" i="11" s="1"/>
  <c r="P251" i="11"/>
  <c r="M250" i="11"/>
  <c r="F250" i="11" s="1"/>
  <c r="G249" i="11"/>
  <c r="F249" i="11"/>
  <c r="Q248" i="11"/>
  <c r="Q247" i="11" s="1"/>
  <c r="P248" i="11"/>
  <c r="O248" i="11"/>
  <c r="N248" i="11"/>
  <c r="L248" i="11"/>
  <c r="K248" i="11"/>
  <c r="J248" i="11"/>
  <c r="I248" i="11"/>
  <c r="I247" i="11" s="1"/>
  <c r="H248" i="11"/>
  <c r="E248" i="11"/>
  <c r="G246" i="11"/>
  <c r="Q245" i="11"/>
  <c r="O245" i="11"/>
  <c r="N245" i="11"/>
  <c r="G245" i="11" s="1"/>
  <c r="L245" i="11"/>
  <c r="J245" i="11"/>
  <c r="I245" i="11"/>
  <c r="E245" i="11"/>
  <c r="G244" i="11"/>
  <c r="Q243" i="11"/>
  <c r="O243" i="11"/>
  <c r="N243" i="11"/>
  <c r="L243" i="11"/>
  <c r="J243" i="11"/>
  <c r="I243" i="11"/>
  <c r="E243" i="11"/>
  <c r="G242" i="11"/>
  <c r="F242" i="11"/>
  <c r="F241" i="11" s="1"/>
  <c r="Q241" i="11"/>
  <c r="P241" i="11"/>
  <c r="O241" i="11"/>
  <c r="N241" i="11"/>
  <c r="M241" i="11"/>
  <c r="L241" i="11"/>
  <c r="K241" i="11"/>
  <c r="J241" i="11"/>
  <c r="I241" i="11"/>
  <c r="H241" i="11"/>
  <c r="G241" i="11"/>
  <c r="E241" i="11"/>
  <c r="G240" i="11"/>
  <c r="F240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G238" i="11"/>
  <c r="F238" i="11"/>
  <c r="M233" i="11"/>
  <c r="F233" i="11" s="1"/>
  <c r="G232" i="11"/>
  <c r="G231" i="11"/>
  <c r="Q230" i="11"/>
  <c r="P230" i="11"/>
  <c r="O230" i="11"/>
  <c r="N230" i="11"/>
  <c r="L230" i="11"/>
  <c r="K230" i="11"/>
  <c r="J230" i="11"/>
  <c r="I230" i="11"/>
  <c r="H230" i="11"/>
  <c r="E230" i="11"/>
  <c r="G229" i="11"/>
  <c r="Q228" i="11"/>
  <c r="O228" i="11"/>
  <c r="N228" i="11"/>
  <c r="L228" i="11"/>
  <c r="J228" i="11"/>
  <c r="I228" i="11"/>
  <c r="E228" i="11"/>
  <c r="G227" i="11"/>
  <c r="N226" i="11"/>
  <c r="G226" i="11" s="1"/>
  <c r="F226" i="11"/>
  <c r="E226" i="11"/>
  <c r="N225" i="11"/>
  <c r="G225" i="11" s="1"/>
  <c r="F225" i="11"/>
  <c r="E225" i="11"/>
  <c r="E224" i="11" s="1"/>
  <c r="Q224" i="11"/>
  <c r="P224" i="11"/>
  <c r="O224" i="11"/>
  <c r="M224" i="11"/>
  <c r="L224" i="11"/>
  <c r="K224" i="11"/>
  <c r="J224" i="11"/>
  <c r="I224" i="11"/>
  <c r="H224" i="11"/>
  <c r="R223" i="11"/>
  <c r="N223" i="11"/>
  <c r="G223" i="11" s="1"/>
  <c r="G222" i="11" s="1"/>
  <c r="F223" i="11"/>
  <c r="F222" i="11" s="1"/>
  <c r="E223" i="11"/>
  <c r="E222" i="11" s="1"/>
  <c r="Q222" i="11"/>
  <c r="P222" i="11"/>
  <c r="O222" i="11"/>
  <c r="M222" i="11"/>
  <c r="L222" i="11"/>
  <c r="K222" i="11"/>
  <c r="J222" i="11"/>
  <c r="I222" i="11"/>
  <c r="H222" i="11"/>
  <c r="G209" i="11"/>
  <c r="G208" i="11"/>
  <c r="G207" i="11"/>
  <c r="G202" i="11"/>
  <c r="G201" i="11"/>
  <c r="G200" i="11"/>
  <c r="G199" i="11"/>
  <c r="G198" i="11"/>
  <c r="Q197" i="11"/>
  <c r="O197" i="11"/>
  <c r="N197" i="11"/>
  <c r="L197" i="11"/>
  <c r="J197" i="11"/>
  <c r="I197" i="11"/>
  <c r="E197" i="11"/>
  <c r="G196" i="11"/>
  <c r="G195" i="11"/>
  <c r="G194" i="11"/>
  <c r="G193" i="11"/>
  <c r="G192" i="11"/>
  <c r="G191" i="11"/>
  <c r="G190" i="11"/>
  <c r="G189" i="11"/>
  <c r="G188" i="11"/>
  <c r="Q187" i="11"/>
  <c r="O187" i="11"/>
  <c r="O186" i="11" s="1"/>
  <c r="N187" i="11"/>
  <c r="L187" i="11"/>
  <c r="L186" i="11" s="1"/>
  <c r="J187" i="11"/>
  <c r="I187" i="11"/>
  <c r="E187" i="11"/>
  <c r="E186" i="11"/>
  <c r="G185" i="11"/>
  <c r="G180" i="11"/>
  <c r="G179" i="11"/>
  <c r="G178" i="11"/>
  <c r="G177" i="11"/>
  <c r="G176" i="11"/>
  <c r="G175" i="11"/>
  <c r="Q174" i="11"/>
  <c r="O174" i="11"/>
  <c r="N174" i="11"/>
  <c r="L174" i="11"/>
  <c r="L163" i="11" s="1"/>
  <c r="L162" i="11" s="1"/>
  <c r="J174" i="11"/>
  <c r="I174" i="11"/>
  <c r="E174" i="11"/>
  <c r="E163" i="11" s="1"/>
  <c r="E162" i="11" s="1"/>
  <c r="G173" i="11"/>
  <c r="G172" i="11"/>
  <c r="G171" i="11"/>
  <c r="G170" i="11"/>
  <c r="G169" i="11"/>
  <c r="G168" i="11"/>
  <c r="G167" i="11"/>
  <c r="G166" i="11"/>
  <c r="G165" i="11"/>
  <c r="Q164" i="11"/>
  <c r="O164" i="11"/>
  <c r="N164" i="11"/>
  <c r="L164" i="11"/>
  <c r="J164" i="11"/>
  <c r="I164" i="11"/>
  <c r="I163" i="11" s="1"/>
  <c r="E164" i="11"/>
  <c r="G161" i="11"/>
  <c r="Q160" i="11"/>
  <c r="O160" i="11"/>
  <c r="N160" i="11"/>
  <c r="L160" i="11"/>
  <c r="J160" i="11"/>
  <c r="I160" i="11"/>
  <c r="E160" i="11"/>
  <c r="G159" i="11"/>
  <c r="Q154" i="11"/>
  <c r="O154" i="11"/>
  <c r="N154" i="11"/>
  <c r="L154" i="11"/>
  <c r="J154" i="11"/>
  <c r="I154" i="11"/>
  <c r="E154" i="11"/>
  <c r="G153" i="11"/>
  <c r="Q152" i="11"/>
  <c r="O152" i="11"/>
  <c r="N152" i="11"/>
  <c r="L152" i="11"/>
  <c r="J152" i="11"/>
  <c r="J151" i="11" s="1"/>
  <c r="I152" i="11"/>
  <c r="E152" i="11"/>
  <c r="G150" i="11"/>
  <c r="Q149" i="11"/>
  <c r="O149" i="11"/>
  <c r="O148" i="11" s="1"/>
  <c r="N149" i="11"/>
  <c r="N148" i="11" s="1"/>
  <c r="L149" i="11"/>
  <c r="J149" i="11"/>
  <c r="J148" i="11" s="1"/>
  <c r="I149" i="11"/>
  <c r="G149" i="11" s="1"/>
  <c r="E149" i="11"/>
  <c r="E148" i="11" s="1"/>
  <c r="Q148" i="11"/>
  <c r="L148" i="11"/>
  <c r="G147" i="11"/>
  <c r="Q146" i="11"/>
  <c r="O146" i="11"/>
  <c r="N146" i="11"/>
  <c r="L146" i="11"/>
  <c r="J146" i="11"/>
  <c r="I146" i="11"/>
  <c r="G146" i="11" s="1"/>
  <c r="E146" i="11"/>
  <c r="G145" i="11"/>
  <c r="Q144" i="11"/>
  <c r="O144" i="11"/>
  <c r="N144" i="11"/>
  <c r="L144" i="11"/>
  <c r="J144" i="11"/>
  <c r="I144" i="11"/>
  <c r="E144" i="11"/>
  <c r="G143" i="11"/>
  <c r="Q142" i="11"/>
  <c r="Q141" i="11" s="1"/>
  <c r="O142" i="11"/>
  <c r="N142" i="11"/>
  <c r="L142" i="11"/>
  <c r="J142" i="11"/>
  <c r="J141" i="11" s="1"/>
  <c r="I142" i="11"/>
  <c r="E142" i="11"/>
  <c r="G140" i="11"/>
  <c r="Q139" i="11"/>
  <c r="O139" i="11"/>
  <c r="N139" i="11"/>
  <c r="L139" i="11"/>
  <c r="J139" i="11"/>
  <c r="I139" i="11"/>
  <c r="E139" i="11"/>
  <c r="G138" i="11"/>
  <c r="G137" i="11" s="1"/>
  <c r="F138" i="11"/>
  <c r="Q137" i="11"/>
  <c r="P137" i="11"/>
  <c r="O137" i="11"/>
  <c r="N137" i="11"/>
  <c r="M137" i="11"/>
  <c r="L137" i="11"/>
  <c r="K137" i="11"/>
  <c r="J137" i="11"/>
  <c r="I137" i="11"/>
  <c r="H137" i="11"/>
  <c r="E137" i="11"/>
  <c r="G136" i="11"/>
  <c r="F136" i="11"/>
  <c r="Q135" i="11"/>
  <c r="Q134" i="11" s="1"/>
  <c r="O135" i="11"/>
  <c r="N135" i="11"/>
  <c r="L135" i="11"/>
  <c r="J135" i="11"/>
  <c r="J134" i="11" s="1"/>
  <c r="I135" i="11"/>
  <c r="F135" i="11"/>
  <c r="E135" i="11"/>
  <c r="P134" i="11"/>
  <c r="P133" i="11" s="1"/>
  <c r="M134" i="11"/>
  <c r="M133" i="11" s="1"/>
  <c r="L134" i="11"/>
  <c r="K134" i="11"/>
  <c r="H134" i="11"/>
  <c r="F134" i="11" s="1"/>
  <c r="K133" i="11"/>
  <c r="H132" i="11"/>
  <c r="G132" i="11"/>
  <c r="F131" i="11"/>
  <c r="F130" i="11"/>
  <c r="F129" i="11"/>
  <c r="F128" i="11"/>
  <c r="Q127" i="11"/>
  <c r="Q126" i="11" s="1"/>
  <c r="P127" i="11"/>
  <c r="P126" i="11" s="1"/>
  <c r="O127" i="11"/>
  <c r="O126" i="11" s="1"/>
  <c r="N127" i="11"/>
  <c r="M127" i="11"/>
  <c r="M126" i="11" s="1"/>
  <c r="L127" i="11"/>
  <c r="L126" i="11" s="1"/>
  <c r="K127" i="11"/>
  <c r="J127" i="11"/>
  <c r="J126" i="11" s="1"/>
  <c r="I127" i="11"/>
  <c r="I126" i="11" s="1"/>
  <c r="G127" i="11"/>
  <c r="G126" i="11" s="1"/>
  <c r="E127" i="11"/>
  <c r="E126" i="11" s="1"/>
  <c r="N126" i="11"/>
  <c r="G125" i="11"/>
  <c r="F125" i="11"/>
  <c r="Q123" i="11"/>
  <c r="P123" i="11"/>
  <c r="P122" i="11" s="1"/>
  <c r="O123" i="11"/>
  <c r="O122" i="11" s="1"/>
  <c r="N123" i="11"/>
  <c r="N122" i="11" s="1"/>
  <c r="L123" i="11"/>
  <c r="L122" i="11" s="1"/>
  <c r="L120" i="11" s="1"/>
  <c r="K123" i="11"/>
  <c r="K122" i="11" s="1"/>
  <c r="K120" i="11" s="1"/>
  <c r="J123" i="11"/>
  <c r="J122" i="11" s="1"/>
  <c r="J120" i="11" s="1"/>
  <c r="I123" i="11"/>
  <c r="I122" i="11" s="1"/>
  <c r="I120" i="11" s="1"/>
  <c r="H123" i="11"/>
  <c r="E123" i="11"/>
  <c r="Q122" i="11"/>
  <c r="E122" i="11"/>
  <c r="E120" i="11" s="1"/>
  <c r="F121" i="11"/>
  <c r="P120" i="11"/>
  <c r="G119" i="11"/>
  <c r="F119" i="11"/>
  <c r="Q118" i="11"/>
  <c r="O118" i="11"/>
  <c r="N118" i="11"/>
  <c r="L118" i="11"/>
  <c r="J118" i="11"/>
  <c r="I118" i="11"/>
  <c r="F118" i="11"/>
  <c r="E118" i="11"/>
  <c r="G117" i="11"/>
  <c r="F117" i="11"/>
  <c r="Q116" i="11"/>
  <c r="O116" i="11"/>
  <c r="O115" i="11" s="1"/>
  <c r="N116" i="11"/>
  <c r="L116" i="11"/>
  <c r="J116" i="11"/>
  <c r="G116" i="11" s="1"/>
  <c r="I116" i="11"/>
  <c r="F116" i="11"/>
  <c r="E116" i="11"/>
  <c r="E115" i="11" s="1"/>
  <c r="L115" i="11"/>
  <c r="F115" i="11"/>
  <c r="G114" i="11"/>
  <c r="F114" i="11"/>
  <c r="Q113" i="11"/>
  <c r="O113" i="11"/>
  <c r="N113" i="11"/>
  <c r="L113" i="11"/>
  <c r="J113" i="11"/>
  <c r="I113" i="11"/>
  <c r="F113" i="11"/>
  <c r="E113" i="11"/>
  <c r="G112" i="11"/>
  <c r="F112" i="11"/>
  <c r="G111" i="11"/>
  <c r="F111" i="11"/>
  <c r="Q110" i="11"/>
  <c r="P110" i="11"/>
  <c r="O110" i="11"/>
  <c r="N110" i="11"/>
  <c r="M110" i="11"/>
  <c r="L110" i="11"/>
  <c r="K110" i="11"/>
  <c r="J110" i="11"/>
  <c r="I110" i="11"/>
  <c r="H110" i="11"/>
  <c r="G110" i="11"/>
  <c r="E110" i="11"/>
  <c r="G109" i="11"/>
  <c r="F109" i="11"/>
  <c r="G108" i="11"/>
  <c r="F108" i="11"/>
  <c r="G107" i="11"/>
  <c r="F107" i="11"/>
  <c r="G106" i="11"/>
  <c r="F106" i="11"/>
  <c r="G105" i="11"/>
  <c r="F105" i="11"/>
  <c r="G104" i="11"/>
  <c r="F104" i="11"/>
  <c r="F103" i="11"/>
  <c r="F102" i="11"/>
  <c r="F101" i="11"/>
  <c r="F100" i="11"/>
  <c r="Q99" i="11"/>
  <c r="O99" i="11"/>
  <c r="N99" i="11"/>
  <c r="L99" i="11"/>
  <c r="J99" i="11"/>
  <c r="I99" i="11"/>
  <c r="G99" i="11" s="1"/>
  <c r="F99" i="11"/>
  <c r="E99" i="11"/>
  <c r="G98" i="11"/>
  <c r="F98" i="11"/>
  <c r="G97" i="11"/>
  <c r="F97" i="11"/>
  <c r="G96" i="11"/>
  <c r="F96" i="11"/>
  <c r="G95" i="11"/>
  <c r="F95" i="11"/>
  <c r="Q94" i="11"/>
  <c r="P94" i="11"/>
  <c r="O94" i="11"/>
  <c r="N94" i="11"/>
  <c r="M94" i="11"/>
  <c r="L94" i="11"/>
  <c r="K94" i="11"/>
  <c r="J94" i="11"/>
  <c r="I94" i="11"/>
  <c r="H94" i="11"/>
  <c r="E94" i="11"/>
  <c r="G93" i="11"/>
  <c r="F93" i="11"/>
  <c r="G92" i="11"/>
  <c r="F92" i="11"/>
  <c r="G91" i="11"/>
  <c r="F91" i="11"/>
  <c r="G90" i="11"/>
  <c r="G89" i="11"/>
  <c r="G88" i="11"/>
  <c r="Q87" i="11"/>
  <c r="P87" i="11"/>
  <c r="O87" i="11"/>
  <c r="O86" i="11" s="1"/>
  <c r="N87" i="11"/>
  <c r="M87" i="11"/>
  <c r="L87" i="11"/>
  <c r="K87" i="11"/>
  <c r="J87" i="11"/>
  <c r="I87" i="11"/>
  <c r="H87" i="11"/>
  <c r="F87" i="11"/>
  <c r="E87" i="11"/>
  <c r="G85" i="11"/>
  <c r="G84" i="11"/>
  <c r="Q83" i="11"/>
  <c r="O83" i="11"/>
  <c r="N83" i="11"/>
  <c r="L83" i="11"/>
  <c r="J83" i="11"/>
  <c r="I83" i="11"/>
  <c r="E83" i="11"/>
  <c r="G82" i="11"/>
  <c r="G81" i="11"/>
  <c r="G80" i="11"/>
  <c r="G79" i="11"/>
  <c r="Q78" i="11"/>
  <c r="O78" i="11"/>
  <c r="N78" i="11"/>
  <c r="L78" i="11"/>
  <c r="J78" i="11"/>
  <c r="I78" i="11"/>
  <c r="E78" i="11"/>
  <c r="G77" i="11"/>
  <c r="G76" i="11"/>
  <c r="Q75" i="11"/>
  <c r="O75" i="11"/>
  <c r="N75" i="11"/>
  <c r="N74" i="11" s="1"/>
  <c r="L75" i="11"/>
  <c r="L74" i="11" s="1"/>
  <c r="J75" i="11"/>
  <c r="I75" i="11"/>
  <c r="G75" i="11" s="1"/>
  <c r="E75" i="11"/>
  <c r="E74" i="11" s="1"/>
  <c r="G69" i="11"/>
  <c r="G68" i="11"/>
  <c r="G67" i="11"/>
  <c r="Q66" i="11"/>
  <c r="O66" i="11"/>
  <c r="N66" i="11"/>
  <c r="L66" i="11"/>
  <c r="L60" i="11" s="1"/>
  <c r="J66" i="11"/>
  <c r="I66" i="11"/>
  <c r="E66" i="11"/>
  <c r="G65" i="11"/>
  <c r="G64" i="11"/>
  <c r="G63" i="11"/>
  <c r="G62" i="11"/>
  <c r="Q61" i="11"/>
  <c r="O61" i="11"/>
  <c r="N61" i="11"/>
  <c r="N60" i="11" s="1"/>
  <c r="L61" i="11"/>
  <c r="J61" i="11"/>
  <c r="J60" i="11" s="1"/>
  <c r="I61" i="11"/>
  <c r="E61" i="11"/>
  <c r="I60" i="11"/>
  <c r="G59" i="11"/>
  <c r="G58" i="11"/>
  <c r="G57" i="11"/>
  <c r="G56" i="11"/>
  <c r="G55" i="11"/>
  <c r="G54" i="11"/>
  <c r="Q53" i="11"/>
  <c r="O53" i="11"/>
  <c r="N53" i="11"/>
  <c r="L53" i="11"/>
  <c r="J53" i="11"/>
  <c r="I53" i="11"/>
  <c r="E53" i="11"/>
  <c r="G52" i="11"/>
  <c r="G51" i="11"/>
  <c r="G50" i="11"/>
  <c r="G49" i="11"/>
  <c r="G48" i="11"/>
  <c r="G47" i="11"/>
  <c r="Q42" i="11"/>
  <c r="O42" i="11"/>
  <c r="N42" i="11"/>
  <c r="L42" i="11"/>
  <c r="J42" i="11"/>
  <c r="I42" i="11"/>
  <c r="E42" i="11"/>
  <c r="G41" i="11"/>
  <c r="G40" i="11"/>
  <c r="Q39" i="11"/>
  <c r="O39" i="11"/>
  <c r="N39" i="11"/>
  <c r="L39" i="11"/>
  <c r="J39" i="11"/>
  <c r="I39" i="11"/>
  <c r="E39" i="11"/>
  <c r="G38" i="11"/>
  <c r="G37" i="11"/>
  <c r="G36" i="11"/>
  <c r="G35" i="11"/>
  <c r="G34" i="11"/>
  <c r="G33" i="11"/>
  <c r="Q32" i="11"/>
  <c r="O32" i="11"/>
  <c r="N32" i="11"/>
  <c r="L32" i="11"/>
  <c r="J32" i="11"/>
  <c r="I32" i="11"/>
  <c r="E32" i="11"/>
  <c r="G31" i="11"/>
  <c r="G30" i="11"/>
  <c r="G29" i="11"/>
  <c r="G28" i="11"/>
  <c r="G27" i="11"/>
  <c r="Q26" i="11"/>
  <c r="O26" i="11"/>
  <c r="N26" i="11"/>
  <c r="L26" i="11"/>
  <c r="J26" i="11"/>
  <c r="I26" i="11"/>
  <c r="E26" i="11"/>
  <c r="G25" i="11"/>
  <c r="G24" i="11"/>
  <c r="G23" i="11"/>
  <c r="G22" i="11"/>
  <c r="G21" i="11"/>
  <c r="G20" i="11"/>
  <c r="Q19" i="11"/>
  <c r="O19" i="11"/>
  <c r="N19" i="11"/>
  <c r="L19" i="11"/>
  <c r="J19" i="11"/>
  <c r="I19" i="11"/>
  <c r="E19" i="11"/>
  <c r="G18" i="11"/>
  <c r="Q17" i="11"/>
  <c r="O17" i="11"/>
  <c r="N17" i="11"/>
  <c r="L17" i="11"/>
  <c r="J17" i="11"/>
  <c r="I17" i="11"/>
  <c r="G17" i="11" s="1"/>
  <c r="E17" i="11"/>
  <c r="G16" i="11"/>
  <c r="G15" i="11"/>
  <c r="G10" i="11"/>
  <c r="Q9" i="11"/>
  <c r="O9" i="11"/>
  <c r="N9" i="11"/>
  <c r="L9" i="11"/>
  <c r="J9" i="11"/>
  <c r="I9" i="11"/>
  <c r="E9" i="11"/>
  <c r="Q8" i="11"/>
  <c r="D125" i="10"/>
  <c r="D124" i="10" s="1"/>
  <c r="D123" i="10" s="1"/>
  <c r="H132" i="9"/>
  <c r="F132" i="9" s="1"/>
  <c r="E425" i="10"/>
  <c r="L425" i="10" s="1"/>
  <c r="E426" i="10"/>
  <c r="L426" i="10" s="1"/>
  <c r="D239" i="10"/>
  <c r="D231" i="10" s="1"/>
  <c r="E265" i="10"/>
  <c r="E266" i="10"/>
  <c r="L266" i="10" s="1"/>
  <c r="E267" i="10"/>
  <c r="L267" i="10" s="1"/>
  <c r="E268" i="10"/>
  <c r="L268" i="10" s="1"/>
  <c r="E269" i="10"/>
  <c r="E270" i="10"/>
  <c r="L270" i="10" s="1"/>
  <c r="E275" i="10"/>
  <c r="L275" i="10" s="1"/>
  <c r="E234" i="10"/>
  <c r="E239" i="10"/>
  <c r="E98" i="10"/>
  <c r="E99" i="10"/>
  <c r="L99" i="10" s="1"/>
  <c r="E100" i="10"/>
  <c r="E114" i="10"/>
  <c r="L114" i="10" s="1"/>
  <c r="E94" i="10"/>
  <c r="E125" i="10"/>
  <c r="E139" i="10"/>
  <c r="E133" i="10"/>
  <c r="L133" i="10" s="1"/>
  <c r="E224" i="10"/>
  <c r="E226" i="10"/>
  <c r="L226" i="10" s="1"/>
  <c r="E227" i="10"/>
  <c r="L227" i="10" s="1"/>
  <c r="E241" i="10"/>
  <c r="E243" i="10"/>
  <c r="E250" i="10"/>
  <c r="L250" i="10" s="1"/>
  <c r="E251" i="10"/>
  <c r="E252" i="10"/>
  <c r="L252" i="10" s="1"/>
  <c r="E253" i="10"/>
  <c r="E254" i="10"/>
  <c r="E258" i="10"/>
  <c r="L258" i="10" s="1"/>
  <c r="E279" i="10"/>
  <c r="L279" i="10" s="1"/>
  <c r="E280" i="10"/>
  <c r="L280" i="10" s="1"/>
  <c r="E281" i="10"/>
  <c r="L281" i="10" s="1"/>
  <c r="E282" i="10"/>
  <c r="L282" i="10" s="1"/>
  <c r="E283" i="10"/>
  <c r="E285" i="10"/>
  <c r="E286" i="10"/>
  <c r="L286" i="10" s="1"/>
  <c r="E288" i="10"/>
  <c r="E289" i="10"/>
  <c r="L289" i="10" s="1"/>
  <c r="E290" i="10"/>
  <c r="E291" i="10"/>
  <c r="L291" i="10" s="1"/>
  <c r="E292" i="10"/>
  <c r="E293" i="10"/>
  <c r="L293" i="10" s="1"/>
  <c r="E294" i="10"/>
  <c r="E295" i="10"/>
  <c r="L295" i="10" s="1"/>
  <c r="E296" i="10"/>
  <c r="E322" i="10"/>
  <c r="L322" i="10" s="1"/>
  <c r="E375" i="10"/>
  <c r="E399" i="10"/>
  <c r="L399" i="10" s="1"/>
  <c r="E401" i="10"/>
  <c r="E402" i="10"/>
  <c r="L402" i="10" s="1"/>
  <c r="E405" i="10"/>
  <c r="E422" i="10"/>
  <c r="E427" i="10"/>
  <c r="E428" i="10"/>
  <c r="E429" i="10"/>
  <c r="E430" i="10"/>
  <c r="L430" i="10" s="1"/>
  <c r="E440" i="10"/>
  <c r="L98" i="10"/>
  <c r="E523" i="10"/>
  <c r="L523" i="10" s="1"/>
  <c r="K522" i="10"/>
  <c r="J522" i="10"/>
  <c r="I522" i="10"/>
  <c r="H522" i="10"/>
  <c r="G522" i="10"/>
  <c r="F522" i="10"/>
  <c r="D522" i="10"/>
  <c r="E521" i="10"/>
  <c r="L521" i="10" s="1"/>
  <c r="E520" i="10"/>
  <c r="L520" i="10" s="1"/>
  <c r="E519" i="10"/>
  <c r="L519" i="10" s="1"/>
  <c r="E518" i="10"/>
  <c r="L518" i="10" s="1"/>
  <c r="E517" i="10"/>
  <c r="L517" i="10" s="1"/>
  <c r="E516" i="10"/>
  <c r="L516" i="10" s="1"/>
  <c r="E515" i="10"/>
  <c r="L515" i="10" s="1"/>
  <c r="E514" i="10"/>
  <c r="L514" i="10" s="1"/>
  <c r="K513" i="10"/>
  <c r="J513" i="10"/>
  <c r="I513" i="10"/>
  <c r="H513" i="10"/>
  <c r="G513" i="10"/>
  <c r="F513" i="10"/>
  <c r="E513" i="10" s="1"/>
  <c r="L513" i="10" s="1"/>
  <c r="D513" i="10"/>
  <c r="E512" i="10"/>
  <c r="L512" i="10" s="1"/>
  <c r="E511" i="10"/>
  <c r="L511" i="10" s="1"/>
  <c r="E510" i="10"/>
  <c r="L510" i="10" s="1"/>
  <c r="L509" i="10"/>
  <c r="E509" i="10"/>
  <c r="E508" i="10"/>
  <c r="L508" i="10" s="1"/>
  <c r="E507" i="10"/>
  <c r="L507" i="10" s="1"/>
  <c r="E506" i="10"/>
  <c r="L506" i="10" s="1"/>
  <c r="L505" i="10"/>
  <c r="E505" i="10"/>
  <c r="L504" i="10"/>
  <c r="L503" i="10"/>
  <c r="L502" i="10"/>
  <c r="L501" i="10"/>
  <c r="E500" i="10"/>
  <c r="L500" i="10" s="1"/>
  <c r="K499" i="10"/>
  <c r="J499" i="10"/>
  <c r="I499" i="10"/>
  <c r="H499" i="10"/>
  <c r="G499" i="10"/>
  <c r="F499" i="10"/>
  <c r="F498" i="10" s="1"/>
  <c r="D499" i="10"/>
  <c r="D498" i="10" s="1"/>
  <c r="K498" i="10"/>
  <c r="J498" i="10"/>
  <c r="I498" i="10"/>
  <c r="G498" i="10"/>
  <c r="E497" i="10"/>
  <c r="L497" i="10" s="1"/>
  <c r="K496" i="10"/>
  <c r="J496" i="10"/>
  <c r="I496" i="10"/>
  <c r="H496" i="10"/>
  <c r="E496" i="10" s="1"/>
  <c r="L496" i="10" s="1"/>
  <c r="G496" i="10"/>
  <c r="F496" i="10"/>
  <c r="D496" i="10"/>
  <c r="E495" i="10"/>
  <c r="L495" i="10" s="1"/>
  <c r="K494" i="10"/>
  <c r="J494" i="10"/>
  <c r="I494" i="10"/>
  <c r="H494" i="10"/>
  <c r="G494" i="10"/>
  <c r="F494" i="10"/>
  <c r="D494" i="10"/>
  <c r="L493" i="10"/>
  <c r="E493" i="10"/>
  <c r="K492" i="10"/>
  <c r="J492" i="10"/>
  <c r="I492" i="10"/>
  <c r="H492" i="10"/>
  <c r="G492" i="10"/>
  <c r="F492" i="10"/>
  <c r="D492" i="10"/>
  <c r="E491" i="10"/>
  <c r="L491" i="10" s="1"/>
  <c r="E490" i="10"/>
  <c r="L490" i="10" s="1"/>
  <c r="E489" i="10"/>
  <c r="L489" i="10" s="1"/>
  <c r="E488" i="10"/>
  <c r="L488" i="10" s="1"/>
  <c r="E487" i="10"/>
  <c r="L487" i="10" s="1"/>
  <c r="E486" i="10"/>
  <c r="L486" i="10" s="1"/>
  <c r="E485" i="10"/>
  <c r="L485" i="10" s="1"/>
  <c r="K484" i="10"/>
  <c r="J484" i="10"/>
  <c r="I484" i="10"/>
  <c r="H484" i="10"/>
  <c r="G484" i="10"/>
  <c r="F484" i="10"/>
  <c r="E484" i="10" s="1"/>
  <c r="L484" i="10" s="1"/>
  <c r="D484" i="10"/>
  <c r="E483" i="10"/>
  <c r="L483" i="10" s="1"/>
  <c r="L482" i="10"/>
  <c r="E482" i="10"/>
  <c r="E481" i="10"/>
  <c r="L481" i="10" s="1"/>
  <c r="E480" i="10"/>
  <c r="L480" i="10" s="1"/>
  <c r="E479" i="10"/>
  <c r="L479" i="10" s="1"/>
  <c r="L478" i="10"/>
  <c r="E478" i="10"/>
  <c r="L477" i="10"/>
  <c r="L476" i="10"/>
  <c r="L475" i="10"/>
  <c r="L474" i="10"/>
  <c r="E473" i="10"/>
  <c r="L473" i="10" s="1"/>
  <c r="E472" i="10"/>
  <c r="L472" i="10" s="1"/>
  <c r="E471" i="10"/>
  <c r="L471" i="10" s="1"/>
  <c r="K470" i="10"/>
  <c r="J470" i="10"/>
  <c r="I470" i="10"/>
  <c r="H470" i="10"/>
  <c r="G470" i="10"/>
  <c r="F470" i="10"/>
  <c r="D470" i="10"/>
  <c r="D469" i="10" s="1"/>
  <c r="I469" i="10"/>
  <c r="I468" i="10" s="1"/>
  <c r="I537" i="10" s="1"/>
  <c r="E467" i="10"/>
  <c r="L467" i="10" s="1"/>
  <c r="K466" i="10"/>
  <c r="J466" i="10"/>
  <c r="I466" i="10"/>
  <c r="I465" i="10" s="1"/>
  <c r="H466" i="10"/>
  <c r="G466" i="10"/>
  <c r="G465" i="10" s="1"/>
  <c r="F466" i="10"/>
  <c r="E466" i="10" s="1"/>
  <c r="L466" i="10" s="1"/>
  <c r="D466" i="10"/>
  <c r="K465" i="10"/>
  <c r="J465" i="10"/>
  <c r="H465" i="10"/>
  <c r="D465" i="10"/>
  <c r="E464" i="10"/>
  <c r="L464" i="10" s="1"/>
  <c r="E463" i="10"/>
  <c r="L463" i="10" s="1"/>
  <c r="K462" i="10"/>
  <c r="K457" i="10" s="1"/>
  <c r="J462" i="10"/>
  <c r="I462" i="10"/>
  <c r="H462" i="10"/>
  <c r="G462" i="10"/>
  <c r="F462" i="10"/>
  <c r="F457" i="10" s="1"/>
  <c r="D462" i="10"/>
  <c r="L461" i="10"/>
  <c r="E461" i="10"/>
  <c r="K460" i="10"/>
  <c r="J460" i="10"/>
  <c r="I460" i="10"/>
  <c r="H460" i="10"/>
  <c r="H457" i="10" s="1"/>
  <c r="G460" i="10"/>
  <c r="F460" i="10"/>
  <c r="D460" i="10"/>
  <c r="E459" i="10"/>
  <c r="L459" i="10" s="1"/>
  <c r="K458" i="10"/>
  <c r="J458" i="10"/>
  <c r="E458" i="10" s="1"/>
  <c r="L458" i="10" s="1"/>
  <c r="I458" i="10"/>
  <c r="H458" i="10"/>
  <c r="G458" i="10"/>
  <c r="F458" i="10"/>
  <c r="D458" i="10"/>
  <c r="D457" i="10" s="1"/>
  <c r="E456" i="10"/>
  <c r="L456" i="10" s="1"/>
  <c r="K455" i="10"/>
  <c r="K454" i="10" s="1"/>
  <c r="J455" i="10"/>
  <c r="J454" i="10" s="1"/>
  <c r="I455" i="10"/>
  <c r="I454" i="10" s="1"/>
  <c r="H455" i="10"/>
  <c r="H454" i="10" s="1"/>
  <c r="G455" i="10"/>
  <c r="F455" i="10"/>
  <c r="E455" i="10" s="1"/>
  <c r="L455" i="10" s="1"/>
  <c r="D455" i="10"/>
  <c r="G454" i="10"/>
  <c r="F454" i="10"/>
  <c r="D454" i="10"/>
  <c r="E453" i="10"/>
  <c r="L453" i="10" s="1"/>
  <c r="K452" i="10"/>
  <c r="J452" i="10"/>
  <c r="I452" i="10"/>
  <c r="H452" i="10"/>
  <c r="G452" i="10"/>
  <c r="E452" i="10" s="1"/>
  <c r="L452" i="10" s="1"/>
  <c r="F452" i="10"/>
  <c r="D452" i="10"/>
  <c r="E451" i="10"/>
  <c r="L451" i="10" s="1"/>
  <c r="L450" i="10"/>
  <c r="E450" i="10"/>
  <c r="L449" i="10"/>
  <c r="L448" i="10"/>
  <c r="L447" i="10"/>
  <c r="L446" i="10"/>
  <c r="L445" i="10"/>
  <c r="E445" i="10"/>
  <c r="K444" i="10"/>
  <c r="J444" i="10"/>
  <c r="I444" i="10"/>
  <c r="H444" i="10"/>
  <c r="G444" i="10"/>
  <c r="F444" i="10"/>
  <c r="D444" i="10"/>
  <c r="E443" i="10"/>
  <c r="L443" i="10" s="1"/>
  <c r="K442" i="10"/>
  <c r="K441" i="10" s="1"/>
  <c r="J442" i="10"/>
  <c r="J441" i="10" s="1"/>
  <c r="I442" i="10"/>
  <c r="I441" i="10" s="1"/>
  <c r="H442" i="10"/>
  <c r="G442" i="10"/>
  <c r="F442" i="10"/>
  <c r="D442" i="10"/>
  <c r="H441" i="10"/>
  <c r="F441" i="10"/>
  <c r="D441" i="10"/>
  <c r="L440" i="10"/>
  <c r="K439" i="10"/>
  <c r="J439" i="10"/>
  <c r="I439" i="10"/>
  <c r="H439" i="10"/>
  <c r="G439" i="10"/>
  <c r="F439" i="10"/>
  <c r="D439" i="10"/>
  <c r="E438" i="10"/>
  <c r="L438" i="10" s="1"/>
  <c r="K437" i="10"/>
  <c r="J437" i="10"/>
  <c r="I437" i="10"/>
  <c r="H437" i="10"/>
  <c r="G437" i="10"/>
  <c r="F437" i="10"/>
  <c r="D437" i="10"/>
  <c r="E436" i="10"/>
  <c r="L436" i="10" s="1"/>
  <c r="K435" i="10"/>
  <c r="J435" i="10"/>
  <c r="I435" i="10"/>
  <c r="H435" i="10"/>
  <c r="E435" i="10" s="1"/>
  <c r="L435" i="10" s="1"/>
  <c r="G435" i="10"/>
  <c r="F435" i="10"/>
  <c r="D435" i="10"/>
  <c r="L434" i="10"/>
  <c r="E434" i="10"/>
  <c r="E433" i="10"/>
  <c r="L433" i="10" s="1"/>
  <c r="L432" i="10"/>
  <c r="E432" i="10"/>
  <c r="E431" i="10"/>
  <c r="L431" i="10" s="1"/>
  <c r="L429" i="10"/>
  <c r="L428" i="10"/>
  <c r="L427" i="10"/>
  <c r="K424" i="10"/>
  <c r="J424" i="10"/>
  <c r="I424" i="10"/>
  <c r="H424" i="10"/>
  <c r="G424" i="10"/>
  <c r="F424" i="10"/>
  <c r="D424" i="10"/>
  <c r="E423" i="10"/>
  <c r="L423" i="10" s="1"/>
  <c r="L422" i="10"/>
  <c r="E421" i="10"/>
  <c r="L421" i="10" s="1"/>
  <c r="E420" i="10"/>
  <c r="L420" i="10" s="1"/>
  <c r="K419" i="10"/>
  <c r="J419" i="10"/>
  <c r="I419" i="10"/>
  <c r="I418" i="10" s="1"/>
  <c r="H419" i="10"/>
  <c r="G419" i="10"/>
  <c r="F419" i="10"/>
  <c r="D419" i="10"/>
  <c r="E416" i="10"/>
  <c r="L416" i="10" s="1"/>
  <c r="K415" i="10"/>
  <c r="J415" i="10"/>
  <c r="I415" i="10"/>
  <c r="H415" i="10"/>
  <c r="G415" i="10"/>
  <c r="F415" i="10"/>
  <c r="E415" i="10" s="1"/>
  <c r="L415" i="10" s="1"/>
  <c r="D415" i="10"/>
  <c r="L414" i="10"/>
  <c r="L413" i="10"/>
  <c r="L412" i="10"/>
  <c r="L411" i="10"/>
  <c r="E410" i="10"/>
  <c r="L410" i="10" s="1"/>
  <c r="K409" i="10"/>
  <c r="J409" i="10"/>
  <c r="I409" i="10"/>
  <c r="H409" i="10"/>
  <c r="G409" i="10"/>
  <c r="F409" i="10"/>
  <c r="E409" i="10" s="1"/>
  <c r="L409" i="10" s="1"/>
  <c r="D409" i="10"/>
  <c r="E408" i="10"/>
  <c r="L408" i="10" s="1"/>
  <c r="E407" i="10"/>
  <c r="L407" i="10" s="1"/>
  <c r="K406" i="10"/>
  <c r="J406" i="10"/>
  <c r="I406" i="10"/>
  <c r="H406" i="10"/>
  <c r="G406" i="10"/>
  <c r="F406" i="10"/>
  <c r="E406" i="10" s="1"/>
  <c r="L406" i="10" s="1"/>
  <c r="D406" i="10"/>
  <c r="L405" i="10"/>
  <c r="K404" i="10"/>
  <c r="J404" i="10"/>
  <c r="I404" i="10"/>
  <c r="H404" i="10"/>
  <c r="G404" i="10"/>
  <c r="F404" i="10"/>
  <c r="D404" i="10"/>
  <c r="E403" i="10"/>
  <c r="L403" i="10" s="1"/>
  <c r="L401" i="10"/>
  <c r="K400" i="10"/>
  <c r="J400" i="10"/>
  <c r="I400" i="10"/>
  <c r="H400" i="10"/>
  <c r="G400" i="10"/>
  <c r="F400" i="10"/>
  <c r="D400" i="10"/>
  <c r="E398" i="10"/>
  <c r="L398" i="10" s="1"/>
  <c r="K397" i="10"/>
  <c r="J397" i="10"/>
  <c r="I397" i="10"/>
  <c r="H397" i="10"/>
  <c r="G397" i="10"/>
  <c r="F397" i="10"/>
  <c r="D397" i="10"/>
  <c r="E395" i="10"/>
  <c r="L395" i="10" s="1"/>
  <c r="E394" i="10"/>
  <c r="L394" i="10" s="1"/>
  <c r="E393" i="10"/>
  <c r="L393" i="10" s="1"/>
  <c r="E392" i="10"/>
  <c r="L392" i="10" s="1"/>
  <c r="E391" i="10"/>
  <c r="L391" i="10" s="1"/>
  <c r="E390" i="10"/>
  <c r="L390" i="10" s="1"/>
  <c r="E389" i="10"/>
  <c r="L389" i="10" s="1"/>
  <c r="E388" i="10"/>
  <c r="L388" i="10" s="1"/>
  <c r="E387" i="10"/>
  <c r="L387" i="10" s="1"/>
  <c r="L386" i="10"/>
  <c r="L385" i="10"/>
  <c r="L384" i="10"/>
  <c r="L383" i="10"/>
  <c r="K382" i="10"/>
  <c r="J382" i="10"/>
  <c r="I382" i="10"/>
  <c r="E382" i="10" s="1"/>
  <c r="L382" i="10" s="1"/>
  <c r="H382" i="10"/>
  <c r="G382" i="10"/>
  <c r="F382" i="10"/>
  <c r="D382" i="10"/>
  <c r="L381" i="10"/>
  <c r="E381" i="10"/>
  <c r="E380" i="10"/>
  <c r="L380" i="10" s="1"/>
  <c r="E379" i="10"/>
  <c r="L379" i="10" s="1"/>
  <c r="K378" i="10"/>
  <c r="K377" i="10" s="1"/>
  <c r="J378" i="10"/>
  <c r="I378" i="10"/>
  <c r="H378" i="10"/>
  <c r="H377" i="10" s="1"/>
  <c r="G378" i="10"/>
  <c r="F378" i="10"/>
  <c r="E378" i="10" s="1"/>
  <c r="L378" i="10" s="1"/>
  <c r="D378" i="10"/>
  <c r="I377" i="10"/>
  <c r="G377" i="10"/>
  <c r="E376" i="10"/>
  <c r="L376" i="10" s="1"/>
  <c r="L375" i="10"/>
  <c r="K374" i="10"/>
  <c r="J374" i="10"/>
  <c r="I374" i="10"/>
  <c r="H374" i="10"/>
  <c r="G374" i="10"/>
  <c r="G357" i="10" s="1"/>
  <c r="F374" i="10"/>
  <c r="D374" i="10"/>
  <c r="E373" i="10"/>
  <c r="L373" i="10" s="1"/>
  <c r="E372" i="10"/>
  <c r="L372" i="10" s="1"/>
  <c r="K371" i="10"/>
  <c r="J371" i="10"/>
  <c r="I371" i="10"/>
  <c r="H371" i="10"/>
  <c r="G371" i="10"/>
  <c r="F371" i="10"/>
  <c r="D371" i="10"/>
  <c r="L370" i="10"/>
  <c r="E370" i="10"/>
  <c r="E369" i="10"/>
  <c r="L369" i="10" s="1"/>
  <c r="K368" i="10"/>
  <c r="J368" i="10"/>
  <c r="I368" i="10"/>
  <c r="H368" i="10"/>
  <c r="G368" i="10"/>
  <c r="F368" i="10"/>
  <c r="D368" i="10"/>
  <c r="E367" i="10"/>
  <c r="L367" i="10" s="1"/>
  <c r="E366" i="10"/>
  <c r="L366" i="10" s="1"/>
  <c r="K365" i="10"/>
  <c r="J365" i="10"/>
  <c r="I365" i="10"/>
  <c r="H365" i="10"/>
  <c r="E365" i="10" s="1"/>
  <c r="L365" i="10" s="1"/>
  <c r="G365" i="10"/>
  <c r="F365" i="10"/>
  <c r="D365" i="10"/>
  <c r="E364" i="10"/>
  <c r="L364" i="10" s="1"/>
  <c r="E363" i="10"/>
  <c r="L363" i="10" s="1"/>
  <c r="K362" i="10"/>
  <c r="J362" i="10"/>
  <c r="I362" i="10"/>
  <c r="H362" i="10"/>
  <c r="G362" i="10"/>
  <c r="F362" i="10"/>
  <c r="D362" i="10"/>
  <c r="L361" i="10"/>
  <c r="L360" i="10"/>
  <c r="L359" i="10"/>
  <c r="L358" i="10"/>
  <c r="K357" i="10"/>
  <c r="E356" i="10"/>
  <c r="L356" i="10" s="1"/>
  <c r="L355" i="10"/>
  <c r="E355" i="10"/>
  <c r="K354" i="10"/>
  <c r="J354" i="10"/>
  <c r="I354" i="10"/>
  <c r="H354" i="10"/>
  <c r="G354" i="10"/>
  <c r="F354" i="10"/>
  <c r="D354" i="10"/>
  <c r="E353" i="10"/>
  <c r="L353" i="10" s="1"/>
  <c r="E352" i="10"/>
  <c r="L352" i="10" s="1"/>
  <c r="K351" i="10"/>
  <c r="J351" i="10"/>
  <c r="I351" i="10"/>
  <c r="H351" i="10"/>
  <c r="G351" i="10"/>
  <c r="F351" i="10"/>
  <c r="E351" i="10" s="1"/>
  <c r="L351" i="10" s="1"/>
  <c r="D351" i="10"/>
  <c r="E350" i="10"/>
  <c r="L350" i="10" s="1"/>
  <c r="L349" i="10"/>
  <c r="E349" i="10"/>
  <c r="K348" i="10"/>
  <c r="J348" i="10"/>
  <c r="I348" i="10"/>
  <c r="H348" i="10"/>
  <c r="G348" i="10"/>
  <c r="F348" i="10"/>
  <c r="D348" i="10"/>
  <c r="E347" i="10"/>
  <c r="L347" i="10" s="1"/>
  <c r="E346" i="10"/>
  <c r="L346" i="10" s="1"/>
  <c r="K345" i="10"/>
  <c r="K344" i="10" s="1"/>
  <c r="J345" i="10"/>
  <c r="I345" i="10"/>
  <c r="I344" i="10" s="1"/>
  <c r="H345" i="10"/>
  <c r="H344" i="10" s="1"/>
  <c r="G345" i="10"/>
  <c r="F345" i="10"/>
  <c r="D345" i="10"/>
  <c r="D344" i="10" s="1"/>
  <c r="E343" i="10"/>
  <c r="L343" i="10" s="1"/>
  <c r="E342" i="10"/>
  <c r="L342" i="10" s="1"/>
  <c r="E341" i="10"/>
  <c r="L341" i="10" s="1"/>
  <c r="K340" i="10"/>
  <c r="J340" i="10"/>
  <c r="I340" i="10"/>
  <c r="H340" i="10"/>
  <c r="G340" i="10"/>
  <c r="F340" i="10"/>
  <c r="D340" i="10"/>
  <c r="L339" i="10"/>
  <c r="E339" i="10"/>
  <c r="K338" i="10"/>
  <c r="J338" i="10"/>
  <c r="I338" i="10"/>
  <c r="H338" i="10"/>
  <c r="G338" i="10"/>
  <c r="F338" i="10"/>
  <c r="D338" i="10"/>
  <c r="E337" i="10"/>
  <c r="L337" i="10" s="1"/>
  <c r="E336" i="10"/>
  <c r="L336" i="10" s="1"/>
  <c r="L335" i="10"/>
  <c r="L334" i="10"/>
  <c r="L333" i="10"/>
  <c r="L332" i="10"/>
  <c r="E331" i="10"/>
  <c r="L331" i="10" s="1"/>
  <c r="E330" i="10"/>
  <c r="L330" i="10" s="1"/>
  <c r="E329" i="10"/>
  <c r="L329" i="10" s="1"/>
  <c r="E328" i="10"/>
  <c r="L328" i="10" s="1"/>
  <c r="K327" i="10"/>
  <c r="J327" i="10"/>
  <c r="I327" i="10"/>
  <c r="H327" i="10"/>
  <c r="G327" i="10"/>
  <c r="F327" i="10"/>
  <c r="D327" i="10"/>
  <c r="E326" i="10"/>
  <c r="L326" i="10" s="1"/>
  <c r="E325" i="10"/>
  <c r="L325" i="10" s="1"/>
  <c r="L324" i="10"/>
  <c r="E324" i="10"/>
  <c r="E323" i="10"/>
  <c r="L323" i="10" s="1"/>
  <c r="E321" i="10"/>
  <c r="L321" i="10" s="1"/>
  <c r="E320" i="10"/>
  <c r="L320" i="10" s="1"/>
  <c r="E319" i="10"/>
  <c r="L319" i="10" s="1"/>
  <c r="E318" i="10"/>
  <c r="L318" i="10" s="1"/>
  <c r="K317" i="10"/>
  <c r="J317" i="10"/>
  <c r="I317" i="10"/>
  <c r="H317" i="10"/>
  <c r="G317" i="10"/>
  <c r="F317" i="10"/>
  <c r="D317" i="10"/>
  <c r="L315" i="10"/>
  <c r="E315" i="10"/>
  <c r="K314" i="10"/>
  <c r="J314" i="10"/>
  <c r="I314" i="10"/>
  <c r="H314" i="10"/>
  <c r="G314" i="10"/>
  <c r="F314" i="10"/>
  <c r="D314" i="10"/>
  <c r="E313" i="10"/>
  <c r="L313" i="10" s="1"/>
  <c r="E312" i="10"/>
  <c r="L312" i="10" s="1"/>
  <c r="E311" i="10"/>
  <c r="L311" i="10" s="1"/>
  <c r="K310" i="10"/>
  <c r="J310" i="10"/>
  <c r="I310" i="10"/>
  <c r="H310" i="10"/>
  <c r="G310" i="10"/>
  <c r="F310" i="10"/>
  <c r="E310" i="10" s="1"/>
  <c r="L310" i="10" s="1"/>
  <c r="D310" i="10"/>
  <c r="L309" i="10"/>
  <c r="E309" i="10"/>
  <c r="K308" i="10"/>
  <c r="J308" i="10"/>
  <c r="I308" i="10"/>
  <c r="H308" i="10"/>
  <c r="G308" i="10"/>
  <c r="F308" i="10"/>
  <c r="D308" i="10"/>
  <c r="E307" i="10"/>
  <c r="L307" i="10" s="1"/>
  <c r="K306" i="10"/>
  <c r="J306" i="10"/>
  <c r="I306" i="10"/>
  <c r="H306" i="10"/>
  <c r="G306" i="10"/>
  <c r="F306" i="10"/>
  <c r="D306" i="10"/>
  <c r="L305" i="10"/>
  <c r="L304" i="10"/>
  <c r="L303" i="10"/>
  <c r="L302" i="10"/>
  <c r="L301" i="10"/>
  <c r="E301" i="10"/>
  <c r="E300" i="10"/>
  <c r="L300" i="10" s="1"/>
  <c r="E299" i="10"/>
  <c r="L299" i="10" s="1"/>
  <c r="K298" i="10"/>
  <c r="K297" i="10" s="1"/>
  <c r="J298" i="10"/>
  <c r="J297" i="10" s="1"/>
  <c r="I298" i="10"/>
  <c r="H298" i="10"/>
  <c r="H297" i="10" s="1"/>
  <c r="G298" i="10"/>
  <c r="G297" i="10" s="1"/>
  <c r="F298" i="10"/>
  <c r="E298" i="10" s="1"/>
  <c r="L298" i="10" s="1"/>
  <c r="D298" i="10"/>
  <c r="L296" i="10"/>
  <c r="L294" i="10"/>
  <c r="L292" i="10"/>
  <c r="L290" i="10"/>
  <c r="L288" i="10"/>
  <c r="K287" i="10"/>
  <c r="J287" i="10"/>
  <c r="I287" i="10"/>
  <c r="H287" i="10"/>
  <c r="G287" i="10"/>
  <c r="F287" i="10"/>
  <c r="D287" i="10"/>
  <c r="L285" i="10"/>
  <c r="K284" i="10"/>
  <c r="J284" i="10"/>
  <c r="I284" i="10"/>
  <c r="H284" i="10"/>
  <c r="G284" i="10"/>
  <c r="F284" i="10"/>
  <c r="D284" i="10"/>
  <c r="L283" i="10"/>
  <c r="L278" i="10"/>
  <c r="E278" i="10"/>
  <c r="E277" i="10"/>
  <c r="L277" i="10" s="1"/>
  <c r="K276" i="10"/>
  <c r="J276" i="10"/>
  <c r="I276" i="10"/>
  <c r="H276" i="10"/>
  <c r="G276" i="10"/>
  <c r="F276" i="10"/>
  <c r="D276" i="10"/>
  <c r="L274" i="10"/>
  <c r="L273" i="10"/>
  <c r="L272" i="10"/>
  <c r="L271" i="10"/>
  <c r="L269" i="10"/>
  <c r="L265" i="10"/>
  <c r="E264" i="10"/>
  <c r="L264" i="10" s="1"/>
  <c r="K263" i="10"/>
  <c r="J263" i="10"/>
  <c r="I263" i="10"/>
  <c r="H263" i="10"/>
  <c r="G263" i="10"/>
  <c r="F263" i="10"/>
  <c r="D263" i="10"/>
  <c r="L262" i="10"/>
  <c r="E262" i="10"/>
  <c r="L261" i="10"/>
  <c r="E261" i="10"/>
  <c r="E260" i="10"/>
  <c r="L260" i="10" s="1"/>
  <c r="L259" i="10"/>
  <c r="E259" i="10"/>
  <c r="K257" i="10"/>
  <c r="J257" i="10"/>
  <c r="I257" i="10"/>
  <c r="H257" i="10"/>
  <c r="G257" i="10"/>
  <c r="F257" i="10"/>
  <c r="D257" i="10"/>
  <c r="E256" i="10"/>
  <c r="L256" i="10" s="1"/>
  <c r="E255" i="10"/>
  <c r="L255" i="10" s="1"/>
  <c r="L254" i="10"/>
  <c r="L253" i="10"/>
  <c r="L251" i="10"/>
  <c r="K249" i="10"/>
  <c r="J249" i="10"/>
  <c r="I249" i="10"/>
  <c r="H249" i="10"/>
  <c r="G249" i="10"/>
  <c r="F249" i="10"/>
  <c r="D249" i="10"/>
  <c r="E247" i="10"/>
  <c r="L247" i="10" s="1"/>
  <c r="K246" i="10"/>
  <c r="J246" i="10"/>
  <c r="I246" i="10"/>
  <c r="H246" i="10"/>
  <c r="G246" i="10"/>
  <c r="F246" i="10"/>
  <c r="E246" i="10"/>
  <c r="L246" i="10" s="1"/>
  <c r="D246" i="10"/>
  <c r="L245" i="10"/>
  <c r="E245" i="10"/>
  <c r="K244" i="10"/>
  <c r="J244" i="10"/>
  <c r="I244" i="10"/>
  <c r="H244" i="10"/>
  <c r="G244" i="10"/>
  <c r="F244" i="10"/>
  <c r="D244" i="10"/>
  <c r="L243" i="10"/>
  <c r="K242" i="10"/>
  <c r="J242" i="10"/>
  <c r="I242" i="10"/>
  <c r="H242" i="10"/>
  <c r="G242" i="10"/>
  <c r="F242" i="10"/>
  <c r="D242" i="10"/>
  <c r="L241" i="10"/>
  <c r="K240" i="10"/>
  <c r="J240" i="10"/>
  <c r="I240" i="10"/>
  <c r="H240" i="10"/>
  <c r="G240" i="10"/>
  <c r="F240" i="10"/>
  <c r="D240" i="10"/>
  <c r="L238" i="10"/>
  <c r="L234" i="10"/>
  <c r="E233" i="10"/>
  <c r="L233" i="10" s="1"/>
  <c r="E232" i="10"/>
  <c r="L232" i="10" s="1"/>
  <c r="K231" i="10"/>
  <c r="J231" i="10"/>
  <c r="I231" i="10"/>
  <c r="H231" i="10"/>
  <c r="G231" i="10"/>
  <c r="F231" i="10"/>
  <c r="E230" i="10"/>
  <c r="L230" i="10" s="1"/>
  <c r="K229" i="10"/>
  <c r="J229" i="10"/>
  <c r="I229" i="10"/>
  <c r="H229" i="10"/>
  <c r="G229" i="10"/>
  <c r="E229" i="10" s="1"/>
  <c r="L229" i="10" s="1"/>
  <c r="F229" i="10"/>
  <c r="D229" i="10"/>
  <c r="E228" i="10"/>
  <c r="L228" i="10" s="1"/>
  <c r="K225" i="10"/>
  <c r="J225" i="10"/>
  <c r="I225" i="10"/>
  <c r="H225" i="10"/>
  <c r="G225" i="10"/>
  <c r="F225" i="10"/>
  <c r="D225" i="10"/>
  <c r="I223" i="10"/>
  <c r="D223" i="10"/>
  <c r="K223" i="10"/>
  <c r="J223" i="10"/>
  <c r="H223" i="10"/>
  <c r="G223" i="10"/>
  <c r="F223" i="10"/>
  <c r="E210" i="10"/>
  <c r="L210" i="10" s="1"/>
  <c r="E209" i="10"/>
  <c r="L209" i="10" s="1"/>
  <c r="E208" i="10"/>
  <c r="L208" i="10" s="1"/>
  <c r="L207" i="10"/>
  <c r="L206" i="10"/>
  <c r="L205" i="10"/>
  <c r="L204" i="10"/>
  <c r="E203" i="10"/>
  <c r="L203" i="10" s="1"/>
  <c r="E202" i="10"/>
  <c r="L202" i="10" s="1"/>
  <c r="E201" i="10"/>
  <c r="L201" i="10" s="1"/>
  <c r="E200" i="10"/>
  <c r="L200" i="10" s="1"/>
  <c r="E199" i="10"/>
  <c r="L199" i="10" s="1"/>
  <c r="K198" i="10"/>
  <c r="J198" i="10"/>
  <c r="I198" i="10"/>
  <c r="H198" i="10"/>
  <c r="G198" i="10"/>
  <c r="F198" i="10"/>
  <c r="D198" i="10"/>
  <c r="L197" i="10"/>
  <c r="E197" i="10"/>
  <c r="E196" i="10"/>
  <c r="L196" i="10" s="1"/>
  <c r="E195" i="10"/>
  <c r="L195" i="10" s="1"/>
  <c r="E194" i="10"/>
  <c r="L194" i="10" s="1"/>
  <c r="L193" i="10"/>
  <c r="E193" i="10"/>
  <c r="E192" i="10"/>
  <c r="L192" i="10" s="1"/>
  <c r="E191" i="10"/>
  <c r="L191" i="10" s="1"/>
  <c r="E190" i="10"/>
  <c r="L190" i="10" s="1"/>
  <c r="L189" i="10"/>
  <c r="E189" i="10"/>
  <c r="K188" i="10"/>
  <c r="J188" i="10"/>
  <c r="I188" i="10"/>
  <c r="I187" i="10" s="1"/>
  <c r="H188" i="10"/>
  <c r="H187" i="10" s="1"/>
  <c r="G188" i="10"/>
  <c r="G187" i="10" s="1"/>
  <c r="F188" i="10"/>
  <c r="D188" i="10"/>
  <c r="D187" i="10" s="1"/>
  <c r="E186" i="10"/>
  <c r="L186" i="10" s="1"/>
  <c r="L185" i="10"/>
  <c r="L184" i="10"/>
  <c r="L183" i="10"/>
  <c r="L182" i="10"/>
  <c r="E181" i="10"/>
  <c r="L181" i="10" s="1"/>
  <c r="L180" i="10"/>
  <c r="E180" i="10"/>
  <c r="E179" i="10"/>
  <c r="L179" i="10" s="1"/>
  <c r="E178" i="10"/>
  <c r="L178" i="10" s="1"/>
  <c r="E177" i="10"/>
  <c r="L177" i="10" s="1"/>
  <c r="E176" i="10"/>
  <c r="L176" i="10" s="1"/>
  <c r="K175" i="10"/>
  <c r="J175" i="10"/>
  <c r="I175" i="10"/>
  <c r="H175" i="10"/>
  <c r="G175" i="10"/>
  <c r="F175" i="10"/>
  <c r="D175" i="10"/>
  <c r="E174" i="10"/>
  <c r="L174" i="10" s="1"/>
  <c r="E173" i="10"/>
  <c r="L173" i="10" s="1"/>
  <c r="E172" i="10"/>
  <c r="L172" i="10" s="1"/>
  <c r="L171" i="10"/>
  <c r="E171" i="10"/>
  <c r="L170" i="10"/>
  <c r="E170" i="10"/>
  <c r="E169" i="10"/>
  <c r="L169" i="10" s="1"/>
  <c r="E168" i="10"/>
  <c r="L168" i="10" s="1"/>
  <c r="E167" i="10"/>
  <c r="L167" i="10" s="1"/>
  <c r="E166" i="10"/>
  <c r="L166" i="10" s="1"/>
  <c r="K165" i="10"/>
  <c r="K164" i="10" s="1"/>
  <c r="J165" i="10"/>
  <c r="J164" i="10" s="1"/>
  <c r="I165" i="10"/>
  <c r="I164" i="10" s="1"/>
  <c r="I163" i="10" s="1"/>
  <c r="I536" i="10" s="1"/>
  <c r="I538" i="10" s="1"/>
  <c r="H165" i="10"/>
  <c r="G165" i="10"/>
  <c r="G164" i="10" s="1"/>
  <c r="G163" i="10" s="1"/>
  <c r="G536" i="10" s="1"/>
  <c r="F165" i="10"/>
  <c r="D165" i="10"/>
  <c r="L162" i="10"/>
  <c r="E162" i="10"/>
  <c r="K161" i="10"/>
  <c r="J161" i="10"/>
  <c r="I161" i="10"/>
  <c r="H161" i="10"/>
  <c r="G161" i="10"/>
  <c r="F161" i="10"/>
  <c r="D161" i="10"/>
  <c r="E160" i="10"/>
  <c r="L160" i="10" s="1"/>
  <c r="L159" i="10"/>
  <c r="L158" i="10"/>
  <c r="L157" i="10"/>
  <c r="L156" i="10"/>
  <c r="K155" i="10"/>
  <c r="J155" i="10"/>
  <c r="J152" i="10" s="1"/>
  <c r="I155" i="10"/>
  <c r="H155" i="10"/>
  <c r="G155" i="10"/>
  <c r="F155" i="10"/>
  <c r="D155" i="10"/>
  <c r="E154" i="10"/>
  <c r="L154" i="10" s="1"/>
  <c r="K153" i="10"/>
  <c r="J153" i="10"/>
  <c r="I153" i="10"/>
  <c r="H153" i="10"/>
  <c r="G153" i="10"/>
  <c r="F153" i="10"/>
  <c r="F152" i="10" s="1"/>
  <c r="E153" i="10"/>
  <c r="L153" i="10" s="1"/>
  <c r="D153" i="10"/>
  <c r="D152" i="10" s="1"/>
  <c r="E151" i="10"/>
  <c r="L151" i="10" s="1"/>
  <c r="K150" i="10"/>
  <c r="K149" i="10" s="1"/>
  <c r="J150" i="10"/>
  <c r="I150" i="10"/>
  <c r="I149" i="10" s="1"/>
  <c r="H150" i="10"/>
  <c r="H149" i="10" s="1"/>
  <c r="G150" i="10"/>
  <c r="G149" i="10" s="1"/>
  <c r="F150" i="10"/>
  <c r="E150" i="10" s="1"/>
  <c r="L150" i="10" s="1"/>
  <c r="D150" i="10"/>
  <c r="D149" i="10" s="1"/>
  <c r="J149" i="10"/>
  <c r="E148" i="10"/>
  <c r="L148" i="10" s="1"/>
  <c r="K147" i="10"/>
  <c r="J147" i="10"/>
  <c r="I147" i="10"/>
  <c r="H147" i="10"/>
  <c r="G147" i="10"/>
  <c r="F147" i="10"/>
  <c r="E147" i="10" s="1"/>
  <c r="L147" i="10" s="1"/>
  <c r="D147" i="10"/>
  <c r="L146" i="10"/>
  <c r="E146" i="10"/>
  <c r="K145" i="10"/>
  <c r="J145" i="10"/>
  <c r="I145" i="10"/>
  <c r="H145" i="10"/>
  <c r="G145" i="10"/>
  <c r="F145" i="10"/>
  <c r="D145" i="10"/>
  <c r="E144" i="10"/>
  <c r="L144" i="10" s="1"/>
  <c r="K143" i="10"/>
  <c r="K142" i="10" s="1"/>
  <c r="J143" i="10"/>
  <c r="J142" i="10" s="1"/>
  <c r="I143" i="10"/>
  <c r="I142" i="10" s="1"/>
  <c r="H143" i="10"/>
  <c r="H142" i="10" s="1"/>
  <c r="G143" i="10"/>
  <c r="F143" i="10"/>
  <c r="D143" i="10"/>
  <c r="D142" i="10" s="1"/>
  <c r="L141" i="10"/>
  <c r="E141" i="10"/>
  <c r="K140" i="10"/>
  <c r="J140" i="10"/>
  <c r="I140" i="10"/>
  <c r="H140" i="10"/>
  <c r="G140" i="10"/>
  <c r="F140" i="10"/>
  <c r="D140" i="10"/>
  <c r="L139" i="10"/>
  <c r="K138" i="10"/>
  <c r="J138" i="10"/>
  <c r="I138" i="10"/>
  <c r="H138" i="10"/>
  <c r="G138" i="10"/>
  <c r="F138" i="10"/>
  <c r="D138" i="10"/>
  <c r="E137" i="10"/>
  <c r="L137" i="10" s="1"/>
  <c r="K136" i="10"/>
  <c r="J136" i="10"/>
  <c r="I136" i="10"/>
  <c r="H136" i="10"/>
  <c r="G136" i="10"/>
  <c r="F136" i="10"/>
  <c r="E136" i="10"/>
  <c r="L136" i="10" s="1"/>
  <c r="D136" i="10"/>
  <c r="J135" i="10"/>
  <c r="F135" i="10"/>
  <c r="L132" i="10"/>
  <c r="L131" i="10"/>
  <c r="L130" i="10"/>
  <c r="L129" i="10"/>
  <c r="K128" i="10"/>
  <c r="J128" i="10"/>
  <c r="J127" i="10" s="1"/>
  <c r="I128" i="10"/>
  <c r="I127" i="10" s="1"/>
  <c r="H128" i="10"/>
  <c r="H127" i="10" s="1"/>
  <c r="G128" i="10"/>
  <c r="F128" i="10"/>
  <c r="D128" i="10"/>
  <c r="D127" i="10" s="1"/>
  <c r="K127" i="10"/>
  <c r="G127" i="10"/>
  <c r="L126" i="10"/>
  <c r="E126" i="10"/>
  <c r="K124" i="10"/>
  <c r="K123" i="10" s="1"/>
  <c r="J124" i="10"/>
  <c r="I124" i="10"/>
  <c r="I123" i="10" s="1"/>
  <c r="H124" i="10"/>
  <c r="H123" i="10" s="1"/>
  <c r="G124" i="10"/>
  <c r="G123" i="10" s="1"/>
  <c r="F124" i="10"/>
  <c r="J123" i="10"/>
  <c r="E122" i="10"/>
  <c r="L122" i="10" s="1"/>
  <c r="K121" i="10"/>
  <c r="J121" i="10"/>
  <c r="I121" i="10"/>
  <c r="I118" i="10" s="1"/>
  <c r="H121" i="10"/>
  <c r="G121" i="10"/>
  <c r="F121" i="10"/>
  <c r="D121" i="10"/>
  <c r="E120" i="10"/>
  <c r="L120" i="10" s="1"/>
  <c r="K119" i="10"/>
  <c r="K118" i="10" s="1"/>
  <c r="J119" i="10"/>
  <c r="I119" i="10"/>
  <c r="H119" i="10"/>
  <c r="H118" i="10" s="1"/>
  <c r="G119" i="10"/>
  <c r="G118" i="10" s="1"/>
  <c r="F119" i="10"/>
  <c r="D119" i="10"/>
  <c r="D118" i="10" s="1"/>
  <c r="E117" i="10"/>
  <c r="L117" i="10" s="1"/>
  <c r="K116" i="10"/>
  <c r="J116" i="10"/>
  <c r="I116" i="10"/>
  <c r="H116" i="10"/>
  <c r="G116" i="10"/>
  <c r="F116" i="10"/>
  <c r="D116" i="10"/>
  <c r="L115" i="10"/>
  <c r="E115" i="10"/>
  <c r="K113" i="10"/>
  <c r="J113" i="10"/>
  <c r="I113" i="10"/>
  <c r="H113" i="10"/>
  <c r="G113" i="10"/>
  <c r="F113" i="10"/>
  <c r="D113" i="10"/>
  <c r="L112" i="10"/>
  <c r="E112" i="10"/>
  <c r="E111" i="10"/>
  <c r="L111" i="10" s="1"/>
  <c r="L110" i="10"/>
  <c r="E110" i="10"/>
  <c r="E109" i="10"/>
  <c r="L109" i="10" s="1"/>
  <c r="E108" i="10"/>
  <c r="L108" i="10" s="1"/>
  <c r="E107" i="10"/>
  <c r="L107" i="10" s="1"/>
  <c r="L106" i="10"/>
  <c r="L105" i="10"/>
  <c r="L104" i="10"/>
  <c r="L103" i="10"/>
  <c r="K102" i="10"/>
  <c r="J102" i="10"/>
  <c r="I102" i="10"/>
  <c r="H102" i="10"/>
  <c r="G102" i="10"/>
  <c r="E102" i="10" s="1"/>
  <c r="L102" i="10" s="1"/>
  <c r="F102" i="10"/>
  <c r="D102" i="10"/>
  <c r="E101" i="10"/>
  <c r="L101" i="10" s="1"/>
  <c r="L100" i="10"/>
  <c r="K97" i="10"/>
  <c r="J97" i="10"/>
  <c r="I97" i="10"/>
  <c r="H97" i="10"/>
  <c r="H89" i="10" s="1"/>
  <c r="G97" i="10"/>
  <c r="F97" i="10"/>
  <c r="D97" i="10"/>
  <c r="E96" i="10"/>
  <c r="L96" i="10" s="1"/>
  <c r="E95" i="10"/>
  <c r="L95" i="10" s="1"/>
  <c r="L94" i="10"/>
  <c r="E93" i="10"/>
  <c r="L93" i="10" s="1"/>
  <c r="E92" i="10"/>
  <c r="L92" i="10" s="1"/>
  <c r="L91" i="10"/>
  <c r="E91" i="10"/>
  <c r="K90" i="10"/>
  <c r="J90" i="10"/>
  <c r="I90" i="10"/>
  <c r="H90" i="10"/>
  <c r="G90" i="10"/>
  <c r="F90" i="10"/>
  <c r="D90" i="10"/>
  <c r="E88" i="10"/>
  <c r="L88" i="10" s="1"/>
  <c r="E87" i="10"/>
  <c r="L87" i="10" s="1"/>
  <c r="K86" i="10"/>
  <c r="E86" i="10" s="1"/>
  <c r="L86" i="10" s="1"/>
  <c r="J86" i="10"/>
  <c r="I86" i="10"/>
  <c r="H86" i="10"/>
  <c r="G86" i="10"/>
  <c r="F86" i="10"/>
  <c r="D86" i="10"/>
  <c r="E85" i="10"/>
  <c r="L85" i="10" s="1"/>
  <c r="E84" i="10"/>
  <c r="L84" i="10" s="1"/>
  <c r="E83" i="10"/>
  <c r="L83" i="10" s="1"/>
  <c r="L82" i="10"/>
  <c r="E82" i="10"/>
  <c r="K81" i="10"/>
  <c r="J81" i="10"/>
  <c r="I81" i="10"/>
  <c r="H81" i="10"/>
  <c r="G81" i="10"/>
  <c r="F81" i="10"/>
  <c r="D81" i="10"/>
  <c r="E80" i="10"/>
  <c r="L80" i="10" s="1"/>
  <c r="L79" i="10"/>
  <c r="E79" i="10"/>
  <c r="K78" i="10"/>
  <c r="K77" i="10" s="1"/>
  <c r="J78" i="10"/>
  <c r="J77" i="10" s="1"/>
  <c r="I78" i="10"/>
  <c r="H78" i="10"/>
  <c r="G78" i="10"/>
  <c r="F78" i="10"/>
  <c r="D78" i="10"/>
  <c r="D77" i="10" s="1"/>
  <c r="H77" i="10"/>
  <c r="L76" i="10"/>
  <c r="L75" i="10"/>
  <c r="L74" i="10"/>
  <c r="L73" i="10"/>
  <c r="L72" i="10"/>
  <c r="E72" i="10"/>
  <c r="E71" i="10"/>
  <c r="L71" i="10" s="1"/>
  <c r="E70" i="10"/>
  <c r="L70" i="10" s="1"/>
  <c r="K69" i="10"/>
  <c r="J69" i="10"/>
  <c r="J63" i="10" s="1"/>
  <c r="I69" i="10"/>
  <c r="H69" i="10"/>
  <c r="G69" i="10"/>
  <c r="F69" i="10"/>
  <c r="F63" i="10" s="1"/>
  <c r="D69" i="10"/>
  <c r="L68" i="10"/>
  <c r="E68" i="10"/>
  <c r="E67" i="10"/>
  <c r="L67" i="10" s="1"/>
  <c r="E66" i="10"/>
  <c r="L66" i="10" s="1"/>
  <c r="E65" i="10"/>
  <c r="L65" i="10" s="1"/>
  <c r="K64" i="10"/>
  <c r="J64" i="10"/>
  <c r="I64" i="10"/>
  <c r="I63" i="10" s="1"/>
  <c r="H64" i="10"/>
  <c r="H63" i="10" s="1"/>
  <c r="G64" i="10"/>
  <c r="E64" i="10" s="1"/>
  <c r="L64" i="10" s="1"/>
  <c r="F64" i="10"/>
  <c r="D64" i="10"/>
  <c r="E62" i="10"/>
  <c r="L62" i="10" s="1"/>
  <c r="E61" i="10"/>
  <c r="L61" i="10" s="1"/>
  <c r="E60" i="10"/>
  <c r="L60" i="10" s="1"/>
  <c r="L59" i="10"/>
  <c r="E59" i="10"/>
  <c r="E58" i="10"/>
  <c r="L58" i="10" s="1"/>
  <c r="E57" i="10"/>
  <c r="L57" i="10" s="1"/>
  <c r="K56" i="10"/>
  <c r="J56" i="10"/>
  <c r="I56" i="10"/>
  <c r="H56" i="10"/>
  <c r="G56" i="10"/>
  <c r="F56" i="10"/>
  <c r="D56" i="10"/>
  <c r="E55" i="10"/>
  <c r="L55" i="10" s="1"/>
  <c r="E54" i="10"/>
  <c r="L54" i="10" s="1"/>
  <c r="E53" i="10"/>
  <c r="L53" i="10" s="1"/>
  <c r="L52" i="10"/>
  <c r="E52" i="10"/>
  <c r="E51" i="10"/>
  <c r="L51" i="10" s="1"/>
  <c r="E50" i="10"/>
  <c r="L50" i="10" s="1"/>
  <c r="L49" i="10"/>
  <c r="L48" i="10"/>
  <c r="L47" i="10"/>
  <c r="L46" i="10"/>
  <c r="K45" i="10"/>
  <c r="J45" i="10"/>
  <c r="I45" i="10"/>
  <c r="H45" i="10"/>
  <c r="G45" i="10"/>
  <c r="F45" i="10"/>
  <c r="D45" i="10"/>
  <c r="L44" i="10"/>
  <c r="E44" i="10"/>
  <c r="E43" i="10"/>
  <c r="L43" i="10" s="1"/>
  <c r="K42" i="10"/>
  <c r="J42" i="10"/>
  <c r="I42" i="10"/>
  <c r="H42" i="10"/>
  <c r="G42" i="10"/>
  <c r="F42" i="10"/>
  <c r="D42" i="10"/>
  <c r="L41" i="10"/>
  <c r="E41" i="10"/>
  <c r="E40" i="10"/>
  <c r="L40" i="10" s="1"/>
  <c r="E39" i="10"/>
  <c r="L39" i="10" s="1"/>
  <c r="E38" i="10"/>
  <c r="L38" i="10" s="1"/>
  <c r="L37" i="10"/>
  <c r="E37" i="10"/>
  <c r="E36" i="10"/>
  <c r="L36" i="10" s="1"/>
  <c r="K35" i="10"/>
  <c r="J35" i="10"/>
  <c r="I35" i="10"/>
  <c r="H35" i="10"/>
  <c r="G35" i="10"/>
  <c r="F35" i="10"/>
  <c r="E35" i="10" s="1"/>
  <c r="L35" i="10" s="1"/>
  <c r="D35" i="10"/>
  <c r="E34" i="10"/>
  <c r="L34" i="10" s="1"/>
  <c r="L33" i="10"/>
  <c r="E33" i="10"/>
  <c r="E32" i="10"/>
  <c r="L32" i="10" s="1"/>
  <c r="E31" i="10"/>
  <c r="L31" i="10" s="1"/>
  <c r="E30" i="10"/>
  <c r="L30" i="10" s="1"/>
  <c r="K29" i="10"/>
  <c r="J29" i="10"/>
  <c r="I29" i="10"/>
  <c r="H29" i="10"/>
  <c r="G29" i="10"/>
  <c r="F29" i="10"/>
  <c r="D29" i="10"/>
  <c r="E28" i="10"/>
  <c r="L28" i="10" s="1"/>
  <c r="E27" i="10"/>
  <c r="L27" i="10" s="1"/>
  <c r="L26" i="10"/>
  <c r="E26" i="10"/>
  <c r="E25" i="10"/>
  <c r="L25" i="10" s="1"/>
  <c r="E24" i="10"/>
  <c r="L24" i="10" s="1"/>
  <c r="E23" i="10"/>
  <c r="L23" i="10" s="1"/>
  <c r="K22" i="10"/>
  <c r="J22" i="10"/>
  <c r="I22" i="10"/>
  <c r="H22" i="10"/>
  <c r="G22" i="10"/>
  <c r="F22" i="10"/>
  <c r="E22" i="10"/>
  <c r="L22" i="10" s="1"/>
  <c r="D22" i="10"/>
  <c r="E21" i="10"/>
  <c r="L21" i="10" s="1"/>
  <c r="K20" i="10"/>
  <c r="J20" i="10"/>
  <c r="I20" i="10"/>
  <c r="H20" i="10"/>
  <c r="G20" i="10"/>
  <c r="E20" i="10" s="1"/>
  <c r="L20" i="10" s="1"/>
  <c r="F20" i="10"/>
  <c r="D20" i="10"/>
  <c r="E19" i="10"/>
  <c r="L19" i="10" s="1"/>
  <c r="E18" i="10"/>
  <c r="L18" i="10" s="1"/>
  <c r="L17" i="10"/>
  <c r="L16" i="10"/>
  <c r="L15" i="10"/>
  <c r="L14" i="10"/>
  <c r="E13" i="10"/>
  <c r="L13" i="10" s="1"/>
  <c r="K12" i="10"/>
  <c r="K11" i="10" s="1"/>
  <c r="J12" i="10"/>
  <c r="I12" i="10"/>
  <c r="H12" i="10"/>
  <c r="H11" i="10" s="1"/>
  <c r="G12" i="10"/>
  <c r="G11" i="10" s="1"/>
  <c r="F12" i="10"/>
  <c r="E12" i="10" s="1"/>
  <c r="L12" i="10" s="1"/>
  <c r="D12" i="10"/>
  <c r="D11" i="10" s="1"/>
  <c r="G540" i="9"/>
  <c r="Q539" i="9"/>
  <c r="O539" i="9"/>
  <c r="N539" i="9"/>
  <c r="L539" i="9"/>
  <c r="J539" i="9"/>
  <c r="I539" i="9"/>
  <c r="E539" i="9"/>
  <c r="G538" i="9"/>
  <c r="G537" i="9"/>
  <c r="G536" i="9"/>
  <c r="G535" i="9"/>
  <c r="G534" i="9"/>
  <c r="G533" i="9"/>
  <c r="G532" i="9"/>
  <c r="G531" i="9"/>
  <c r="Q530" i="9"/>
  <c r="O530" i="9"/>
  <c r="N530" i="9"/>
  <c r="N515" i="9" s="1"/>
  <c r="L530" i="9"/>
  <c r="J530" i="9"/>
  <c r="I530" i="9"/>
  <c r="E530" i="9"/>
  <c r="G529" i="9"/>
  <c r="G528" i="9"/>
  <c r="G527" i="9"/>
  <c r="G526" i="9"/>
  <c r="G525" i="9"/>
  <c r="G524" i="9"/>
  <c r="G523" i="9"/>
  <c r="G522" i="9"/>
  <c r="G517" i="9"/>
  <c r="Q516" i="9"/>
  <c r="Q515" i="9" s="1"/>
  <c r="O516" i="9"/>
  <c r="N516" i="9"/>
  <c r="L516" i="9"/>
  <c r="L515" i="9" s="1"/>
  <c r="J516" i="9"/>
  <c r="I516" i="9"/>
  <c r="E516" i="9"/>
  <c r="G514" i="9"/>
  <c r="Q513" i="9"/>
  <c r="O513" i="9"/>
  <c r="N513" i="9"/>
  <c r="L513" i="9"/>
  <c r="J513" i="9"/>
  <c r="I513" i="9"/>
  <c r="E513" i="9"/>
  <c r="G512" i="9"/>
  <c r="Q511" i="9"/>
  <c r="O511" i="9"/>
  <c r="N511" i="9"/>
  <c r="L511" i="9"/>
  <c r="J511" i="9"/>
  <c r="I511" i="9"/>
  <c r="G511" i="9" s="1"/>
  <c r="E511" i="9"/>
  <c r="G510" i="9"/>
  <c r="Q509" i="9"/>
  <c r="O509" i="9"/>
  <c r="N509" i="9"/>
  <c r="L509" i="9"/>
  <c r="J509" i="9"/>
  <c r="I509" i="9"/>
  <c r="E509" i="9"/>
  <c r="G508" i="9"/>
  <c r="G507" i="9"/>
  <c r="G506" i="9"/>
  <c r="G505" i="9"/>
  <c r="G504" i="9"/>
  <c r="G503" i="9"/>
  <c r="G502" i="9"/>
  <c r="Q501" i="9"/>
  <c r="O501" i="9"/>
  <c r="N501" i="9"/>
  <c r="L501" i="9"/>
  <c r="J501" i="9"/>
  <c r="I501" i="9"/>
  <c r="E501" i="9"/>
  <c r="G500" i="9"/>
  <c r="G499" i="9"/>
  <c r="G498" i="9"/>
  <c r="G497" i="9"/>
  <c r="G496" i="9"/>
  <c r="G495" i="9"/>
  <c r="G490" i="9"/>
  <c r="G489" i="9"/>
  <c r="G488" i="9"/>
  <c r="Q487" i="9"/>
  <c r="Q486" i="9" s="1"/>
  <c r="O487" i="9"/>
  <c r="O486" i="9" s="1"/>
  <c r="N487" i="9"/>
  <c r="L487" i="9"/>
  <c r="J487" i="9"/>
  <c r="I487" i="9"/>
  <c r="I486" i="9" s="1"/>
  <c r="E487" i="9"/>
  <c r="G484" i="9"/>
  <c r="Q483" i="9"/>
  <c r="Q482" i="9" s="1"/>
  <c r="O483" i="9"/>
  <c r="O482" i="9" s="1"/>
  <c r="N483" i="9"/>
  <c r="N482" i="9" s="1"/>
  <c r="L483" i="9"/>
  <c r="L482" i="9" s="1"/>
  <c r="J483" i="9"/>
  <c r="G483" i="9" s="1"/>
  <c r="I483" i="9"/>
  <c r="E483" i="9"/>
  <c r="I482" i="9"/>
  <c r="E482" i="9"/>
  <c r="G481" i="9"/>
  <c r="G480" i="9"/>
  <c r="Q479" i="9"/>
  <c r="O479" i="9"/>
  <c r="N479" i="9"/>
  <c r="L479" i="9"/>
  <c r="J479" i="9"/>
  <c r="I479" i="9"/>
  <c r="E479" i="9"/>
  <c r="G478" i="9"/>
  <c r="Q477" i="9"/>
  <c r="Q474" i="9" s="1"/>
  <c r="O477" i="9"/>
  <c r="N477" i="9"/>
  <c r="L477" i="9"/>
  <c r="J477" i="9"/>
  <c r="I477" i="9"/>
  <c r="G477" i="9" s="1"/>
  <c r="E477" i="9"/>
  <c r="G476" i="9"/>
  <c r="Q475" i="9"/>
  <c r="O475" i="9"/>
  <c r="N475" i="9"/>
  <c r="L475" i="9"/>
  <c r="J475" i="9"/>
  <c r="I475" i="9"/>
  <c r="E475" i="9"/>
  <c r="J474" i="9"/>
  <c r="E474" i="9"/>
  <c r="G473" i="9"/>
  <c r="Q472" i="9"/>
  <c r="Q471" i="9" s="1"/>
  <c r="O472" i="9"/>
  <c r="N472" i="9"/>
  <c r="L472" i="9"/>
  <c r="J472" i="9"/>
  <c r="I472" i="9"/>
  <c r="G472" i="9" s="1"/>
  <c r="E472" i="9"/>
  <c r="E471" i="9" s="1"/>
  <c r="O471" i="9"/>
  <c r="N471" i="9"/>
  <c r="L471" i="9"/>
  <c r="J471" i="9"/>
  <c r="G470" i="9"/>
  <c r="Q469" i="9"/>
  <c r="O469" i="9"/>
  <c r="N469" i="9"/>
  <c r="L469" i="9"/>
  <c r="J469" i="9"/>
  <c r="I469" i="9"/>
  <c r="G469" i="9" s="1"/>
  <c r="E469" i="9"/>
  <c r="G468" i="9"/>
  <c r="G467" i="9"/>
  <c r="G462" i="9"/>
  <c r="Q461" i="9"/>
  <c r="O461" i="9"/>
  <c r="N461" i="9"/>
  <c r="L461" i="9"/>
  <c r="L458" i="9" s="1"/>
  <c r="J461" i="9"/>
  <c r="I461" i="9"/>
  <c r="E461" i="9"/>
  <c r="G460" i="9"/>
  <c r="Q459" i="9"/>
  <c r="Q458" i="9" s="1"/>
  <c r="O459" i="9"/>
  <c r="O458" i="9" s="1"/>
  <c r="N459" i="9"/>
  <c r="N458" i="9" s="1"/>
  <c r="L459" i="9"/>
  <c r="J459" i="9"/>
  <c r="I459" i="9"/>
  <c r="E459" i="9"/>
  <c r="J458" i="9"/>
  <c r="I458" i="9"/>
  <c r="G457" i="9"/>
  <c r="F457" i="9"/>
  <c r="Q456" i="9"/>
  <c r="P456" i="9"/>
  <c r="O456" i="9"/>
  <c r="N456" i="9"/>
  <c r="M456" i="9"/>
  <c r="L456" i="9"/>
  <c r="K456" i="9"/>
  <c r="J456" i="9"/>
  <c r="I456" i="9"/>
  <c r="H456" i="9"/>
  <c r="G456" i="9"/>
  <c r="F456" i="9"/>
  <c r="E456" i="9"/>
  <c r="G455" i="9"/>
  <c r="Q454" i="9"/>
  <c r="O454" i="9"/>
  <c r="N454" i="9"/>
  <c r="L454" i="9"/>
  <c r="J454" i="9"/>
  <c r="I454" i="9"/>
  <c r="E454" i="9"/>
  <c r="G453" i="9"/>
  <c r="Q452" i="9"/>
  <c r="Q435" i="9" s="1"/>
  <c r="Q434" i="9" s="1"/>
  <c r="O452" i="9"/>
  <c r="N452" i="9"/>
  <c r="L452" i="9"/>
  <c r="J452" i="9"/>
  <c r="I452" i="9"/>
  <c r="E452" i="9"/>
  <c r="G451" i="9"/>
  <c r="G450" i="9"/>
  <c r="G449" i="9"/>
  <c r="G448" i="9"/>
  <c r="P447" i="9"/>
  <c r="G447" i="9" s="1"/>
  <c r="H447" i="9"/>
  <c r="F447" i="9" s="1"/>
  <c r="G446" i="9"/>
  <c r="G445" i="9"/>
  <c r="T444" i="9"/>
  <c r="P444" i="9"/>
  <c r="G444" i="9" s="1"/>
  <c r="F444" i="9"/>
  <c r="P443" i="9"/>
  <c r="F443" i="9" s="1"/>
  <c r="G442" i="9"/>
  <c r="Q441" i="9"/>
  <c r="O441" i="9"/>
  <c r="N441" i="9"/>
  <c r="M441" i="9"/>
  <c r="L441" i="9"/>
  <c r="L435" i="9" s="1"/>
  <c r="K441" i="9"/>
  <c r="J441" i="9"/>
  <c r="I441" i="9"/>
  <c r="E441" i="9"/>
  <c r="G440" i="9"/>
  <c r="G439" i="9"/>
  <c r="F439" i="9"/>
  <c r="F436" i="9" s="1"/>
  <c r="G438" i="9"/>
  <c r="G437" i="9"/>
  <c r="Q436" i="9"/>
  <c r="P436" i="9"/>
  <c r="O436" i="9"/>
  <c r="O435" i="9" s="1"/>
  <c r="N436" i="9"/>
  <c r="M436" i="9"/>
  <c r="L436" i="9"/>
  <c r="K436" i="9"/>
  <c r="J436" i="9"/>
  <c r="I436" i="9"/>
  <c r="H436" i="9"/>
  <c r="G436" i="9"/>
  <c r="E436" i="9"/>
  <c r="E435" i="9"/>
  <c r="G433" i="9"/>
  <c r="Q432" i="9"/>
  <c r="O432" i="9"/>
  <c r="N432" i="9"/>
  <c r="L432" i="9"/>
  <c r="J432" i="9"/>
  <c r="I432" i="9"/>
  <c r="E432" i="9"/>
  <c r="G427" i="9"/>
  <c r="Q426" i="9"/>
  <c r="O426" i="9"/>
  <c r="N426" i="9"/>
  <c r="L426" i="9"/>
  <c r="J426" i="9"/>
  <c r="I426" i="9"/>
  <c r="E426" i="9"/>
  <c r="G425" i="9"/>
  <c r="G424" i="9"/>
  <c r="Q423" i="9"/>
  <c r="O423" i="9"/>
  <c r="N423" i="9"/>
  <c r="L423" i="9"/>
  <c r="L413" i="9" s="1"/>
  <c r="J423" i="9"/>
  <c r="I423" i="9"/>
  <c r="E423" i="9"/>
  <c r="G422" i="9"/>
  <c r="F422" i="9"/>
  <c r="F421" i="9" s="1"/>
  <c r="Q421" i="9"/>
  <c r="P421" i="9"/>
  <c r="O421" i="9"/>
  <c r="N421" i="9"/>
  <c r="M421" i="9"/>
  <c r="L421" i="9"/>
  <c r="K421" i="9"/>
  <c r="J421" i="9"/>
  <c r="I421" i="9"/>
  <c r="H421" i="9"/>
  <c r="G421" i="9"/>
  <c r="E421" i="9"/>
  <c r="G420" i="9"/>
  <c r="F420" i="9"/>
  <c r="G419" i="9"/>
  <c r="F419" i="9"/>
  <c r="G418" i="9"/>
  <c r="G417" i="9" s="1"/>
  <c r="F418" i="9"/>
  <c r="Q417" i="9"/>
  <c r="P417" i="9"/>
  <c r="P413" i="9" s="1"/>
  <c r="O417" i="9"/>
  <c r="N417" i="9"/>
  <c r="M417" i="9"/>
  <c r="L417" i="9"/>
  <c r="K417" i="9"/>
  <c r="J417" i="9"/>
  <c r="I417" i="9"/>
  <c r="H417" i="9"/>
  <c r="H413" i="9" s="1"/>
  <c r="E417" i="9"/>
  <c r="G416" i="9"/>
  <c r="F416" i="9"/>
  <c r="F414" i="9" s="1"/>
  <c r="G415" i="9"/>
  <c r="G414" i="9" s="1"/>
  <c r="Q414" i="9"/>
  <c r="P414" i="9"/>
  <c r="O414" i="9"/>
  <c r="N414" i="9"/>
  <c r="M414" i="9"/>
  <c r="L414" i="9"/>
  <c r="K414" i="9"/>
  <c r="J414" i="9"/>
  <c r="I414" i="9"/>
  <c r="I413" i="9" s="1"/>
  <c r="H414" i="9"/>
  <c r="E414" i="9"/>
  <c r="E413" i="9" s="1"/>
  <c r="Q413" i="9"/>
  <c r="M413" i="9"/>
  <c r="G412" i="9"/>
  <c r="G411" i="9"/>
  <c r="G410" i="9"/>
  <c r="G409" i="9"/>
  <c r="G408" i="9"/>
  <c r="G407" i="9"/>
  <c r="G406" i="9"/>
  <c r="G405" i="9"/>
  <c r="G404" i="9"/>
  <c r="Q399" i="9"/>
  <c r="O399" i="9"/>
  <c r="N399" i="9"/>
  <c r="L399" i="9"/>
  <c r="J399" i="9"/>
  <c r="J394" i="9" s="1"/>
  <c r="I399" i="9"/>
  <c r="E399" i="9"/>
  <c r="G398" i="9"/>
  <c r="G397" i="9"/>
  <c r="G396" i="9"/>
  <c r="Q395" i="9"/>
  <c r="Q394" i="9" s="1"/>
  <c r="O395" i="9"/>
  <c r="O394" i="9" s="1"/>
  <c r="N395" i="9"/>
  <c r="L395" i="9"/>
  <c r="J395" i="9"/>
  <c r="I395" i="9"/>
  <c r="E395" i="9"/>
  <c r="E394" i="9" s="1"/>
  <c r="L394" i="9"/>
  <c r="I394" i="9"/>
  <c r="G393" i="9"/>
  <c r="G392" i="9"/>
  <c r="F392" i="9"/>
  <c r="F391" i="9" s="1"/>
  <c r="F374" i="9" s="1"/>
  <c r="Q391" i="9"/>
  <c r="P391" i="9"/>
  <c r="P374" i="9" s="1"/>
  <c r="O391" i="9"/>
  <c r="N391" i="9"/>
  <c r="M391" i="9"/>
  <c r="M374" i="9" s="1"/>
  <c r="L391" i="9"/>
  <c r="K391" i="9"/>
  <c r="J391" i="9"/>
  <c r="I391" i="9"/>
  <c r="H391" i="9"/>
  <c r="H374" i="9" s="1"/>
  <c r="E391" i="9"/>
  <c r="G390" i="9"/>
  <c r="G389" i="9"/>
  <c r="Q388" i="9"/>
  <c r="O388" i="9"/>
  <c r="N388" i="9"/>
  <c r="L388" i="9"/>
  <c r="J388" i="9"/>
  <c r="I388" i="9"/>
  <c r="E388" i="9"/>
  <c r="G387" i="9"/>
  <c r="G386" i="9"/>
  <c r="Q385" i="9"/>
  <c r="O385" i="9"/>
  <c r="N385" i="9"/>
  <c r="L385" i="9"/>
  <c r="J385" i="9"/>
  <c r="I385" i="9"/>
  <c r="E385" i="9"/>
  <c r="G384" i="9"/>
  <c r="G383" i="9"/>
  <c r="Q382" i="9"/>
  <c r="O382" i="9"/>
  <c r="O374" i="9" s="1"/>
  <c r="N382" i="9"/>
  <c r="N374" i="9" s="1"/>
  <c r="L382" i="9"/>
  <c r="J382" i="9"/>
  <c r="I382" i="9"/>
  <c r="E382" i="9"/>
  <c r="G381" i="9"/>
  <c r="G380" i="9"/>
  <c r="Q379" i="9"/>
  <c r="Q374" i="9" s="1"/>
  <c r="O379" i="9"/>
  <c r="N379" i="9"/>
  <c r="L379" i="9"/>
  <c r="J379" i="9"/>
  <c r="J374" i="9" s="1"/>
  <c r="I379" i="9"/>
  <c r="I374" i="9" s="1"/>
  <c r="E379" i="9"/>
  <c r="E374" i="9" s="1"/>
  <c r="K374" i="9"/>
  <c r="G373" i="9"/>
  <c r="G372" i="9"/>
  <c r="Q371" i="9"/>
  <c r="O371" i="9"/>
  <c r="N371" i="9"/>
  <c r="N361" i="9" s="1"/>
  <c r="L371" i="9"/>
  <c r="J371" i="9"/>
  <c r="I371" i="9"/>
  <c r="E371" i="9"/>
  <c r="G370" i="9"/>
  <c r="G369" i="9"/>
  <c r="Q368" i="9"/>
  <c r="O368" i="9"/>
  <c r="N368" i="9"/>
  <c r="L368" i="9"/>
  <c r="J368" i="9"/>
  <c r="I368" i="9"/>
  <c r="G368" i="9"/>
  <c r="E368" i="9"/>
  <c r="G367" i="9"/>
  <c r="G366" i="9"/>
  <c r="Q365" i="9"/>
  <c r="O365" i="9"/>
  <c r="N365" i="9"/>
  <c r="L365" i="9"/>
  <c r="J365" i="9"/>
  <c r="I365" i="9"/>
  <c r="E365" i="9"/>
  <c r="G364" i="9"/>
  <c r="G363" i="9"/>
  <c r="Q362" i="9"/>
  <c r="O362" i="9"/>
  <c r="N362" i="9"/>
  <c r="L362" i="9"/>
  <c r="J362" i="9"/>
  <c r="I362" i="9"/>
  <c r="E362" i="9"/>
  <c r="E361" i="9" s="1"/>
  <c r="G360" i="9"/>
  <c r="G359" i="9"/>
  <c r="G358" i="9"/>
  <c r="Q357" i="9"/>
  <c r="O357" i="9"/>
  <c r="N357" i="9"/>
  <c r="L357" i="9"/>
  <c r="J357" i="9"/>
  <c r="I357" i="9"/>
  <c r="E357" i="9"/>
  <c r="G356" i="9"/>
  <c r="Q355" i="9"/>
  <c r="O355" i="9"/>
  <c r="N355" i="9"/>
  <c r="L355" i="9"/>
  <c r="J355" i="9"/>
  <c r="I355" i="9"/>
  <c r="E355" i="9"/>
  <c r="G354" i="9"/>
  <c r="G353" i="9"/>
  <c r="G348" i="9"/>
  <c r="G347" i="9"/>
  <c r="G346" i="9"/>
  <c r="G345" i="9"/>
  <c r="Q344" i="9"/>
  <c r="O344" i="9"/>
  <c r="O333" i="9" s="1"/>
  <c r="N344" i="9"/>
  <c r="L344" i="9"/>
  <c r="J344" i="9"/>
  <c r="I344" i="9"/>
  <c r="E344" i="9"/>
  <c r="G343" i="9"/>
  <c r="G342" i="9"/>
  <c r="G341" i="9"/>
  <c r="G340" i="9"/>
  <c r="G339" i="9"/>
  <c r="F339" i="9"/>
  <c r="G338" i="9"/>
  <c r="G337" i="9"/>
  <c r="G336" i="9"/>
  <c r="G335" i="9"/>
  <c r="Q334" i="9"/>
  <c r="P334" i="9"/>
  <c r="O334" i="9"/>
  <c r="N334" i="9"/>
  <c r="M334" i="9"/>
  <c r="M333" i="9" s="1"/>
  <c r="L334" i="9"/>
  <c r="L333" i="9" s="1"/>
  <c r="K334" i="9"/>
  <c r="K333" i="9" s="1"/>
  <c r="J334" i="9"/>
  <c r="I334" i="9"/>
  <c r="H334" i="9"/>
  <c r="H333" i="9" s="1"/>
  <c r="G334" i="9"/>
  <c r="F334" i="9"/>
  <c r="F333" i="9" s="1"/>
  <c r="E334" i="9"/>
  <c r="P333" i="9"/>
  <c r="G332" i="9"/>
  <c r="Q331" i="9"/>
  <c r="O331" i="9"/>
  <c r="N331" i="9"/>
  <c r="L331" i="9"/>
  <c r="J331" i="9"/>
  <c r="I331" i="9"/>
  <c r="E331" i="9"/>
  <c r="G330" i="9"/>
  <c r="G329" i="9"/>
  <c r="G328" i="9"/>
  <c r="Q327" i="9"/>
  <c r="O327" i="9"/>
  <c r="N327" i="9"/>
  <c r="L327" i="9"/>
  <c r="J327" i="9"/>
  <c r="I327" i="9"/>
  <c r="G327" i="9" s="1"/>
  <c r="E327" i="9"/>
  <c r="G326" i="9"/>
  <c r="Q325" i="9"/>
  <c r="O325" i="9"/>
  <c r="N325" i="9"/>
  <c r="L325" i="9"/>
  <c r="J325" i="9"/>
  <c r="I325" i="9"/>
  <c r="E325" i="9"/>
  <c r="G324" i="9"/>
  <c r="Q323" i="9"/>
  <c r="Q314" i="9" s="1"/>
  <c r="O323" i="9"/>
  <c r="N323" i="9"/>
  <c r="L323" i="9"/>
  <c r="J323" i="9"/>
  <c r="I323" i="9"/>
  <c r="E323" i="9"/>
  <c r="G318" i="9"/>
  <c r="G317" i="9"/>
  <c r="G316" i="9"/>
  <c r="Q315" i="9"/>
  <c r="O315" i="9"/>
  <c r="N315" i="9"/>
  <c r="L315" i="9"/>
  <c r="L314" i="9" s="1"/>
  <c r="J315" i="9"/>
  <c r="J314" i="9" s="1"/>
  <c r="I315" i="9"/>
  <c r="E315" i="9"/>
  <c r="E314" i="9" s="1"/>
  <c r="N313" i="9"/>
  <c r="M313" i="9"/>
  <c r="G313" i="9" s="1"/>
  <c r="H313" i="9"/>
  <c r="H286" i="9" s="1"/>
  <c r="N312" i="9"/>
  <c r="G312" i="9" s="1"/>
  <c r="F312" i="9"/>
  <c r="G311" i="9"/>
  <c r="F311" i="9"/>
  <c r="F310" i="9"/>
  <c r="F309" i="9"/>
  <c r="F308" i="9"/>
  <c r="F307" i="9"/>
  <c r="M306" i="9"/>
  <c r="M303" i="9" s="1"/>
  <c r="F306" i="9"/>
  <c r="F305" i="9"/>
  <c r="F304" i="9"/>
  <c r="M302" i="9"/>
  <c r="F302" i="9" s="1"/>
  <c r="M301" i="9"/>
  <c r="F301" i="9"/>
  <c r="M300" i="9"/>
  <c r="F300" i="9" s="1"/>
  <c r="F299" i="9"/>
  <c r="F298" i="9"/>
  <c r="F297" i="9"/>
  <c r="F296" i="9"/>
  <c r="M295" i="9"/>
  <c r="F295" i="9" s="1"/>
  <c r="F294" i="9" s="1"/>
  <c r="M294" i="9"/>
  <c r="M293" i="9"/>
  <c r="F293" i="9" s="1"/>
  <c r="G292" i="9"/>
  <c r="G291" i="9"/>
  <c r="N290" i="9"/>
  <c r="M290" i="9"/>
  <c r="M286" i="9" s="1"/>
  <c r="F290" i="9"/>
  <c r="G289" i="9"/>
  <c r="F289" i="9"/>
  <c r="G288" i="9"/>
  <c r="G287" i="9"/>
  <c r="F287" i="9"/>
  <c r="Q286" i="9"/>
  <c r="P286" i="9"/>
  <c r="O286" i="9"/>
  <c r="L286" i="9"/>
  <c r="K286" i="9"/>
  <c r="J286" i="9"/>
  <c r="I286" i="9"/>
  <c r="E286" i="9"/>
  <c r="N285" i="9"/>
  <c r="M285" i="9"/>
  <c r="M283" i="9" s="1"/>
  <c r="F285" i="9"/>
  <c r="G284" i="9"/>
  <c r="F284" i="9"/>
  <c r="Q283" i="9"/>
  <c r="P283" i="9"/>
  <c r="O283" i="9"/>
  <c r="L283" i="9"/>
  <c r="K283" i="9"/>
  <c r="J283" i="9"/>
  <c r="I283" i="9"/>
  <c r="H283" i="9"/>
  <c r="E283" i="9"/>
  <c r="P282" i="9"/>
  <c r="G282" i="9" s="1"/>
  <c r="P281" i="9"/>
  <c r="F281" i="9" s="1"/>
  <c r="G281" i="9"/>
  <c r="G280" i="9"/>
  <c r="G279" i="9"/>
  <c r="M278" i="9"/>
  <c r="G278" i="9" s="1"/>
  <c r="G277" i="9"/>
  <c r="G276" i="9"/>
  <c r="Q275" i="9"/>
  <c r="O275" i="9"/>
  <c r="N275" i="9"/>
  <c r="L275" i="9"/>
  <c r="K275" i="9"/>
  <c r="J275" i="9"/>
  <c r="I275" i="9"/>
  <c r="H275" i="9"/>
  <c r="E275" i="9"/>
  <c r="G274" i="9"/>
  <c r="F274" i="9"/>
  <c r="G269" i="9"/>
  <c r="F269" i="9"/>
  <c r="G268" i="9"/>
  <c r="G267" i="9"/>
  <c r="F267" i="9"/>
  <c r="G266" i="9"/>
  <c r="F266" i="9"/>
  <c r="P265" i="9"/>
  <c r="G265" i="9" s="1"/>
  <c r="F265" i="9"/>
  <c r="M264" i="9"/>
  <c r="F264" i="9" s="1"/>
  <c r="G264" i="9"/>
  <c r="G263" i="9"/>
  <c r="Q262" i="9"/>
  <c r="P262" i="9"/>
  <c r="O262" i="9"/>
  <c r="N262" i="9"/>
  <c r="M262" i="9"/>
  <c r="L262" i="9"/>
  <c r="K262" i="9"/>
  <c r="J262" i="9"/>
  <c r="I262" i="9"/>
  <c r="H262" i="9"/>
  <c r="E262" i="9"/>
  <c r="G261" i="9"/>
  <c r="G260" i="9"/>
  <c r="G259" i="9"/>
  <c r="G258" i="9"/>
  <c r="G257" i="9"/>
  <c r="F257" i="9"/>
  <c r="F256" i="9" s="1"/>
  <c r="Q256" i="9"/>
  <c r="P256" i="9"/>
  <c r="O256" i="9"/>
  <c r="N256" i="9"/>
  <c r="M256" i="9"/>
  <c r="L256" i="9"/>
  <c r="K256" i="9"/>
  <c r="J256" i="9"/>
  <c r="I256" i="9"/>
  <c r="H256" i="9"/>
  <c r="E256" i="9"/>
  <c r="G255" i="9"/>
  <c r="G254" i="9"/>
  <c r="M253" i="9"/>
  <c r="G253" i="9" s="1"/>
  <c r="M252" i="9"/>
  <c r="F252" i="9" s="1"/>
  <c r="G252" i="9"/>
  <c r="P251" i="9"/>
  <c r="P248" i="9" s="1"/>
  <c r="M251" i="9"/>
  <c r="G251" i="9" s="1"/>
  <c r="M250" i="9"/>
  <c r="F250" i="9" s="1"/>
  <c r="G249" i="9"/>
  <c r="F249" i="9"/>
  <c r="Q248" i="9"/>
  <c r="O248" i="9"/>
  <c r="O247" i="9" s="1"/>
  <c r="N248" i="9"/>
  <c r="L248" i="9"/>
  <c r="L247" i="9" s="1"/>
  <c r="K248" i="9"/>
  <c r="J248" i="9"/>
  <c r="I248" i="9"/>
  <c r="H248" i="9"/>
  <c r="E248" i="9"/>
  <c r="Q247" i="9"/>
  <c r="G246" i="9"/>
  <c r="Q245" i="9"/>
  <c r="O245" i="9"/>
  <c r="N245" i="9"/>
  <c r="L245" i="9"/>
  <c r="J245" i="9"/>
  <c r="I245" i="9"/>
  <c r="E245" i="9"/>
  <c r="G244" i="9"/>
  <c r="Q243" i="9"/>
  <c r="O243" i="9"/>
  <c r="N243" i="9"/>
  <c r="L243" i="9"/>
  <c r="J243" i="9"/>
  <c r="I243" i="9"/>
  <c r="E243" i="9"/>
  <c r="G242" i="9"/>
  <c r="F242" i="9"/>
  <c r="Q241" i="9"/>
  <c r="P241" i="9"/>
  <c r="O241" i="9"/>
  <c r="N241" i="9"/>
  <c r="M241" i="9"/>
  <c r="L241" i="9"/>
  <c r="K241" i="9"/>
  <c r="J241" i="9"/>
  <c r="I241" i="9"/>
  <c r="H241" i="9"/>
  <c r="G241" i="9"/>
  <c r="F241" i="9"/>
  <c r="E241" i="9"/>
  <c r="G240" i="9"/>
  <c r="F240" i="9"/>
  <c r="Q239" i="9"/>
  <c r="P239" i="9"/>
  <c r="O239" i="9"/>
  <c r="N239" i="9"/>
  <c r="M239" i="9"/>
  <c r="L239" i="9"/>
  <c r="K239" i="9"/>
  <c r="J239" i="9"/>
  <c r="I239" i="9"/>
  <c r="H239" i="9"/>
  <c r="G239" i="9"/>
  <c r="F239" i="9"/>
  <c r="E239" i="9"/>
  <c r="G238" i="9"/>
  <c r="F238" i="9"/>
  <c r="M233" i="9"/>
  <c r="G233" i="9" s="1"/>
  <c r="F233" i="9"/>
  <c r="G232" i="9"/>
  <c r="G231" i="9"/>
  <c r="Q230" i="9"/>
  <c r="P230" i="9"/>
  <c r="O230" i="9"/>
  <c r="N230" i="9"/>
  <c r="M230" i="9"/>
  <c r="L230" i="9"/>
  <c r="K230" i="9"/>
  <c r="J230" i="9"/>
  <c r="I230" i="9"/>
  <c r="H230" i="9"/>
  <c r="E230" i="9"/>
  <c r="G229" i="9"/>
  <c r="Q228" i="9"/>
  <c r="O228" i="9"/>
  <c r="N228" i="9"/>
  <c r="L228" i="9"/>
  <c r="J228" i="9"/>
  <c r="I228" i="9"/>
  <c r="E228" i="9"/>
  <c r="G227" i="9"/>
  <c r="N226" i="9"/>
  <c r="G226" i="9" s="1"/>
  <c r="F226" i="9"/>
  <c r="E226" i="9"/>
  <c r="N225" i="9"/>
  <c r="G225" i="9" s="1"/>
  <c r="F225" i="9"/>
  <c r="E225" i="9"/>
  <c r="Q224" i="9"/>
  <c r="P224" i="9"/>
  <c r="O224" i="9"/>
  <c r="M224" i="9"/>
  <c r="L224" i="9"/>
  <c r="K224" i="9"/>
  <c r="J224" i="9"/>
  <c r="I224" i="9"/>
  <c r="H224" i="9"/>
  <c r="R223" i="9"/>
  <c r="N223" i="9"/>
  <c r="G223" i="9" s="1"/>
  <c r="G222" i="9" s="1"/>
  <c r="F223" i="9"/>
  <c r="E223" i="9"/>
  <c r="Q222" i="9"/>
  <c r="P222" i="9"/>
  <c r="O222" i="9"/>
  <c r="O221" i="9" s="1"/>
  <c r="N222" i="9"/>
  <c r="M222" i="9"/>
  <c r="L222" i="9"/>
  <c r="K222" i="9"/>
  <c r="K221" i="9" s="1"/>
  <c r="J222" i="9"/>
  <c r="J221" i="9" s="1"/>
  <c r="I222" i="9"/>
  <c r="H222" i="9"/>
  <c r="F222" i="9"/>
  <c r="E222" i="9"/>
  <c r="G209" i="9"/>
  <c r="G208" i="9"/>
  <c r="G207" i="9"/>
  <c r="G202" i="9"/>
  <c r="G201" i="9"/>
  <c r="G200" i="9"/>
  <c r="G199" i="9"/>
  <c r="G198" i="9"/>
  <c r="Q197" i="9"/>
  <c r="O197" i="9"/>
  <c r="N197" i="9"/>
  <c r="L197" i="9"/>
  <c r="J197" i="9"/>
  <c r="I197" i="9"/>
  <c r="E197" i="9"/>
  <c r="G196" i="9"/>
  <c r="G195" i="9"/>
  <c r="G194" i="9"/>
  <c r="G193" i="9"/>
  <c r="G192" i="9"/>
  <c r="G191" i="9"/>
  <c r="G190" i="9"/>
  <c r="G189" i="9"/>
  <c r="G188" i="9"/>
  <c r="Q187" i="9"/>
  <c r="Q186" i="9" s="1"/>
  <c r="O187" i="9"/>
  <c r="N187" i="9"/>
  <c r="L187" i="9"/>
  <c r="L186" i="9" s="1"/>
  <c r="J187" i="9"/>
  <c r="J186" i="9" s="1"/>
  <c r="I187" i="9"/>
  <c r="E187" i="9"/>
  <c r="E186" i="9" s="1"/>
  <c r="G185" i="9"/>
  <c r="G180" i="9"/>
  <c r="G179" i="9"/>
  <c r="G178" i="9"/>
  <c r="G177" i="9"/>
  <c r="G176" i="9"/>
  <c r="G175" i="9"/>
  <c r="Q174" i="9"/>
  <c r="O174" i="9"/>
  <c r="N174" i="9"/>
  <c r="L174" i="9"/>
  <c r="J174" i="9"/>
  <c r="I174" i="9"/>
  <c r="E174" i="9"/>
  <c r="G173" i="9"/>
  <c r="G172" i="9"/>
  <c r="G171" i="9"/>
  <c r="G170" i="9"/>
  <c r="G169" i="9"/>
  <c r="G168" i="9"/>
  <c r="G167" i="9"/>
  <c r="G166" i="9"/>
  <c r="G165" i="9"/>
  <c r="Q164" i="9"/>
  <c r="O164" i="9"/>
  <c r="N164" i="9"/>
  <c r="N163" i="9" s="1"/>
  <c r="L164" i="9"/>
  <c r="J164" i="9"/>
  <c r="J163" i="9" s="1"/>
  <c r="J162" i="9" s="1"/>
  <c r="I164" i="9"/>
  <c r="E164" i="9"/>
  <c r="E163" i="9" s="1"/>
  <c r="Q163" i="9"/>
  <c r="L163" i="9"/>
  <c r="L162" i="9" s="1"/>
  <c r="G161" i="9"/>
  <c r="Q160" i="9"/>
  <c r="O160" i="9"/>
  <c r="N160" i="9"/>
  <c r="L160" i="9"/>
  <c r="J160" i="9"/>
  <c r="I160" i="9"/>
  <c r="E160" i="9"/>
  <c r="G159" i="9"/>
  <c r="Q154" i="9"/>
  <c r="O154" i="9"/>
  <c r="N154" i="9"/>
  <c r="L154" i="9"/>
  <c r="J154" i="9"/>
  <c r="I154" i="9"/>
  <c r="E154" i="9"/>
  <c r="G153" i="9"/>
  <c r="Q152" i="9"/>
  <c r="Q151" i="9" s="1"/>
  <c r="O152" i="9"/>
  <c r="O151" i="9" s="1"/>
  <c r="N152" i="9"/>
  <c r="L152" i="9"/>
  <c r="J152" i="9"/>
  <c r="J151" i="9" s="1"/>
  <c r="I152" i="9"/>
  <c r="E152" i="9"/>
  <c r="G150" i="9"/>
  <c r="Q149" i="9"/>
  <c r="O149" i="9"/>
  <c r="O148" i="9" s="1"/>
  <c r="N149" i="9"/>
  <c r="L149" i="9"/>
  <c r="L148" i="9" s="1"/>
  <c r="J149" i="9"/>
  <c r="J148" i="9" s="1"/>
  <c r="I149" i="9"/>
  <c r="I148" i="9" s="1"/>
  <c r="E149" i="9"/>
  <c r="E148" i="9" s="1"/>
  <c r="Q148" i="9"/>
  <c r="N148" i="9"/>
  <c r="G147" i="9"/>
  <c r="Q146" i="9"/>
  <c r="O146" i="9"/>
  <c r="N146" i="9"/>
  <c r="L146" i="9"/>
  <c r="J146" i="9"/>
  <c r="J141" i="9" s="1"/>
  <c r="I146" i="9"/>
  <c r="E146" i="9"/>
  <c r="G145" i="9"/>
  <c r="Q144" i="9"/>
  <c r="O144" i="9"/>
  <c r="N144" i="9"/>
  <c r="L144" i="9"/>
  <c r="J144" i="9"/>
  <c r="I144" i="9"/>
  <c r="E144" i="9"/>
  <c r="G143" i="9"/>
  <c r="Q142" i="9"/>
  <c r="Q141" i="9" s="1"/>
  <c r="O142" i="9"/>
  <c r="O141" i="9" s="1"/>
  <c r="N142" i="9"/>
  <c r="L142" i="9"/>
  <c r="J142" i="9"/>
  <c r="I142" i="9"/>
  <c r="E142" i="9"/>
  <c r="G140" i="9"/>
  <c r="Q139" i="9"/>
  <c r="O139" i="9"/>
  <c r="N139" i="9"/>
  <c r="L139" i="9"/>
  <c r="J139" i="9"/>
  <c r="I139" i="9"/>
  <c r="E139" i="9"/>
  <c r="G138" i="9"/>
  <c r="G137" i="9" s="1"/>
  <c r="F138" i="9"/>
  <c r="Q137" i="9"/>
  <c r="P137" i="9"/>
  <c r="P134" i="9" s="1"/>
  <c r="P133" i="9" s="1"/>
  <c r="O137" i="9"/>
  <c r="N137" i="9"/>
  <c r="M137" i="9"/>
  <c r="M134" i="9" s="1"/>
  <c r="M133" i="9" s="1"/>
  <c r="L137" i="9"/>
  <c r="K137" i="9"/>
  <c r="K134" i="9" s="1"/>
  <c r="K133" i="9" s="1"/>
  <c r="J137" i="9"/>
  <c r="I137" i="9"/>
  <c r="H137" i="9"/>
  <c r="E137" i="9"/>
  <c r="G136" i="9"/>
  <c r="F136" i="9"/>
  <c r="Q135" i="9"/>
  <c r="O135" i="9"/>
  <c r="N135" i="9"/>
  <c r="L135" i="9"/>
  <c r="J135" i="9"/>
  <c r="I135" i="9"/>
  <c r="I134" i="9" s="1"/>
  <c r="F135" i="9"/>
  <c r="E135" i="9"/>
  <c r="H134" i="9"/>
  <c r="H133" i="9" s="1"/>
  <c r="G132" i="9"/>
  <c r="G127" i="9" s="1"/>
  <c r="G126" i="9" s="1"/>
  <c r="F131" i="9"/>
  <c r="F130" i="9"/>
  <c r="F129" i="9"/>
  <c r="F128" i="9"/>
  <c r="Q127" i="9"/>
  <c r="Q126" i="9" s="1"/>
  <c r="P127" i="9"/>
  <c r="O127" i="9"/>
  <c r="O126" i="9" s="1"/>
  <c r="N127" i="9"/>
  <c r="M127" i="9"/>
  <c r="M126" i="9" s="1"/>
  <c r="L127" i="9"/>
  <c r="L126" i="9" s="1"/>
  <c r="K127" i="9"/>
  <c r="K126" i="9" s="1"/>
  <c r="J127" i="9"/>
  <c r="J126" i="9" s="1"/>
  <c r="I127" i="9"/>
  <c r="I126" i="9" s="1"/>
  <c r="E127" i="9"/>
  <c r="E126" i="9" s="1"/>
  <c r="P126" i="9"/>
  <c r="N126" i="9"/>
  <c r="G125" i="9"/>
  <c r="F125" i="9"/>
  <c r="M124" i="9"/>
  <c r="F124" i="9" s="1"/>
  <c r="Q123" i="9"/>
  <c r="Q122" i="9" s="1"/>
  <c r="P123" i="9"/>
  <c r="O123" i="9"/>
  <c r="O122" i="9" s="1"/>
  <c r="N123" i="9"/>
  <c r="N122" i="9" s="1"/>
  <c r="M123" i="9"/>
  <c r="M122" i="9" s="1"/>
  <c r="M7" i="9" s="1"/>
  <c r="L123" i="9"/>
  <c r="L122" i="9" s="1"/>
  <c r="L120" i="9" s="1"/>
  <c r="K123" i="9"/>
  <c r="J123" i="9"/>
  <c r="J122" i="9" s="1"/>
  <c r="J120" i="9" s="1"/>
  <c r="I123" i="9"/>
  <c r="I122" i="9" s="1"/>
  <c r="I120" i="9" s="1"/>
  <c r="H123" i="9"/>
  <c r="E123" i="9"/>
  <c r="E122" i="9" s="1"/>
  <c r="E120" i="9" s="1"/>
  <c r="P122" i="9"/>
  <c r="H122" i="9"/>
  <c r="F121" i="9"/>
  <c r="P120" i="9"/>
  <c r="G119" i="9"/>
  <c r="F119" i="9"/>
  <c r="Q118" i="9"/>
  <c r="O118" i="9"/>
  <c r="N118" i="9"/>
  <c r="L118" i="9"/>
  <c r="J118" i="9"/>
  <c r="I118" i="9"/>
  <c r="F118" i="9"/>
  <c r="E118" i="9"/>
  <c r="E115" i="9" s="1"/>
  <c r="G117" i="9"/>
  <c r="F117" i="9"/>
  <c r="Q116" i="9"/>
  <c r="Q115" i="9" s="1"/>
  <c r="O116" i="9"/>
  <c r="O115" i="9" s="1"/>
  <c r="N116" i="9"/>
  <c r="L116" i="9"/>
  <c r="J116" i="9"/>
  <c r="I116" i="9"/>
  <c r="I115" i="9" s="1"/>
  <c r="F116" i="9"/>
  <c r="E116" i="9"/>
  <c r="J115" i="9"/>
  <c r="F115" i="9"/>
  <c r="G114" i="9"/>
  <c r="F114" i="9"/>
  <c r="Q113" i="9"/>
  <c r="O113" i="9"/>
  <c r="N113" i="9"/>
  <c r="L113" i="9"/>
  <c r="J113" i="9"/>
  <c r="I113" i="9"/>
  <c r="F113" i="9"/>
  <c r="E113" i="9"/>
  <c r="G112" i="9"/>
  <c r="F112" i="9"/>
  <c r="G111" i="9"/>
  <c r="F111" i="9"/>
  <c r="Q110" i="9"/>
  <c r="P110" i="9"/>
  <c r="O110" i="9"/>
  <c r="N110" i="9"/>
  <c r="M110" i="9"/>
  <c r="L110" i="9"/>
  <c r="K110" i="9"/>
  <c r="J110" i="9"/>
  <c r="I110" i="9"/>
  <c r="H110" i="9"/>
  <c r="E110" i="9"/>
  <c r="G109" i="9"/>
  <c r="F109" i="9"/>
  <c r="G108" i="9"/>
  <c r="F108" i="9"/>
  <c r="G107" i="9"/>
  <c r="F107" i="9"/>
  <c r="G106" i="9"/>
  <c r="F106" i="9"/>
  <c r="G105" i="9"/>
  <c r="F105" i="9"/>
  <c r="G104" i="9"/>
  <c r="F104" i="9"/>
  <c r="F103" i="9"/>
  <c r="F102" i="9"/>
  <c r="F101" i="9"/>
  <c r="F100" i="9"/>
  <c r="Q99" i="9"/>
  <c r="O99" i="9"/>
  <c r="N99" i="9"/>
  <c r="L99" i="9"/>
  <c r="J99" i="9"/>
  <c r="I99" i="9"/>
  <c r="F99" i="9"/>
  <c r="E99" i="9"/>
  <c r="G98" i="9"/>
  <c r="F98" i="9"/>
  <c r="F94" i="9" s="1"/>
  <c r="G97" i="9"/>
  <c r="F97" i="9"/>
  <c r="G96" i="9"/>
  <c r="F96" i="9"/>
  <c r="G95" i="9"/>
  <c r="F95" i="9"/>
  <c r="Q94" i="9"/>
  <c r="Q86" i="9" s="1"/>
  <c r="P94" i="9"/>
  <c r="O94" i="9"/>
  <c r="N94" i="9"/>
  <c r="M94" i="9"/>
  <c r="L94" i="9"/>
  <c r="K94" i="9"/>
  <c r="J94" i="9"/>
  <c r="I94" i="9"/>
  <c r="H94" i="9"/>
  <c r="E94" i="9"/>
  <c r="G93" i="9"/>
  <c r="F93" i="9"/>
  <c r="G92" i="9"/>
  <c r="F92" i="9"/>
  <c r="G91" i="9"/>
  <c r="F91" i="9"/>
  <c r="G90" i="9"/>
  <c r="G89" i="9"/>
  <c r="G88" i="9"/>
  <c r="Q87" i="9"/>
  <c r="P87" i="9"/>
  <c r="P86" i="9" s="1"/>
  <c r="O87" i="9"/>
  <c r="N87" i="9"/>
  <c r="M87" i="9"/>
  <c r="L87" i="9"/>
  <c r="L86" i="9" s="1"/>
  <c r="K87" i="9"/>
  <c r="J87" i="9"/>
  <c r="I87" i="9"/>
  <c r="I86" i="9" s="1"/>
  <c r="H87" i="9"/>
  <c r="H86" i="9" s="1"/>
  <c r="E87" i="9"/>
  <c r="G85" i="9"/>
  <c r="G84" i="9"/>
  <c r="Q83" i="9"/>
  <c r="O83" i="9"/>
  <c r="N83" i="9"/>
  <c r="L83" i="9"/>
  <c r="J83" i="9"/>
  <c r="I83" i="9"/>
  <c r="E83" i="9"/>
  <c r="G82" i="9"/>
  <c r="G81" i="9"/>
  <c r="G80" i="9"/>
  <c r="G79" i="9"/>
  <c r="Q78" i="9"/>
  <c r="O78" i="9"/>
  <c r="N78" i="9"/>
  <c r="L78" i="9"/>
  <c r="J78" i="9"/>
  <c r="I78" i="9"/>
  <c r="E78" i="9"/>
  <c r="G77" i="9"/>
  <c r="G76" i="9"/>
  <c r="Q75" i="9"/>
  <c r="O75" i="9"/>
  <c r="N75" i="9"/>
  <c r="L75" i="9"/>
  <c r="J75" i="9"/>
  <c r="I75" i="9"/>
  <c r="E75" i="9"/>
  <c r="Q74" i="9"/>
  <c r="E74" i="9"/>
  <c r="G69" i="9"/>
  <c r="G68" i="9"/>
  <c r="G67" i="9"/>
  <c r="Q66" i="9"/>
  <c r="Q60" i="9" s="1"/>
  <c r="O66" i="9"/>
  <c r="N66" i="9"/>
  <c r="L66" i="9"/>
  <c r="J66" i="9"/>
  <c r="I66" i="9"/>
  <c r="E66" i="9"/>
  <c r="G65" i="9"/>
  <c r="G64" i="9"/>
  <c r="G63" i="9"/>
  <c r="G62" i="9"/>
  <c r="Q61" i="9"/>
  <c r="O61" i="9"/>
  <c r="N61" i="9"/>
  <c r="L61" i="9"/>
  <c r="J61" i="9"/>
  <c r="I61" i="9"/>
  <c r="I60" i="9" s="1"/>
  <c r="E61" i="9"/>
  <c r="N60" i="9"/>
  <c r="E60" i="9"/>
  <c r="G59" i="9"/>
  <c r="G58" i="9"/>
  <c r="G57" i="9"/>
  <c r="G56" i="9"/>
  <c r="G55" i="9"/>
  <c r="G54" i="9"/>
  <c r="Q53" i="9"/>
  <c r="O53" i="9"/>
  <c r="N53" i="9"/>
  <c r="L53" i="9"/>
  <c r="J53" i="9"/>
  <c r="I53" i="9"/>
  <c r="G53" i="9" s="1"/>
  <c r="E53" i="9"/>
  <c r="G52" i="9"/>
  <c r="G51" i="9"/>
  <c r="G50" i="9"/>
  <c r="G49" i="9"/>
  <c r="G48" i="9"/>
  <c r="G47" i="9"/>
  <c r="Q42" i="9"/>
  <c r="O42" i="9"/>
  <c r="N42" i="9"/>
  <c r="L42" i="9"/>
  <c r="J42" i="9"/>
  <c r="I42" i="9"/>
  <c r="E42" i="9"/>
  <c r="G41" i="9"/>
  <c r="G40" i="9"/>
  <c r="Q39" i="9"/>
  <c r="O39" i="9"/>
  <c r="N39" i="9"/>
  <c r="L39" i="9"/>
  <c r="J39" i="9"/>
  <c r="I39" i="9"/>
  <c r="G39" i="9"/>
  <c r="E39" i="9"/>
  <c r="G38" i="9"/>
  <c r="G37" i="9"/>
  <c r="G36" i="9"/>
  <c r="G35" i="9"/>
  <c r="G34" i="9"/>
  <c r="G33" i="9"/>
  <c r="Q32" i="9"/>
  <c r="O32" i="9"/>
  <c r="N32" i="9"/>
  <c r="L32" i="9"/>
  <c r="J32" i="9"/>
  <c r="I32" i="9"/>
  <c r="E32" i="9"/>
  <c r="G31" i="9"/>
  <c r="G30" i="9"/>
  <c r="G29" i="9"/>
  <c r="G28" i="9"/>
  <c r="G27" i="9"/>
  <c r="Q26" i="9"/>
  <c r="O26" i="9"/>
  <c r="N26" i="9"/>
  <c r="L26" i="9"/>
  <c r="J26" i="9"/>
  <c r="I26" i="9"/>
  <c r="E26" i="9"/>
  <c r="E8" i="9" s="1"/>
  <c r="G25" i="9"/>
  <c r="G24" i="9"/>
  <c r="G23" i="9"/>
  <c r="G22" i="9"/>
  <c r="G21" i="9"/>
  <c r="G20" i="9"/>
  <c r="Q19" i="9"/>
  <c r="O19" i="9"/>
  <c r="N19" i="9"/>
  <c r="L19" i="9"/>
  <c r="J19" i="9"/>
  <c r="I19" i="9"/>
  <c r="E19" i="9"/>
  <c r="G18" i="9"/>
  <c r="Q17" i="9"/>
  <c r="O17" i="9"/>
  <c r="N17" i="9"/>
  <c r="L17" i="9"/>
  <c r="J17" i="9"/>
  <c r="I17" i="9"/>
  <c r="E17" i="9"/>
  <c r="G16" i="9"/>
  <c r="G15" i="9"/>
  <c r="G10" i="9"/>
  <c r="Q9" i="9"/>
  <c r="O9" i="9"/>
  <c r="N9" i="9"/>
  <c r="N8" i="9" s="1"/>
  <c r="L9" i="9"/>
  <c r="J9" i="9"/>
  <c r="I9" i="9"/>
  <c r="E9" i="9"/>
  <c r="P443" i="6"/>
  <c r="Q485" i="9" l="1"/>
  <c r="J86" i="9"/>
  <c r="I151" i="9"/>
  <c r="G245" i="9"/>
  <c r="G262" i="9"/>
  <c r="G371" i="9"/>
  <c r="O413" i="9"/>
  <c r="M435" i="9"/>
  <c r="M434" i="9" s="1"/>
  <c r="I471" i="9"/>
  <c r="G471" i="9" s="1"/>
  <c r="E45" i="10"/>
  <c r="L45" i="10" s="1"/>
  <c r="D63" i="10"/>
  <c r="E140" i="10"/>
  <c r="L140" i="10" s="1"/>
  <c r="G142" i="10"/>
  <c r="E155" i="10"/>
  <c r="L155" i="10" s="1"/>
  <c r="E165" i="10"/>
  <c r="L165" i="10" s="1"/>
  <c r="J316" i="10"/>
  <c r="E338" i="10"/>
  <c r="L338" i="10" s="1"/>
  <c r="J357" i="10"/>
  <c r="G418" i="10"/>
  <c r="J457" i="10"/>
  <c r="F469" i="10"/>
  <c r="E522" i="10"/>
  <c r="L522" i="10" s="1"/>
  <c r="G87" i="9"/>
  <c r="F123" i="9"/>
  <c r="I221" i="9"/>
  <c r="K247" i="9"/>
  <c r="G355" i="9"/>
  <c r="J486" i="9"/>
  <c r="G530" i="9"/>
  <c r="K135" i="10"/>
  <c r="F149" i="10"/>
  <c r="E149" i="10" s="1"/>
  <c r="L149" i="10" s="1"/>
  <c r="E161" i="10"/>
  <c r="L161" i="10" s="1"/>
  <c r="E175" i="10"/>
  <c r="L175" i="10" s="1"/>
  <c r="E188" i="10"/>
  <c r="L188" i="10" s="1"/>
  <c r="D297" i="10"/>
  <c r="K316" i="10"/>
  <c r="D377" i="10"/>
  <c r="E437" i="10"/>
  <c r="L437" i="10" s="1"/>
  <c r="Q162" i="9"/>
  <c r="E116" i="10"/>
  <c r="L116" i="10" s="1"/>
  <c r="E119" i="10"/>
  <c r="L119" i="10" s="1"/>
  <c r="H164" i="10"/>
  <c r="H163" i="10" s="1"/>
  <c r="H536" i="10" s="1"/>
  <c r="K469" i="10"/>
  <c r="K468" i="10" s="1"/>
  <c r="K537" i="10" s="1"/>
  <c r="M6" i="9"/>
  <c r="M210" i="9" s="1"/>
  <c r="L134" i="9"/>
  <c r="E162" i="9"/>
  <c r="G423" i="9"/>
  <c r="E42" i="10"/>
  <c r="L42" i="10" s="1"/>
  <c r="E308" i="10"/>
  <c r="L308" i="10" s="1"/>
  <c r="E354" i="10"/>
  <c r="L354" i="10" s="1"/>
  <c r="I468" i="13"/>
  <c r="I537" i="13" s="1"/>
  <c r="I538" i="13" s="1"/>
  <c r="L74" i="9"/>
  <c r="G160" i="9"/>
  <c r="F230" i="9"/>
  <c r="G290" i="9"/>
  <c r="G501" i="9"/>
  <c r="G539" i="9"/>
  <c r="I297" i="10"/>
  <c r="J469" i="10"/>
  <c r="J468" i="10" s="1"/>
  <c r="J537" i="10" s="1"/>
  <c r="N186" i="9"/>
  <c r="N162" i="9" s="1"/>
  <c r="M221" i="9"/>
  <c r="G224" i="9"/>
  <c r="G454" i="9"/>
  <c r="G461" i="9"/>
  <c r="G152" i="10"/>
  <c r="J187" i="10"/>
  <c r="E244" i="10"/>
  <c r="L244" i="10" s="1"/>
  <c r="E368" i="10"/>
  <c r="L368" i="10" s="1"/>
  <c r="E371" i="10"/>
  <c r="L371" i="10" s="1"/>
  <c r="F465" i="10"/>
  <c r="J60" i="9"/>
  <c r="O74" i="9"/>
  <c r="O134" i="9"/>
  <c r="G197" i="9"/>
  <c r="F262" i="9"/>
  <c r="F303" i="9"/>
  <c r="J361" i="9"/>
  <c r="G509" i="9"/>
  <c r="J11" i="10"/>
  <c r="I11" i="10"/>
  <c r="K63" i="10"/>
  <c r="E81" i="10"/>
  <c r="L81" i="10" s="1"/>
  <c r="E113" i="10"/>
  <c r="J118" i="10"/>
  <c r="H152" i="10"/>
  <c r="K187" i="10"/>
  <c r="K163" i="10" s="1"/>
  <c r="K536" i="10" s="1"/>
  <c r="F344" i="10"/>
  <c r="J377" i="10"/>
  <c r="E444" i="10"/>
  <c r="L444" i="10" s="1"/>
  <c r="I457" i="10"/>
  <c r="I417" i="10" s="1"/>
  <c r="G26" i="11"/>
  <c r="J133" i="11"/>
  <c r="N86" i="9"/>
  <c r="I152" i="10"/>
  <c r="D316" i="10"/>
  <c r="E454" i="10"/>
  <c r="L454" i="10" s="1"/>
  <c r="G87" i="11"/>
  <c r="G9" i="9"/>
  <c r="L60" i="9"/>
  <c r="E86" i="9"/>
  <c r="G362" i="9"/>
  <c r="K413" i="9"/>
  <c r="I435" i="9"/>
  <c r="L474" i="9"/>
  <c r="E515" i="9"/>
  <c r="E29" i="10"/>
  <c r="L29" i="10" s="1"/>
  <c r="E56" i="10"/>
  <c r="L56" i="10" s="1"/>
  <c r="E78" i="10"/>
  <c r="L78" i="10" s="1"/>
  <c r="G89" i="10"/>
  <c r="E145" i="10"/>
  <c r="L145" i="10" s="1"/>
  <c r="E306" i="10"/>
  <c r="L306" i="10" s="1"/>
  <c r="E327" i="10"/>
  <c r="L327" i="10" s="1"/>
  <c r="E362" i="10"/>
  <c r="L362" i="10" s="1"/>
  <c r="E499" i="10"/>
  <c r="L499" i="10" s="1"/>
  <c r="F132" i="11"/>
  <c r="H127" i="11"/>
  <c r="H126" i="11" s="1"/>
  <c r="P7" i="9"/>
  <c r="G94" i="9"/>
  <c r="G113" i="9"/>
  <c r="Q221" i="9"/>
  <c r="G228" i="9"/>
  <c r="E247" i="9"/>
  <c r="M275" i="9"/>
  <c r="F283" i="9"/>
  <c r="N333" i="9"/>
  <c r="G357" i="9"/>
  <c r="N394" i="9"/>
  <c r="G452" i="9"/>
  <c r="G459" i="9"/>
  <c r="G516" i="9"/>
  <c r="G77" i="10"/>
  <c r="I77" i="10"/>
  <c r="G135" i="10"/>
  <c r="K152" i="10"/>
  <c r="G316" i="10"/>
  <c r="G457" i="10"/>
  <c r="O60" i="9"/>
  <c r="F251" i="9"/>
  <c r="L361" i="9"/>
  <c r="G432" i="9"/>
  <c r="K435" i="9"/>
  <c r="K434" i="9" s="1"/>
  <c r="G479" i="9"/>
  <c r="J515" i="9"/>
  <c r="H135" i="10"/>
  <c r="H134" i="10" s="1"/>
  <c r="E198" i="10"/>
  <c r="L198" i="10" s="1"/>
  <c r="H316" i="10"/>
  <c r="E340" i="10"/>
  <c r="L340" i="10" s="1"/>
  <c r="E345" i="10"/>
  <c r="L345" i="10" s="1"/>
  <c r="J344" i="10"/>
  <c r="E494" i="10"/>
  <c r="L494" i="10" s="1"/>
  <c r="I86" i="11"/>
  <c r="J162" i="14"/>
  <c r="G116" i="9"/>
  <c r="L115" i="9"/>
  <c r="E224" i="9"/>
  <c r="I247" i="9"/>
  <c r="G323" i="9"/>
  <c r="G426" i="9"/>
  <c r="G513" i="9"/>
  <c r="J89" i="10"/>
  <c r="E121" i="10"/>
  <c r="L121" i="10" s="1"/>
  <c r="I135" i="10"/>
  <c r="E143" i="10"/>
  <c r="L143" i="10" s="1"/>
  <c r="D164" i="10"/>
  <c r="D163" i="10" s="1"/>
  <c r="D536" i="10" s="1"/>
  <c r="E314" i="10"/>
  <c r="L314" i="10" s="1"/>
  <c r="I316" i="10"/>
  <c r="E442" i="10"/>
  <c r="L442" i="10" s="1"/>
  <c r="E460" i="10"/>
  <c r="L460" i="10" s="1"/>
  <c r="E470" i="10"/>
  <c r="L470" i="10" s="1"/>
  <c r="L162" i="14"/>
  <c r="G135" i="11"/>
  <c r="N224" i="11"/>
  <c r="G250" i="11"/>
  <c r="F264" i="11"/>
  <c r="K413" i="11"/>
  <c r="E64" i="13"/>
  <c r="L64" i="13" s="1"/>
  <c r="E69" i="13"/>
  <c r="L69" i="13" s="1"/>
  <c r="J77" i="13"/>
  <c r="J10" i="13" s="1"/>
  <c r="E102" i="13"/>
  <c r="L102" i="13" s="1"/>
  <c r="E371" i="13"/>
  <c r="L371" i="13" s="1"/>
  <c r="E382" i="13"/>
  <c r="L382" i="13" s="1"/>
  <c r="J457" i="13"/>
  <c r="G75" i="14"/>
  <c r="N74" i="14"/>
  <c r="N7" i="14" s="1"/>
  <c r="N6" i="14" s="1"/>
  <c r="N210" i="14" s="1"/>
  <c r="G118" i="14"/>
  <c r="N133" i="14"/>
  <c r="G187" i="14"/>
  <c r="N221" i="14"/>
  <c r="G228" i="14"/>
  <c r="G238" i="14"/>
  <c r="G230" i="14" s="1"/>
  <c r="M275" i="14"/>
  <c r="G331" i="14"/>
  <c r="L435" i="14"/>
  <c r="G477" i="14"/>
  <c r="F94" i="17"/>
  <c r="J162" i="17"/>
  <c r="G252" i="17"/>
  <c r="K142" i="18"/>
  <c r="E165" i="18"/>
  <c r="L165" i="18" s="1"/>
  <c r="G222" i="18"/>
  <c r="F396" i="18"/>
  <c r="F457" i="18"/>
  <c r="J247" i="19"/>
  <c r="G414" i="19"/>
  <c r="E221" i="11"/>
  <c r="K221" i="11"/>
  <c r="Q486" i="11"/>
  <c r="K11" i="13"/>
  <c r="G89" i="13"/>
  <c r="D163" i="13"/>
  <c r="D536" i="13" s="1"/>
  <c r="D538" i="13" s="1"/>
  <c r="E175" i="13"/>
  <c r="L175" i="13" s="1"/>
  <c r="K187" i="13"/>
  <c r="K163" i="13" s="1"/>
  <c r="K536" i="13" s="1"/>
  <c r="H248" i="13"/>
  <c r="J297" i="13"/>
  <c r="G344" i="13"/>
  <c r="E354" i="13"/>
  <c r="L354" i="13" s="1"/>
  <c r="E378" i="13"/>
  <c r="L378" i="13" s="1"/>
  <c r="K418" i="13"/>
  <c r="K417" i="13" s="1"/>
  <c r="E458" i="14"/>
  <c r="E60" i="11"/>
  <c r="G160" i="11"/>
  <c r="E314" i="11"/>
  <c r="G323" i="11"/>
  <c r="G357" i="11"/>
  <c r="I413" i="11"/>
  <c r="G471" i="11"/>
  <c r="E515" i="11"/>
  <c r="E485" i="11" s="1"/>
  <c r="E12" i="13"/>
  <c r="L12" i="13" s="1"/>
  <c r="H63" i="13"/>
  <c r="D135" i="13"/>
  <c r="D134" i="13" s="1"/>
  <c r="G149" i="13"/>
  <c r="E198" i="13"/>
  <c r="L198" i="13" s="1"/>
  <c r="E225" i="13"/>
  <c r="L225" i="13" s="1"/>
  <c r="E229" i="13"/>
  <c r="L229" i="13" s="1"/>
  <c r="E317" i="13"/>
  <c r="L317" i="13" s="1"/>
  <c r="E365" i="13"/>
  <c r="L365" i="13" s="1"/>
  <c r="I357" i="13"/>
  <c r="H457" i="13"/>
  <c r="G144" i="14"/>
  <c r="H247" i="14"/>
  <c r="H220" i="14" s="1"/>
  <c r="H219" i="14" s="1"/>
  <c r="H541" i="14" s="1"/>
  <c r="Q314" i="14"/>
  <c r="Q220" i="14" s="1"/>
  <c r="O333" i="14"/>
  <c r="O361" i="14"/>
  <c r="G385" i="14"/>
  <c r="J394" i="14"/>
  <c r="G436" i="14"/>
  <c r="J60" i="17"/>
  <c r="J247" i="17"/>
  <c r="K247" i="17"/>
  <c r="J333" i="17"/>
  <c r="I11" i="18"/>
  <c r="J63" i="18"/>
  <c r="F118" i="18"/>
  <c r="E155" i="18"/>
  <c r="L155" i="18" s="1"/>
  <c r="E365" i="18"/>
  <c r="L365" i="18" s="1"/>
  <c r="E397" i="18"/>
  <c r="L397" i="18" s="1"/>
  <c r="I418" i="18"/>
  <c r="L437" i="18"/>
  <c r="E60" i="19"/>
  <c r="J8" i="11"/>
  <c r="Q74" i="11"/>
  <c r="N86" i="11"/>
  <c r="E141" i="11"/>
  <c r="Q151" i="11"/>
  <c r="M230" i="11"/>
  <c r="G265" i="11"/>
  <c r="G262" i="11" s="1"/>
  <c r="G436" i="11"/>
  <c r="G152" i="13"/>
  <c r="G163" i="13"/>
  <c r="G536" i="13" s="1"/>
  <c r="J248" i="13"/>
  <c r="F297" i="13"/>
  <c r="E310" i="13"/>
  <c r="L310" i="13" s="1"/>
  <c r="G32" i="14"/>
  <c r="O86" i="14"/>
  <c r="O7" i="14" s="1"/>
  <c r="O6" i="14" s="1"/>
  <c r="O210" i="14" s="1"/>
  <c r="F110" i="14"/>
  <c r="H133" i="14"/>
  <c r="F133" i="14" s="1"/>
  <c r="G142" i="14"/>
  <c r="G225" i="14"/>
  <c r="F251" i="14"/>
  <c r="P262" i="14"/>
  <c r="F285" i="14"/>
  <c r="F283" i="14" s="1"/>
  <c r="G355" i="14"/>
  <c r="G333" i="14" s="1"/>
  <c r="G395" i="14"/>
  <c r="L394" i="14"/>
  <c r="J458" i="14"/>
  <c r="G513" i="14"/>
  <c r="P441" i="14"/>
  <c r="P435" i="14" s="1"/>
  <c r="P434" i="14" s="1"/>
  <c r="L60" i="17"/>
  <c r="Q74" i="17"/>
  <c r="N314" i="17"/>
  <c r="P441" i="17"/>
  <c r="Q458" i="17"/>
  <c r="N515" i="17"/>
  <c r="K63" i="18"/>
  <c r="G118" i="18"/>
  <c r="I164" i="18"/>
  <c r="G469" i="18"/>
  <c r="F94" i="19"/>
  <c r="I115" i="19"/>
  <c r="N286" i="19"/>
  <c r="I435" i="19"/>
  <c r="N435" i="19"/>
  <c r="F110" i="11"/>
  <c r="G144" i="11"/>
  <c r="L247" i="11"/>
  <c r="G355" i="11"/>
  <c r="H11" i="13"/>
  <c r="F135" i="13"/>
  <c r="G134" i="13"/>
  <c r="E435" i="13"/>
  <c r="L435" i="13" s="1"/>
  <c r="G53" i="14"/>
  <c r="G110" i="14"/>
  <c r="G148" i="14"/>
  <c r="G160" i="14"/>
  <c r="L221" i="14"/>
  <c r="G287" i="14"/>
  <c r="I333" i="14"/>
  <c r="I220" i="14" s="1"/>
  <c r="E374" i="14"/>
  <c r="Q413" i="14"/>
  <c r="O474" i="14"/>
  <c r="O434" i="14" s="1"/>
  <c r="E486" i="14"/>
  <c r="E485" i="14" s="1"/>
  <c r="I134" i="17"/>
  <c r="L361" i="17"/>
  <c r="Q394" i="17"/>
  <c r="G417" i="17"/>
  <c r="K435" i="17"/>
  <c r="K434" i="17" s="1"/>
  <c r="G471" i="17"/>
  <c r="O515" i="17"/>
  <c r="D152" i="18"/>
  <c r="E362" i="18"/>
  <c r="L362" i="18" s="1"/>
  <c r="E455" i="18"/>
  <c r="E484" i="18"/>
  <c r="L484" i="18" s="1"/>
  <c r="E8" i="19"/>
  <c r="O74" i="19"/>
  <c r="G94" i="19"/>
  <c r="N141" i="19"/>
  <c r="J543" i="21"/>
  <c r="O74" i="11"/>
  <c r="P86" i="11"/>
  <c r="O163" i="11"/>
  <c r="O162" i="11" s="1"/>
  <c r="F224" i="11"/>
  <c r="G228" i="11"/>
  <c r="J374" i="11"/>
  <c r="O374" i="11"/>
  <c r="L413" i="11"/>
  <c r="K435" i="11"/>
  <c r="K434" i="11" s="1"/>
  <c r="L515" i="11"/>
  <c r="L485" i="11" s="1"/>
  <c r="E147" i="13"/>
  <c r="L147" i="13" s="1"/>
  <c r="E161" i="13"/>
  <c r="L161" i="13" s="1"/>
  <c r="E244" i="13"/>
  <c r="L244" i="13" s="1"/>
  <c r="E284" i="13"/>
  <c r="E314" i="13"/>
  <c r="L314" i="13" s="1"/>
  <c r="G357" i="13"/>
  <c r="J377" i="13"/>
  <c r="I418" i="13"/>
  <c r="I417" i="13" s="1"/>
  <c r="L8" i="14"/>
  <c r="L7" i="14" s="1"/>
  <c r="G135" i="14"/>
  <c r="G134" i="14" s="1"/>
  <c r="J221" i="14"/>
  <c r="K247" i="14"/>
  <c r="R293" i="14"/>
  <c r="S293" i="14" s="1"/>
  <c r="M303" i="14"/>
  <c r="N314" i="14"/>
  <c r="O60" i="17"/>
  <c r="J413" i="17"/>
  <c r="I118" i="18"/>
  <c r="D135" i="18"/>
  <c r="J187" i="18"/>
  <c r="I316" i="18"/>
  <c r="E354" i="18"/>
  <c r="L354" i="18" s="1"/>
  <c r="G357" i="18"/>
  <c r="E382" i="18"/>
  <c r="L382" i="18" s="1"/>
  <c r="E454" i="18"/>
  <c r="L454" i="18" s="1"/>
  <c r="I457" i="18"/>
  <c r="G87" i="19"/>
  <c r="O474" i="19"/>
  <c r="O60" i="11"/>
  <c r="K86" i="11"/>
  <c r="G94" i="11"/>
  <c r="I115" i="11"/>
  <c r="J221" i="11"/>
  <c r="G368" i="11"/>
  <c r="O361" i="11"/>
  <c r="L435" i="11"/>
  <c r="I435" i="11"/>
  <c r="G513" i="11"/>
  <c r="F118" i="13"/>
  <c r="E118" i="13" s="1"/>
  <c r="E153" i="13"/>
  <c r="L153" i="13" s="1"/>
  <c r="J164" i="13"/>
  <c r="J163" i="13" s="1"/>
  <c r="J536" i="13" s="1"/>
  <c r="J538" i="13" s="1"/>
  <c r="J222" i="13"/>
  <c r="H344" i="13"/>
  <c r="I344" i="13"/>
  <c r="J357" i="13"/>
  <c r="D441" i="13"/>
  <c r="E492" i="13"/>
  <c r="L492" i="13" s="1"/>
  <c r="G39" i="14"/>
  <c r="P86" i="14"/>
  <c r="P7" i="14" s="1"/>
  <c r="P6" i="14" s="1"/>
  <c r="P210" i="14" s="1"/>
  <c r="E151" i="14"/>
  <c r="I186" i="14"/>
  <c r="K221" i="14"/>
  <c r="F253" i="14"/>
  <c r="L247" i="14"/>
  <c r="F278" i="14"/>
  <c r="G285" i="14"/>
  <c r="G283" i="14" s="1"/>
  <c r="F313" i="14"/>
  <c r="F286" i="14" s="1"/>
  <c r="Q394" i="14"/>
  <c r="G472" i="14"/>
  <c r="I482" i="14"/>
  <c r="G482" i="14" s="1"/>
  <c r="L134" i="17"/>
  <c r="O221" i="17"/>
  <c r="N333" i="17"/>
  <c r="K413" i="17"/>
  <c r="G513" i="17"/>
  <c r="E128" i="18"/>
  <c r="G164" i="18"/>
  <c r="G163" i="18" s="1"/>
  <c r="G536" i="18" s="1"/>
  <c r="K187" i="18"/>
  <c r="L239" i="18"/>
  <c r="E351" i="18"/>
  <c r="L351" i="18" s="1"/>
  <c r="J457" i="18"/>
  <c r="G9" i="19"/>
  <c r="L151" i="19"/>
  <c r="L435" i="19"/>
  <c r="E247" i="11"/>
  <c r="G396" i="13"/>
  <c r="E409" i="13"/>
  <c r="L409" i="13" s="1"/>
  <c r="H417" i="13"/>
  <c r="J74" i="14"/>
  <c r="N163" i="14"/>
  <c r="N162" i="14" s="1"/>
  <c r="P221" i="14"/>
  <c r="M248" i="14"/>
  <c r="F262" i="14"/>
  <c r="G382" i="14"/>
  <c r="G432" i="14"/>
  <c r="E435" i="14"/>
  <c r="E434" i="14" s="1"/>
  <c r="Q458" i="14"/>
  <c r="Q434" i="14" s="1"/>
  <c r="O333" i="17"/>
  <c r="L486" i="17"/>
  <c r="E113" i="18"/>
  <c r="L113" i="18" s="1"/>
  <c r="G135" i="18"/>
  <c r="E143" i="18"/>
  <c r="L143" i="18" s="1"/>
  <c r="E153" i="18"/>
  <c r="L153" i="18" s="1"/>
  <c r="E452" i="18"/>
  <c r="L452" i="18" s="1"/>
  <c r="L8" i="19"/>
  <c r="H86" i="19"/>
  <c r="Q221" i="19"/>
  <c r="N314" i="19"/>
  <c r="L486" i="19"/>
  <c r="Q60" i="11"/>
  <c r="G399" i="11"/>
  <c r="G472" i="11"/>
  <c r="N474" i="11"/>
  <c r="G530" i="11"/>
  <c r="F63" i="13"/>
  <c r="D118" i="13"/>
  <c r="K135" i="13"/>
  <c r="K134" i="13" s="1"/>
  <c r="F142" i="13"/>
  <c r="K344" i="13"/>
  <c r="F377" i="13"/>
  <c r="E444" i="13"/>
  <c r="L444" i="13" s="1"/>
  <c r="F457" i="13"/>
  <c r="E457" i="13" s="1"/>
  <c r="E465" i="13"/>
  <c r="L465" i="13" s="1"/>
  <c r="E522" i="13"/>
  <c r="L522" i="13" s="1"/>
  <c r="O134" i="14"/>
  <c r="O133" i="14" s="1"/>
  <c r="Q151" i="14"/>
  <c r="F230" i="14"/>
  <c r="F221" i="14" s="1"/>
  <c r="E314" i="14"/>
  <c r="E220" i="14" s="1"/>
  <c r="E219" i="14" s="1"/>
  <c r="E541" i="14" s="1"/>
  <c r="J361" i="14"/>
  <c r="N374" i="14"/>
  <c r="H435" i="14"/>
  <c r="H434" i="14" s="1"/>
  <c r="I486" i="14"/>
  <c r="L486" i="14"/>
  <c r="L485" i="14" s="1"/>
  <c r="G509" i="14"/>
  <c r="N515" i="14"/>
  <c r="G539" i="14"/>
  <c r="Q221" i="17"/>
  <c r="N361" i="17"/>
  <c r="E246" i="18"/>
  <c r="L246" i="18" s="1"/>
  <c r="G297" i="18"/>
  <c r="R219" i="21"/>
  <c r="F534" i="23"/>
  <c r="I74" i="11"/>
  <c r="P262" i="11"/>
  <c r="G365" i="11"/>
  <c r="J394" i="11"/>
  <c r="G461" i="11"/>
  <c r="I316" i="13"/>
  <c r="E484" i="13"/>
  <c r="L484" i="13" s="1"/>
  <c r="G66" i="14"/>
  <c r="I74" i="14"/>
  <c r="G74" i="14" s="1"/>
  <c r="J134" i="14"/>
  <c r="Q134" i="14"/>
  <c r="Q133" i="14" s="1"/>
  <c r="G146" i="14"/>
  <c r="G154" i="14"/>
  <c r="G224" i="14"/>
  <c r="O247" i="14"/>
  <c r="G365" i="14"/>
  <c r="I413" i="14"/>
  <c r="N486" i="14"/>
  <c r="N485" i="14" s="1"/>
  <c r="O515" i="14"/>
  <c r="O485" i="14" s="1"/>
  <c r="L74" i="17"/>
  <c r="N186" i="17"/>
  <c r="N162" i="17" s="1"/>
  <c r="L413" i="17"/>
  <c r="E458" i="17"/>
  <c r="E64" i="18"/>
  <c r="L64" i="18" s="1"/>
  <c r="E124" i="18"/>
  <c r="I135" i="18"/>
  <c r="F164" i="18"/>
  <c r="J164" i="18"/>
  <c r="J163" i="18" s="1"/>
  <c r="J536" i="18" s="1"/>
  <c r="J538" i="18" s="1"/>
  <c r="G316" i="18"/>
  <c r="I344" i="18"/>
  <c r="D418" i="18"/>
  <c r="D417" i="18" s="1"/>
  <c r="E522" i="18"/>
  <c r="L522" i="18" s="1"/>
  <c r="G110" i="19"/>
  <c r="N163" i="19"/>
  <c r="N162" i="19" s="1"/>
  <c r="E247" i="19"/>
  <c r="L333" i="19"/>
  <c r="L374" i="19"/>
  <c r="J394" i="19"/>
  <c r="J515" i="19"/>
  <c r="O221" i="11"/>
  <c r="G233" i="11"/>
  <c r="J247" i="11"/>
  <c r="G256" i="11"/>
  <c r="G423" i="11"/>
  <c r="P435" i="11"/>
  <c r="P434" i="11" s="1"/>
  <c r="L458" i="11"/>
  <c r="I515" i="11"/>
  <c r="E42" i="13"/>
  <c r="L42" i="13" s="1"/>
  <c r="E81" i="13"/>
  <c r="L81" i="13" s="1"/>
  <c r="J152" i="13"/>
  <c r="L239" i="13"/>
  <c r="E452" i="13"/>
  <c r="L452" i="13" s="1"/>
  <c r="Q8" i="14"/>
  <c r="Q7" i="14" s="1"/>
  <c r="G61" i="14"/>
  <c r="G87" i="14"/>
  <c r="G86" i="14" s="1"/>
  <c r="J86" i="14"/>
  <c r="O221" i="14"/>
  <c r="G243" i="14"/>
  <c r="J314" i="14"/>
  <c r="G357" i="14"/>
  <c r="I361" i="14"/>
  <c r="F413" i="14"/>
  <c r="E413" i="14"/>
  <c r="G142" i="17"/>
  <c r="E224" i="17"/>
  <c r="E121" i="18"/>
  <c r="L121" i="18" s="1"/>
  <c r="E306" i="18"/>
  <c r="L306" i="18" s="1"/>
  <c r="H316" i="18"/>
  <c r="E439" i="18"/>
  <c r="L439" i="18" s="1"/>
  <c r="E466" i="18"/>
  <c r="L466" i="18" s="1"/>
  <c r="O163" i="19"/>
  <c r="O162" i="19" s="1"/>
  <c r="G262" i="19"/>
  <c r="L394" i="19"/>
  <c r="Q458" i="19"/>
  <c r="G6" i="22"/>
  <c r="K541" i="23"/>
  <c r="G42" i="11"/>
  <c r="J86" i="11"/>
  <c r="Q115" i="11"/>
  <c r="F303" i="11"/>
  <c r="G334" i="11"/>
  <c r="G11" i="13"/>
  <c r="G10" i="13" s="1"/>
  <c r="G9" i="13" s="1"/>
  <c r="I11" i="13"/>
  <c r="I10" i="13" s="1"/>
  <c r="I9" i="13" s="1"/>
  <c r="D63" i="13"/>
  <c r="E113" i="13"/>
  <c r="L113" i="13" s="1"/>
  <c r="J135" i="13"/>
  <c r="E143" i="13"/>
  <c r="L143" i="13" s="1"/>
  <c r="H142" i="13"/>
  <c r="H134" i="13" s="1"/>
  <c r="K297" i="13"/>
  <c r="G441" i="13"/>
  <c r="E454" i="13"/>
  <c r="L454" i="13" s="1"/>
  <c r="F498" i="13"/>
  <c r="E498" i="13" s="1"/>
  <c r="L498" i="13" s="1"/>
  <c r="F87" i="14"/>
  <c r="K86" i="14"/>
  <c r="K7" i="14" s="1"/>
  <c r="K6" i="14" s="1"/>
  <c r="K210" i="14" s="1"/>
  <c r="F122" i="14"/>
  <c r="G123" i="14"/>
  <c r="G122" i="14" s="1"/>
  <c r="G120" i="14" s="1"/>
  <c r="H127" i="14"/>
  <c r="E141" i="14"/>
  <c r="G149" i="14"/>
  <c r="I162" i="14"/>
  <c r="G162" i="14" s="1"/>
  <c r="G164" i="14"/>
  <c r="G223" i="14"/>
  <c r="G222" i="14" s="1"/>
  <c r="P275" i="14"/>
  <c r="G315" i="14"/>
  <c r="L314" i="14"/>
  <c r="I394" i="14"/>
  <c r="G394" i="14" s="1"/>
  <c r="G423" i="14"/>
  <c r="G413" i="14" s="1"/>
  <c r="G471" i="14"/>
  <c r="G144" i="17"/>
  <c r="J314" i="17"/>
  <c r="I374" i="17"/>
  <c r="G399" i="17"/>
  <c r="P413" i="17"/>
  <c r="D344" i="18"/>
  <c r="J396" i="18"/>
  <c r="K221" i="19"/>
  <c r="I247" i="19"/>
  <c r="G265" i="19"/>
  <c r="Q435" i="19"/>
  <c r="F535" i="23"/>
  <c r="M211" i="23"/>
  <c r="N221" i="23"/>
  <c r="O6" i="22"/>
  <c r="O210" i="22" s="1"/>
  <c r="G210" i="22"/>
  <c r="H7" i="22"/>
  <c r="H6" i="22" s="1"/>
  <c r="H210" i="22" s="1"/>
  <c r="F126" i="22"/>
  <c r="F7" i="22" s="1"/>
  <c r="F6" i="22" s="1"/>
  <c r="F210" i="22" s="1"/>
  <c r="I541" i="22"/>
  <c r="K163" i="18"/>
  <c r="K536" i="18" s="1"/>
  <c r="E56" i="18"/>
  <c r="L56" i="18" s="1"/>
  <c r="I63" i="18"/>
  <c r="J248" i="18"/>
  <c r="D357" i="18"/>
  <c r="J418" i="18"/>
  <c r="J417" i="18" s="1"/>
  <c r="D469" i="18"/>
  <c r="E492" i="18"/>
  <c r="L492" i="18" s="1"/>
  <c r="E12" i="18"/>
  <c r="L12" i="18" s="1"/>
  <c r="F63" i="18"/>
  <c r="K77" i="18"/>
  <c r="E136" i="18"/>
  <c r="L136" i="18" s="1"/>
  <c r="E150" i="18"/>
  <c r="L150" i="18" s="1"/>
  <c r="G152" i="18"/>
  <c r="G134" i="18" s="1"/>
  <c r="J152" i="18"/>
  <c r="E175" i="18"/>
  <c r="L175" i="18" s="1"/>
  <c r="E298" i="18"/>
  <c r="L298" i="18" s="1"/>
  <c r="E317" i="18"/>
  <c r="L317" i="18" s="1"/>
  <c r="D377" i="18"/>
  <c r="G11" i="18"/>
  <c r="E45" i="18"/>
  <c r="L45" i="18" s="1"/>
  <c r="E116" i="18"/>
  <c r="L116" i="18" s="1"/>
  <c r="E198" i="18"/>
  <c r="L198" i="18" s="1"/>
  <c r="D222" i="18"/>
  <c r="E244" i="18"/>
  <c r="L244" i="18" s="1"/>
  <c r="D297" i="18"/>
  <c r="E340" i="18"/>
  <c r="L340" i="18" s="1"/>
  <c r="K344" i="18"/>
  <c r="J344" i="18"/>
  <c r="L405" i="18"/>
  <c r="L415" i="18"/>
  <c r="L455" i="18"/>
  <c r="K469" i="18"/>
  <c r="F11" i="18"/>
  <c r="J77" i="18"/>
  <c r="E90" i="18"/>
  <c r="L90" i="18" s="1"/>
  <c r="F135" i="18"/>
  <c r="E164" i="18"/>
  <c r="H163" i="18"/>
  <c r="H536" i="18" s="1"/>
  <c r="D11" i="18"/>
  <c r="E69" i="18"/>
  <c r="L69" i="18" s="1"/>
  <c r="E78" i="18"/>
  <c r="L78" i="18" s="1"/>
  <c r="E81" i="18"/>
  <c r="L81" i="18" s="1"/>
  <c r="G89" i="18"/>
  <c r="K118" i="18"/>
  <c r="J142" i="18"/>
  <c r="E147" i="18"/>
  <c r="L147" i="18" s="1"/>
  <c r="I187" i="18"/>
  <c r="I163" i="18" s="1"/>
  <c r="I536" i="18" s="1"/>
  <c r="E231" i="18"/>
  <c r="L231" i="18" s="1"/>
  <c r="K316" i="18"/>
  <c r="E338" i="18"/>
  <c r="L338" i="18" s="1"/>
  <c r="I417" i="18"/>
  <c r="F418" i="18"/>
  <c r="I441" i="18"/>
  <c r="H457" i="18"/>
  <c r="E499" i="18"/>
  <c r="L499" i="18" s="1"/>
  <c r="G77" i="18"/>
  <c r="I142" i="18"/>
  <c r="I134" i="18" s="1"/>
  <c r="K152" i="18"/>
  <c r="F152" i="18"/>
  <c r="J316" i="18"/>
  <c r="E327" i="18"/>
  <c r="L327" i="18" s="1"/>
  <c r="E368" i="18"/>
  <c r="L368" i="18" s="1"/>
  <c r="E371" i="18"/>
  <c r="L371" i="18" s="1"/>
  <c r="D396" i="18"/>
  <c r="G396" i="18"/>
  <c r="G457" i="18"/>
  <c r="E462" i="18"/>
  <c r="L462" i="18" s="1"/>
  <c r="H469" i="18"/>
  <c r="H468" i="18" s="1"/>
  <c r="H537" i="18" s="1"/>
  <c r="K11" i="18"/>
  <c r="E35" i="18"/>
  <c r="L35" i="18" s="1"/>
  <c r="D89" i="18"/>
  <c r="E138" i="18"/>
  <c r="H248" i="18"/>
  <c r="I297" i="18"/>
  <c r="E314" i="18"/>
  <c r="L314" i="18" s="1"/>
  <c r="E345" i="18"/>
  <c r="L345" i="18" s="1"/>
  <c r="F344" i="18"/>
  <c r="E378" i="18"/>
  <c r="L378" i="18" s="1"/>
  <c r="E406" i="18"/>
  <c r="L406" i="18" s="1"/>
  <c r="E419" i="18"/>
  <c r="L419" i="18" s="1"/>
  <c r="G441" i="18"/>
  <c r="E444" i="18"/>
  <c r="L444" i="18" s="1"/>
  <c r="E460" i="18"/>
  <c r="L460" i="18" s="1"/>
  <c r="E496" i="18"/>
  <c r="L496" i="18" s="1"/>
  <c r="J11" i="18"/>
  <c r="J10" i="18" s="1"/>
  <c r="D77" i="18"/>
  <c r="F77" i="18"/>
  <c r="J89" i="18"/>
  <c r="E119" i="18"/>
  <c r="L119" i="18" s="1"/>
  <c r="J135" i="18"/>
  <c r="E145" i="18"/>
  <c r="L145" i="18" s="1"/>
  <c r="D142" i="18"/>
  <c r="D134" i="18" s="1"/>
  <c r="D164" i="18"/>
  <c r="D163" i="18" s="1"/>
  <c r="D536" i="18" s="1"/>
  <c r="E188" i="18"/>
  <c r="L188" i="18" s="1"/>
  <c r="J222" i="18"/>
  <c r="E229" i="18"/>
  <c r="L229" i="18" s="1"/>
  <c r="G248" i="18"/>
  <c r="E308" i="18"/>
  <c r="L308" i="18" s="1"/>
  <c r="J357" i="18"/>
  <c r="K357" i="18"/>
  <c r="G377" i="18"/>
  <c r="E442" i="18"/>
  <c r="L442" i="18" s="1"/>
  <c r="E470" i="18"/>
  <c r="L470" i="18" s="1"/>
  <c r="E494" i="18"/>
  <c r="L494" i="18" s="1"/>
  <c r="G148" i="19"/>
  <c r="G471" i="19"/>
  <c r="G61" i="19"/>
  <c r="J74" i="19"/>
  <c r="F264" i="19"/>
  <c r="F262" i="19" s="1"/>
  <c r="F285" i="19"/>
  <c r="F283" i="19" s="1"/>
  <c r="G331" i="19"/>
  <c r="G344" i="19"/>
  <c r="E515" i="19"/>
  <c r="G26" i="19"/>
  <c r="G78" i="19"/>
  <c r="H7" i="19"/>
  <c r="H6" i="19" s="1"/>
  <c r="H210" i="19" s="1"/>
  <c r="G118" i="19"/>
  <c r="E134" i="19"/>
  <c r="G152" i="19"/>
  <c r="G154" i="19"/>
  <c r="G160" i="19"/>
  <c r="Q247" i="19"/>
  <c r="G362" i="19"/>
  <c r="E361" i="19"/>
  <c r="I374" i="19"/>
  <c r="N394" i="19"/>
  <c r="M435" i="19"/>
  <c r="M434" i="19" s="1"/>
  <c r="G75" i="19"/>
  <c r="E74" i="19"/>
  <c r="F87" i="19"/>
  <c r="L115" i="19"/>
  <c r="J134" i="19"/>
  <c r="G238" i="19"/>
  <c r="G230" i="19" s="1"/>
  <c r="G221" i="19" s="1"/>
  <c r="G245" i="19"/>
  <c r="G325" i="19"/>
  <c r="E374" i="19"/>
  <c r="F441" i="19"/>
  <c r="F435" i="19" s="1"/>
  <c r="F434" i="19" s="1"/>
  <c r="G42" i="19"/>
  <c r="I86" i="19"/>
  <c r="E141" i="19"/>
  <c r="G149" i="19"/>
  <c r="G243" i="19"/>
  <c r="Q361" i="19"/>
  <c r="G482" i="19"/>
  <c r="G513" i="19"/>
  <c r="J60" i="19"/>
  <c r="N134" i="19"/>
  <c r="N133" i="19" s="1"/>
  <c r="G315" i="19"/>
  <c r="G355" i="19"/>
  <c r="G357" i="19"/>
  <c r="G333" i="19" s="1"/>
  <c r="G395" i="19"/>
  <c r="G483" i="19"/>
  <c r="N8" i="19"/>
  <c r="G66" i="19"/>
  <c r="L86" i="19"/>
  <c r="Q115" i="19"/>
  <c r="G142" i="19"/>
  <c r="L163" i="19"/>
  <c r="I221" i="19"/>
  <c r="J221" i="19"/>
  <c r="M248" i="19"/>
  <c r="G371" i="19"/>
  <c r="Q394" i="19"/>
  <c r="J413" i="19"/>
  <c r="F417" i="19"/>
  <c r="G459" i="19"/>
  <c r="G475" i="19"/>
  <c r="E474" i="19"/>
  <c r="G516" i="19"/>
  <c r="N515" i="19"/>
  <c r="N485" i="19" s="1"/>
  <c r="I162" i="19"/>
  <c r="E458" i="19"/>
  <c r="I8" i="19"/>
  <c r="G19" i="19"/>
  <c r="I60" i="19"/>
  <c r="G60" i="19" s="1"/>
  <c r="Q134" i="19"/>
  <c r="J186" i="19"/>
  <c r="J162" i="19" s="1"/>
  <c r="H221" i="19"/>
  <c r="P221" i="19"/>
  <c r="E224" i="19"/>
  <c r="E221" i="19" s="1"/>
  <c r="L247" i="19"/>
  <c r="M262" i="19"/>
  <c r="N361" i="19"/>
  <c r="G388" i="19"/>
  <c r="I413" i="19"/>
  <c r="Q413" i="19"/>
  <c r="L133" i="19"/>
  <c r="E133" i="19"/>
  <c r="O8" i="19"/>
  <c r="Q141" i="19"/>
  <c r="G228" i="19"/>
  <c r="O314" i="19"/>
  <c r="L474" i="19"/>
  <c r="L434" i="19" s="1"/>
  <c r="Q8" i="19"/>
  <c r="N74" i="19"/>
  <c r="G99" i="19"/>
  <c r="F110" i="19"/>
  <c r="O141" i="19"/>
  <c r="N333" i="19"/>
  <c r="N374" i="19"/>
  <c r="G399" i="19"/>
  <c r="L413" i="19"/>
  <c r="K435" i="19"/>
  <c r="K434" i="19" s="1"/>
  <c r="G479" i="19"/>
  <c r="E485" i="19"/>
  <c r="L74" i="19"/>
  <c r="O134" i="19"/>
  <c r="G139" i="19"/>
  <c r="G187" i="19"/>
  <c r="G197" i="19"/>
  <c r="J314" i="19"/>
  <c r="I361" i="19"/>
  <c r="J374" i="19"/>
  <c r="G417" i="19"/>
  <c r="G436" i="19"/>
  <c r="G454" i="19"/>
  <c r="G487" i="19"/>
  <c r="O486" i="19"/>
  <c r="O485" i="19" s="1"/>
  <c r="F132" i="19"/>
  <c r="I74" i="19"/>
  <c r="J86" i="19"/>
  <c r="Q151" i="19"/>
  <c r="E186" i="19"/>
  <c r="G287" i="19"/>
  <c r="L361" i="19"/>
  <c r="G382" i="19"/>
  <c r="F413" i="19"/>
  <c r="O413" i="19"/>
  <c r="Q434" i="19"/>
  <c r="O458" i="19"/>
  <c r="J486" i="19"/>
  <c r="J485" i="19" s="1"/>
  <c r="G39" i="19"/>
  <c r="M7" i="19"/>
  <c r="M6" i="19" s="1"/>
  <c r="M210" i="19" s="1"/>
  <c r="J141" i="19"/>
  <c r="O151" i="19"/>
  <c r="O221" i="19"/>
  <c r="N224" i="19"/>
  <c r="N221" i="19" s="1"/>
  <c r="F282" i="19"/>
  <c r="G323" i="19"/>
  <c r="G368" i="19"/>
  <c r="J458" i="19"/>
  <c r="G469" i="19"/>
  <c r="G509" i="19"/>
  <c r="G285" i="19"/>
  <c r="G283" i="19" s="1"/>
  <c r="G17" i="19"/>
  <c r="J8" i="19"/>
  <c r="G53" i="19"/>
  <c r="G146" i="19"/>
  <c r="G379" i="19"/>
  <c r="O394" i="19"/>
  <c r="P413" i="19"/>
  <c r="G426" i="19"/>
  <c r="O435" i="19"/>
  <c r="Q474" i="19"/>
  <c r="G511" i="19"/>
  <c r="F251" i="19"/>
  <c r="P7" i="19"/>
  <c r="G115" i="19"/>
  <c r="G135" i="19"/>
  <c r="G164" i="19"/>
  <c r="G174" i="19"/>
  <c r="Q220" i="19"/>
  <c r="G224" i="19"/>
  <c r="O247" i="19"/>
  <c r="Q314" i="19"/>
  <c r="Q374" i="19"/>
  <c r="G432" i="19"/>
  <c r="N434" i="19"/>
  <c r="G472" i="19"/>
  <c r="L515" i="19"/>
  <c r="G83" i="19"/>
  <c r="E86" i="19"/>
  <c r="N86" i="19"/>
  <c r="G113" i="19"/>
  <c r="I134" i="19"/>
  <c r="J151" i="19"/>
  <c r="E163" i="19"/>
  <c r="E162" i="19" s="1"/>
  <c r="L186" i="19"/>
  <c r="G186" i="19" s="1"/>
  <c r="G423" i="19"/>
  <c r="G461" i="19"/>
  <c r="Q486" i="19"/>
  <c r="Q485" i="19" s="1"/>
  <c r="G539" i="19"/>
  <c r="L374" i="17"/>
  <c r="O8" i="17"/>
  <c r="G32" i="17"/>
  <c r="E115" i="17"/>
  <c r="G228" i="17"/>
  <c r="L247" i="17"/>
  <c r="O413" i="17"/>
  <c r="G432" i="17"/>
  <c r="G469" i="17"/>
  <c r="G472" i="17"/>
  <c r="G483" i="17"/>
  <c r="E74" i="17"/>
  <c r="I86" i="17"/>
  <c r="Q86" i="17"/>
  <c r="G94" i="17"/>
  <c r="E374" i="17"/>
  <c r="G511" i="17"/>
  <c r="L86" i="17"/>
  <c r="F127" i="17"/>
  <c r="K221" i="17"/>
  <c r="K220" i="17" s="1"/>
  <c r="K219" i="17" s="1"/>
  <c r="K541" i="17" s="1"/>
  <c r="G459" i="17"/>
  <c r="G461" i="17"/>
  <c r="I515" i="17"/>
  <c r="E86" i="17"/>
  <c r="G160" i="17"/>
  <c r="J221" i="17"/>
  <c r="M300" i="17"/>
  <c r="F300" i="17" s="1"/>
  <c r="G388" i="17"/>
  <c r="G436" i="17"/>
  <c r="N435" i="17"/>
  <c r="N86" i="17"/>
  <c r="I221" i="17"/>
  <c r="F233" i="17"/>
  <c r="G323" i="17"/>
  <c r="G368" i="17"/>
  <c r="E394" i="17"/>
  <c r="L435" i="17"/>
  <c r="G475" i="17"/>
  <c r="G530" i="17"/>
  <c r="G39" i="17"/>
  <c r="F224" i="17"/>
  <c r="G281" i="17"/>
  <c r="G382" i="17"/>
  <c r="G391" i="17"/>
  <c r="G454" i="17"/>
  <c r="I8" i="17"/>
  <c r="G53" i="17"/>
  <c r="G87" i="17"/>
  <c r="F110" i="17"/>
  <c r="Q162" i="17"/>
  <c r="F294" i="17"/>
  <c r="Q413" i="17"/>
  <c r="G487" i="17"/>
  <c r="E141" i="17"/>
  <c r="G152" i="17"/>
  <c r="M262" i="17"/>
  <c r="M294" i="17"/>
  <c r="G99" i="17"/>
  <c r="Q374" i="17"/>
  <c r="Q151" i="17"/>
  <c r="G238" i="17"/>
  <c r="G355" i="17"/>
  <c r="G444" i="17"/>
  <c r="G164" i="17"/>
  <c r="F278" i="17"/>
  <c r="G357" i="17"/>
  <c r="N141" i="17"/>
  <c r="F417" i="17"/>
  <c r="F413" i="17" s="1"/>
  <c r="G19" i="17"/>
  <c r="N60" i="17"/>
  <c r="G60" i="17" s="1"/>
  <c r="N74" i="17"/>
  <c r="G83" i="17"/>
  <c r="F251" i="17"/>
  <c r="G441" i="17"/>
  <c r="E221" i="17"/>
  <c r="L485" i="17"/>
  <c r="Q8" i="17"/>
  <c r="G26" i="17"/>
  <c r="I74" i="17"/>
  <c r="P7" i="17"/>
  <c r="P6" i="17" s="1"/>
  <c r="P210" i="17" s="1"/>
  <c r="J151" i="17"/>
  <c r="L186" i="17"/>
  <c r="I314" i="17"/>
  <c r="G327" i="17"/>
  <c r="I361" i="17"/>
  <c r="M435" i="17"/>
  <c r="M434" i="17" s="1"/>
  <c r="I474" i="17"/>
  <c r="O486" i="17"/>
  <c r="O485" i="17" s="1"/>
  <c r="G539" i="17"/>
  <c r="E8" i="17"/>
  <c r="G75" i="17"/>
  <c r="F87" i="17"/>
  <c r="H86" i="17"/>
  <c r="G110" i="17"/>
  <c r="O133" i="17"/>
  <c r="Q134" i="17"/>
  <c r="L141" i="17"/>
  <c r="L163" i="17"/>
  <c r="L162" i="17" s="1"/>
  <c r="G187" i="17"/>
  <c r="G224" i="17"/>
  <c r="L221" i="17"/>
  <c r="F306" i="17"/>
  <c r="G315" i="17"/>
  <c r="E314" i="17"/>
  <c r="Q333" i="17"/>
  <c r="O374" i="17"/>
  <c r="E413" i="17"/>
  <c r="F444" i="17"/>
  <c r="F441" i="17" s="1"/>
  <c r="F435" i="17" s="1"/>
  <c r="F434" i="17" s="1"/>
  <c r="F282" i="17"/>
  <c r="N8" i="17"/>
  <c r="N7" i="17" s="1"/>
  <c r="G61" i="17"/>
  <c r="J141" i="17"/>
  <c r="G148" i="17"/>
  <c r="E151" i="17"/>
  <c r="G197" i="17"/>
  <c r="G256" i="17"/>
  <c r="F262" i="17"/>
  <c r="F303" i="17"/>
  <c r="N374" i="17"/>
  <c r="O394" i="17"/>
  <c r="N486" i="17"/>
  <c r="N485" i="17" s="1"/>
  <c r="F137" i="17"/>
  <c r="G146" i="17"/>
  <c r="G149" i="17"/>
  <c r="G174" i="17"/>
  <c r="E186" i="17"/>
  <c r="H221" i="17"/>
  <c r="H247" i="17"/>
  <c r="I333" i="17"/>
  <c r="Q361" i="17"/>
  <c r="G385" i="17"/>
  <c r="N394" i="17"/>
  <c r="J435" i="17"/>
  <c r="G452" i="17"/>
  <c r="N458" i="17"/>
  <c r="N434" i="17" s="1"/>
  <c r="Q474" i="17"/>
  <c r="Q515" i="17"/>
  <c r="Q485" i="17" s="1"/>
  <c r="J8" i="17"/>
  <c r="J7" i="17" s="1"/>
  <c r="G42" i="17"/>
  <c r="O74" i="17"/>
  <c r="G118" i="17"/>
  <c r="E163" i="17"/>
  <c r="P221" i="17"/>
  <c r="G245" i="17"/>
  <c r="F253" i="17"/>
  <c r="I247" i="17"/>
  <c r="Q247" i="17"/>
  <c r="F290" i="17"/>
  <c r="O314" i="17"/>
  <c r="O361" i="17"/>
  <c r="I435" i="17"/>
  <c r="O474" i="17"/>
  <c r="O434" i="17" s="1"/>
  <c r="G501" i="17"/>
  <c r="F313" i="17"/>
  <c r="F134" i="17"/>
  <c r="G135" i="17"/>
  <c r="G139" i="17"/>
  <c r="I151" i="17"/>
  <c r="G243" i="17"/>
  <c r="G331" i="17"/>
  <c r="N413" i="17"/>
  <c r="E435" i="17"/>
  <c r="E434" i="17" s="1"/>
  <c r="Q435" i="17"/>
  <c r="I458" i="17"/>
  <c r="L482" i="17"/>
  <c r="G482" i="17" s="1"/>
  <c r="G509" i="17"/>
  <c r="L8" i="17"/>
  <c r="K86" i="17"/>
  <c r="K7" i="17" s="1"/>
  <c r="G113" i="17"/>
  <c r="Q141" i="17"/>
  <c r="N151" i="17"/>
  <c r="O186" i="17"/>
  <c r="E247" i="17"/>
  <c r="G334" i="17"/>
  <c r="G371" i="17"/>
  <c r="J374" i="17"/>
  <c r="I394" i="17"/>
  <c r="G423" i="17"/>
  <c r="E485" i="17"/>
  <c r="G516" i="17"/>
  <c r="G9" i="17"/>
  <c r="G66" i="17"/>
  <c r="O86" i="17"/>
  <c r="G116" i="17"/>
  <c r="I141" i="17"/>
  <c r="L151" i="17"/>
  <c r="O163" i="17"/>
  <c r="O162" i="17" s="1"/>
  <c r="G325" i="17"/>
  <c r="E333" i="17"/>
  <c r="G362" i="17"/>
  <c r="J361" i="17"/>
  <c r="G395" i="17"/>
  <c r="I413" i="17"/>
  <c r="P435" i="17"/>
  <c r="P434" i="17" s="1"/>
  <c r="G477" i="17"/>
  <c r="M7" i="17"/>
  <c r="M6" i="17" s="1"/>
  <c r="M210" i="17" s="1"/>
  <c r="L394" i="11"/>
  <c r="G9" i="11"/>
  <c r="E8" i="11"/>
  <c r="G39" i="11"/>
  <c r="L86" i="11"/>
  <c r="F94" i="11"/>
  <c r="E86" i="11"/>
  <c r="G139" i="11"/>
  <c r="G134" i="11" s="1"/>
  <c r="O151" i="11"/>
  <c r="N151" i="11"/>
  <c r="N163" i="11"/>
  <c r="G197" i="11"/>
  <c r="H221" i="11"/>
  <c r="P221" i="11"/>
  <c r="G252" i="11"/>
  <c r="O247" i="11"/>
  <c r="G281" i="11"/>
  <c r="G325" i="11"/>
  <c r="G362" i="11"/>
  <c r="G385" i="11"/>
  <c r="G417" i="11"/>
  <c r="O413" i="11"/>
  <c r="O435" i="11"/>
  <c r="G452" i="11"/>
  <c r="G454" i="11"/>
  <c r="N486" i="11"/>
  <c r="N485" i="11" s="1"/>
  <c r="G251" i="11"/>
  <c r="H435" i="11"/>
  <c r="H434" i="11" s="1"/>
  <c r="G78" i="11"/>
  <c r="P7" i="11"/>
  <c r="P6" i="11" s="1"/>
  <c r="P210" i="11" s="1"/>
  <c r="Q86" i="11"/>
  <c r="G187" i="11"/>
  <c r="I221" i="11"/>
  <c r="Q221" i="11"/>
  <c r="G327" i="11"/>
  <c r="O333" i="11"/>
  <c r="Q361" i="11"/>
  <c r="G388" i="11"/>
  <c r="I394" i="11"/>
  <c r="F417" i="11"/>
  <c r="F413" i="11" s="1"/>
  <c r="N413" i="11"/>
  <c r="N458" i="11"/>
  <c r="G458" i="11" s="1"/>
  <c r="Q474" i="11"/>
  <c r="Q434" i="11" s="1"/>
  <c r="Q515" i="11"/>
  <c r="Q485" i="11" s="1"/>
  <c r="G53" i="11"/>
  <c r="E134" i="11"/>
  <c r="Q133" i="11"/>
  <c r="O141" i="11"/>
  <c r="N141" i="11"/>
  <c r="L151" i="11"/>
  <c r="G174" i="11"/>
  <c r="N222" i="11"/>
  <c r="N221" i="11" s="1"/>
  <c r="R293" i="11"/>
  <c r="S293" i="11" s="1"/>
  <c r="I314" i="11"/>
  <c r="G344" i="11"/>
  <c r="N333" i="11"/>
  <c r="G371" i="11"/>
  <c r="G379" i="11"/>
  <c r="G395" i="11"/>
  <c r="J413" i="11"/>
  <c r="N435" i="11"/>
  <c r="G469" i="11"/>
  <c r="O474" i="11"/>
  <c r="G487" i="11"/>
  <c r="G501" i="11"/>
  <c r="O8" i="11"/>
  <c r="O7" i="11" s="1"/>
  <c r="G66" i="11"/>
  <c r="G152" i="11"/>
  <c r="G164" i="11"/>
  <c r="G224" i="11"/>
  <c r="G243" i="11"/>
  <c r="N247" i="11"/>
  <c r="F294" i="11"/>
  <c r="G315" i="11"/>
  <c r="G382" i="11"/>
  <c r="G426" i="11"/>
  <c r="G432" i="11"/>
  <c r="L434" i="11"/>
  <c r="G482" i="11"/>
  <c r="G509" i="11"/>
  <c r="H86" i="11"/>
  <c r="N134" i="11"/>
  <c r="O134" i="11"/>
  <c r="L141" i="11"/>
  <c r="G154" i="11"/>
  <c r="Q186" i="11"/>
  <c r="L221" i="11"/>
  <c r="K247" i="11"/>
  <c r="F262" i="11"/>
  <c r="L361" i="11"/>
  <c r="E434" i="11"/>
  <c r="G444" i="11"/>
  <c r="G475" i="11"/>
  <c r="G483" i="11"/>
  <c r="G511" i="11"/>
  <c r="G516" i="11"/>
  <c r="F283" i="11"/>
  <c r="L8" i="11"/>
  <c r="L7" i="11" s="1"/>
  <c r="G32" i="11"/>
  <c r="G60" i="11"/>
  <c r="G113" i="11"/>
  <c r="N115" i="11"/>
  <c r="L133" i="11"/>
  <c r="F137" i="11"/>
  <c r="G142" i="11"/>
  <c r="I148" i="11"/>
  <c r="G148" i="11" s="1"/>
  <c r="E151" i="11"/>
  <c r="I186" i="11"/>
  <c r="I162" i="11" s="1"/>
  <c r="M221" i="11"/>
  <c r="F230" i="11"/>
  <c r="F221" i="11" s="1"/>
  <c r="G293" i="11"/>
  <c r="Q314" i="11"/>
  <c r="E374" i="11"/>
  <c r="O394" i="11"/>
  <c r="G459" i="11"/>
  <c r="J474" i="11"/>
  <c r="M7" i="11"/>
  <c r="M6" i="11" s="1"/>
  <c r="M210" i="11" s="1"/>
  <c r="G19" i="11"/>
  <c r="N8" i="11"/>
  <c r="G61" i="11"/>
  <c r="G83" i="11"/>
  <c r="G118" i="11"/>
  <c r="Q163" i="11"/>
  <c r="Q162" i="11" s="1"/>
  <c r="N186" i="11"/>
  <c r="G230" i="11"/>
  <c r="O314" i="11"/>
  <c r="G331" i="11"/>
  <c r="Q333" i="11"/>
  <c r="E333" i="11"/>
  <c r="E220" i="11" s="1"/>
  <c r="Q374" i="11"/>
  <c r="N394" i="11"/>
  <c r="J435" i="11"/>
  <c r="F447" i="11"/>
  <c r="E458" i="11"/>
  <c r="I474" i="11"/>
  <c r="I434" i="11" s="1"/>
  <c r="O486" i="11"/>
  <c r="O485" i="11" s="1"/>
  <c r="G539" i="11"/>
  <c r="O133" i="9"/>
  <c r="R286" i="9"/>
  <c r="H247" i="9"/>
  <c r="G60" i="9"/>
  <c r="E7" i="9"/>
  <c r="G75" i="9"/>
  <c r="G78" i="9"/>
  <c r="G110" i="9"/>
  <c r="G118" i="9"/>
  <c r="K122" i="9"/>
  <c r="K120" i="9" s="1"/>
  <c r="N134" i="9"/>
  <c r="G142" i="9"/>
  <c r="G144" i="9"/>
  <c r="G146" i="9"/>
  <c r="G164" i="9"/>
  <c r="F313" i="9"/>
  <c r="F286" i="9" s="1"/>
  <c r="N314" i="9"/>
  <c r="G331" i="9"/>
  <c r="E333" i="9"/>
  <c r="G385" i="9"/>
  <c r="G388" i="9"/>
  <c r="G399" i="9"/>
  <c r="N435" i="9"/>
  <c r="O515" i="9"/>
  <c r="O485" i="9" s="1"/>
  <c r="I8" i="9"/>
  <c r="F87" i="9"/>
  <c r="O86" i="9"/>
  <c r="G135" i="9"/>
  <c r="F137" i="9"/>
  <c r="E141" i="9"/>
  <c r="N151" i="9"/>
  <c r="L151" i="9"/>
  <c r="G151" i="9" s="1"/>
  <c r="G174" i="9"/>
  <c r="F224" i="9"/>
  <c r="F221" i="9" s="1"/>
  <c r="G285" i="9"/>
  <c r="G283" i="9" s="1"/>
  <c r="L374" i="9"/>
  <c r="G395" i="9"/>
  <c r="E458" i="9"/>
  <c r="E434" i="9" s="1"/>
  <c r="G487" i="9"/>
  <c r="G61" i="9"/>
  <c r="O186" i="9"/>
  <c r="G256" i="9"/>
  <c r="R293" i="9"/>
  <c r="S293" i="9" s="1"/>
  <c r="G325" i="9"/>
  <c r="Q361" i="9"/>
  <c r="G379" i="9"/>
  <c r="G374" i="9" s="1"/>
  <c r="G382" i="9"/>
  <c r="G391" i="9"/>
  <c r="L434" i="9"/>
  <c r="J8" i="9"/>
  <c r="G32" i="9"/>
  <c r="G139" i="9"/>
  <c r="H221" i="9"/>
  <c r="O361" i="9"/>
  <c r="E486" i="9"/>
  <c r="E485" i="9" s="1"/>
  <c r="G17" i="9"/>
  <c r="G19" i="9"/>
  <c r="G42" i="9"/>
  <c r="G99" i="9"/>
  <c r="G124" i="9"/>
  <c r="G123" i="9" s="1"/>
  <c r="G122" i="9" s="1"/>
  <c r="G120" i="9" s="1"/>
  <c r="F134" i="9"/>
  <c r="G152" i="9"/>
  <c r="G154" i="9"/>
  <c r="P221" i="9"/>
  <c r="N286" i="9"/>
  <c r="I333" i="9"/>
  <c r="F417" i="9"/>
  <c r="F413" i="9" s="1"/>
  <c r="N413" i="9"/>
  <c r="J435" i="9"/>
  <c r="O474" i="9"/>
  <c r="N474" i="9"/>
  <c r="L8" i="9"/>
  <c r="L7" i="9" s="1"/>
  <c r="J74" i="9"/>
  <c r="N74" i="9"/>
  <c r="G83" i="9"/>
  <c r="K86" i="9"/>
  <c r="F110" i="9"/>
  <c r="E134" i="9"/>
  <c r="I141" i="9"/>
  <c r="I133" i="9" s="1"/>
  <c r="N141" i="9"/>
  <c r="N133" i="9" s="1"/>
  <c r="L141" i="9"/>
  <c r="L133" i="9" s="1"/>
  <c r="E151" i="9"/>
  <c r="O163" i="9"/>
  <c r="O162" i="9" s="1"/>
  <c r="G187" i="9"/>
  <c r="E221" i="9"/>
  <c r="E220" i="9" s="1"/>
  <c r="G230" i="9"/>
  <c r="G250" i="9"/>
  <c r="G248" i="9" s="1"/>
  <c r="J247" i="9"/>
  <c r="G315" i="9"/>
  <c r="J413" i="9"/>
  <c r="G441" i="9"/>
  <c r="G458" i="9"/>
  <c r="J482" i="9"/>
  <c r="G482" i="9" s="1"/>
  <c r="N486" i="9"/>
  <c r="N485" i="9" s="1"/>
  <c r="P6" i="9"/>
  <c r="P210" i="9" s="1"/>
  <c r="G148" i="9"/>
  <c r="O434" i="9"/>
  <c r="Q8" i="9"/>
  <c r="Q7" i="9" s="1"/>
  <c r="G26" i="9"/>
  <c r="O8" i="9"/>
  <c r="O7" i="9" s="1"/>
  <c r="O6" i="9" s="1"/>
  <c r="O210" i="9" s="1"/>
  <c r="G66" i="9"/>
  <c r="N115" i="9"/>
  <c r="G115" i="9" s="1"/>
  <c r="Q134" i="9"/>
  <c r="Q133" i="9" s="1"/>
  <c r="G149" i="9"/>
  <c r="L221" i="9"/>
  <c r="N224" i="9"/>
  <c r="N221" i="9" s="1"/>
  <c r="G243" i="9"/>
  <c r="O314" i="9"/>
  <c r="O220" i="9" s="1"/>
  <c r="J333" i="9"/>
  <c r="Q333" i="9"/>
  <c r="Q220" i="9" s="1"/>
  <c r="Q219" i="9" s="1"/>
  <c r="Q541" i="9" s="1"/>
  <c r="I361" i="9"/>
  <c r="G361" i="9" s="1"/>
  <c r="G475" i="9"/>
  <c r="L486" i="9"/>
  <c r="L485" i="9" s="1"/>
  <c r="F220" i="23"/>
  <c r="I524" i="23"/>
  <c r="I540" i="23" s="1"/>
  <c r="J533" i="23"/>
  <c r="J535" i="23" s="1"/>
  <c r="M540" i="23"/>
  <c r="K535" i="23"/>
  <c r="M534" i="23"/>
  <c r="E540" i="23"/>
  <c r="J541" i="23"/>
  <c r="J540" i="23"/>
  <c r="M541" i="23"/>
  <c r="E535" i="23"/>
  <c r="L535" i="23"/>
  <c r="E541" i="23"/>
  <c r="K534" i="23"/>
  <c r="L541" i="23"/>
  <c r="I534" i="23"/>
  <c r="K540" i="23"/>
  <c r="G220" i="23"/>
  <c r="H524" i="23"/>
  <c r="H533" i="23"/>
  <c r="H211" i="23"/>
  <c r="H532" i="23"/>
  <c r="G9" i="23"/>
  <c r="N9" i="23" s="1"/>
  <c r="E534" i="23"/>
  <c r="G537" i="23"/>
  <c r="H539" i="23"/>
  <c r="G536" i="23"/>
  <c r="H538" i="23"/>
  <c r="R219" i="22"/>
  <c r="G219" i="22"/>
  <c r="G541" i="22" s="1"/>
  <c r="J210" i="22"/>
  <c r="R220" i="22"/>
  <c r="F219" i="22"/>
  <c r="F541" i="22" s="1"/>
  <c r="G247" i="21"/>
  <c r="G220" i="21" s="1"/>
  <c r="G219" i="21" s="1"/>
  <c r="G541" i="21" s="1"/>
  <c r="F126" i="21"/>
  <c r="F7" i="21" s="1"/>
  <c r="F6" i="21" s="1"/>
  <c r="F210" i="21" s="1"/>
  <c r="H7" i="21"/>
  <c r="H6" i="21" s="1"/>
  <c r="H210" i="21" s="1"/>
  <c r="H543" i="21" s="1"/>
  <c r="R220" i="21"/>
  <c r="F219" i="21"/>
  <c r="F541" i="21" s="1"/>
  <c r="I6" i="21"/>
  <c r="I210" i="21" s="1"/>
  <c r="I547" i="21" s="1"/>
  <c r="H547" i="21"/>
  <c r="M547" i="21"/>
  <c r="M543" i="21"/>
  <c r="I357" i="18"/>
  <c r="F248" i="18"/>
  <c r="I396" i="18"/>
  <c r="E404" i="18"/>
  <c r="L404" i="18" s="1"/>
  <c r="E249" i="18"/>
  <c r="L249" i="18" s="1"/>
  <c r="E223" i="18"/>
  <c r="L223" i="18" s="1"/>
  <c r="K418" i="18"/>
  <c r="K417" i="18" s="1"/>
  <c r="E400" i="18"/>
  <c r="L400" i="18" s="1"/>
  <c r="K396" i="18"/>
  <c r="E374" i="18"/>
  <c r="L374" i="18" s="1"/>
  <c r="E287" i="18"/>
  <c r="J221" i="18"/>
  <c r="J220" i="18" s="1"/>
  <c r="J533" i="18" s="1"/>
  <c r="E284" i="18"/>
  <c r="L284" i="18" s="1"/>
  <c r="E276" i="18"/>
  <c r="L276" i="18" s="1"/>
  <c r="E257" i="18"/>
  <c r="L257" i="18" s="1"/>
  <c r="I248" i="18"/>
  <c r="K248" i="18"/>
  <c r="E242" i="18"/>
  <c r="L242" i="18" s="1"/>
  <c r="K222" i="18"/>
  <c r="E240" i="18"/>
  <c r="L240" i="18" s="1"/>
  <c r="E225" i="18"/>
  <c r="L225" i="18" s="1"/>
  <c r="I222" i="18"/>
  <c r="L287" i="18"/>
  <c r="D248" i="18"/>
  <c r="L251" i="18"/>
  <c r="L128" i="18"/>
  <c r="L133" i="18"/>
  <c r="L138" i="18"/>
  <c r="L125" i="18"/>
  <c r="D10" i="18"/>
  <c r="G313" i="19"/>
  <c r="G286" i="19" s="1"/>
  <c r="K247" i="19"/>
  <c r="K220" i="19" s="1"/>
  <c r="K219" i="19" s="1"/>
  <c r="K541" i="19" s="1"/>
  <c r="K127" i="19"/>
  <c r="G132" i="19"/>
  <c r="G127" i="19" s="1"/>
  <c r="G126" i="19" s="1"/>
  <c r="P286" i="19"/>
  <c r="F313" i="19"/>
  <c r="P134" i="19"/>
  <c r="F137" i="19"/>
  <c r="F138" i="19"/>
  <c r="G134" i="19"/>
  <c r="F294" i="19"/>
  <c r="F123" i="19"/>
  <c r="I7" i="19"/>
  <c r="G8" i="19"/>
  <c r="L162" i="19"/>
  <c r="G162" i="19" s="1"/>
  <c r="G163" i="19"/>
  <c r="E7" i="19"/>
  <c r="E6" i="19" s="1"/>
  <c r="E210" i="19" s="1"/>
  <c r="O7" i="19"/>
  <c r="G86" i="19"/>
  <c r="E220" i="19"/>
  <c r="E219" i="19" s="1"/>
  <c r="E541" i="19" s="1"/>
  <c r="F303" i="19"/>
  <c r="J7" i="19"/>
  <c r="Q7" i="19"/>
  <c r="N7" i="19"/>
  <c r="N6" i="19" s="1"/>
  <c r="N210" i="19" s="1"/>
  <c r="F120" i="19"/>
  <c r="F86" i="19" s="1"/>
  <c r="L220" i="19"/>
  <c r="O220" i="19"/>
  <c r="N247" i="19"/>
  <c r="N220" i="19" s="1"/>
  <c r="N219" i="19" s="1"/>
  <c r="E434" i="19"/>
  <c r="O434" i="19"/>
  <c r="G515" i="19"/>
  <c r="L485" i="19"/>
  <c r="I141" i="19"/>
  <c r="G141" i="19" s="1"/>
  <c r="G144" i="19"/>
  <c r="I151" i="19"/>
  <c r="G151" i="19" s="1"/>
  <c r="F233" i="19"/>
  <c r="F230" i="19" s="1"/>
  <c r="F221" i="19" s="1"/>
  <c r="F253" i="19"/>
  <c r="F248" i="19" s="1"/>
  <c r="H275" i="19"/>
  <c r="H247" i="19" s="1"/>
  <c r="H220" i="19" s="1"/>
  <c r="H219" i="19" s="1"/>
  <c r="P275" i="19"/>
  <c r="F278" i="19"/>
  <c r="F275" i="19" s="1"/>
  <c r="M286" i="19"/>
  <c r="F290" i="19"/>
  <c r="M294" i="19"/>
  <c r="M300" i="19"/>
  <c r="F300" i="19" s="1"/>
  <c r="I314" i="19"/>
  <c r="G314" i="19" s="1"/>
  <c r="G327" i="19"/>
  <c r="J333" i="19"/>
  <c r="J361" i="19"/>
  <c r="G361" i="19" s="1"/>
  <c r="I394" i="19"/>
  <c r="G394" i="19" s="1"/>
  <c r="P441" i="19"/>
  <c r="P435" i="19" s="1"/>
  <c r="P434" i="19" s="1"/>
  <c r="J474" i="19"/>
  <c r="G474" i="19" s="1"/>
  <c r="I486" i="19"/>
  <c r="G501" i="19"/>
  <c r="G116" i="19"/>
  <c r="G477" i="19"/>
  <c r="G530" i="19"/>
  <c r="F122" i="19"/>
  <c r="G251" i="19"/>
  <c r="G252" i="19"/>
  <c r="G281" i="19"/>
  <c r="G275" i="19" s="1"/>
  <c r="G444" i="19"/>
  <c r="G441" i="19" s="1"/>
  <c r="G435" i="19" s="1"/>
  <c r="M230" i="19"/>
  <c r="M221" i="19" s="1"/>
  <c r="M275" i="19"/>
  <c r="I458" i="19"/>
  <c r="G458" i="19" s="1"/>
  <c r="F89" i="18"/>
  <c r="K89" i="18"/>
  <c r="K10" i="18" s="1"/>
  <c r="I89" i="18"/>
  <c r="I10" i="18" s="1"/>
  <c r="K135" i="18"/>
  <c r="K134" i="18" s="1"/>
  <c r="E97" i="18"/>
  <c r="L97" i="18" s="1"/>
  <c r="G10" i="18"/>
  <c r="L164" i="18"/>
  <c r="E457" i="18"/>
  <c r="L457" i="18" s="1"/>
  <c r="G468" i="18"/>
  <c r="G537" i="18" s="1"/>
  <c r="G539" i="18" s="1"/>
  <c r="K468" i="18"/>
  <c r="K537" i="18" s="1"/>
  <c r="K539" i="18" s="1"/>
  <c r="E63" i="18"/>
  <c r="L63" i="18" s="1"/>
  <c r="E123" i="18"/>
  <c r="L123" i="18" s="1"/>
  <c r="L124" i="18"/>
  <c r="J539" i="18"/>
  <c r="H417" i="18"/>
  <c r="E465" i="18"/>
  <c r="L465" i="18" s="1"/>
  <c r="D468" i="18"/>
  <c r="D537" i="18" s="1"/>
  <c r="D539" i="18" s="1"/>
  <c r="J524" i="18"/>
  <c r="H539" i="18"/>
  <c r="H11" i="18"/>
  <c r="E22" i="18"/>
  <c r="L22" i="18" s="1"/>
  <c r="H77" i="18"/>
  <c r="E77" i="18" s="1"/>
  <c r="L77" i="18" s="1"/>
  <c r="E86" i="18"/>
  <c r="L86" i="18" s="1"/>
  <c r="H89" i="18"/>
  <c r="E102" i="18"/>
  <c r="L102" i="18" s="1"/>
  <c r="H118" i="18"/>
  <c r="E118" i="18" s="1"/>
  <c r="L118" i="18" s="1"/>
  <c r="F127" i="18"/>
  <c r="E127" i="18" s="1"/>
  <c r="L127" i="18" s="1"/>
  <c r="H135" i="18"/>
  <c r="E140" i="18"/>
  <c r="L140" i="18" s="1"/>
  <c r="F142" i="18"/>
  <c r="F134" i="18" s="1"/>
  <c r="H149" i="18"/>
  <c r="E149" i="18" s="1"/>
  <c r="L149" i="18" s="1"/>
  <c r="H152" i="18"/>
  <c r="E152" i="18" s="1"/>
  <c r="L152" i="18" s="1"/>
  <c r="E161" i="18"/>
  <c r="L161" i="18" s="1"/>
  <c r="F187" i="18"/>
  <c r="E187" i="18" s="1"/>
  <c r="L187" i="18" s="1"/>
  <c r="F222" i="18"/>
  <c r="F297" i="18"/>
  <c r="F316" i="18"/>
  <c r="E316" i="18" s="1"/>
  <c r="L316" i="18" s="1"/>
  <c r="G344" i="18"/>
  <c r="G221" i="18" s="1"/>
  <c r="E348" i="18"/>
  <c r="L348" i="18" s="1"/>
  <c r="F357" i="18"/>
  <c r="H377" i="18"/>
  <c r="E377" i="18" s="1"/>
  <c r="L377" i="18" s="1"/>
  <c r="G418" i="18"/>
  <c r="G417" i="18" s="1"/>
  <c r="E424" i="18"/>
  <c r="L424" i="18" s="1"/>
  <c r="E263" i="18"/>
  <c r="L263" i="18" s="1"/>
  <c r="H396" i="18"/>
  <c r="E409" i="18"/>
  <c r="L409" i="18" s="1"/>
  <c r="F441" i="18"/>
  <c r="E441" i="18" s="1"/>
  <c r="L441" i="18" s="1"/>
  <c r="H142" i="18"/>
  <c r="H222" i="18"/>
  <c r="H297" i="18"/>
  <c r="H357" i="18"/>
  <c r="F469" i="18"/>
  <c r="F498" i="18"/>
  <c r="E498" i="18" s="1"/>
  <c r="L498" i="18" s="1"/>
  <c r="G285" i="17"/>
  <c r="G283" i="17" s="1"/>
  <c r="G313" i="17"/>
  <c r="G311" i="17"/>
  <c r="F285" i="17"/>
  <c r="F283" i="17" s="1"/>
  <c r="P283" i="17"/>
  <c r="P275" i="17"/>
  <c r="F275" i="17"/>
  <c r="G282" i="17"/>
  <c r="G275" i="17" s="1"/>
  <c r="M286" i="17"/>
  <c r="R286" i="17" s="1"/>
  <c r="G124" i="17"/>
  <c r="G123" i="17" s="1"/>
  <c r="G122" i="17" s="1"/>
  <c r="G120" i="17" s="1"/>
  <c r="F123" i="17"/>
  <c r="F124" i="17"/>
  <c r="Q7" i="17"/>
  <c r="F133" i="17"/>
  <c r="E162" i="17"/>
  <c r="J220" i="17"/>
  <c r="F230" i="17"/>
  <c r="F221" i="17" s="1"/>
  <c r="F286" i="17"/>
  <c r="G361" i="17"/>
  <c r="O7" i="17"/>
  <c r="O6" i="17" s="1"/>
  <c r="O210" i="17" s="1"/>
  <c r="G151" i="17"/>
  <c r="I220" i="17"/>
  <c r="F248" i="17"/>
  <c r="G435" i="17"/>
  <c r="Q434" i="17"/>
  <c r="G458" i="17"/>
  <c r="L7" i="17"/>
  <c r="G86" i="17"/>
  <c r="K6" i="17"/>
  <c r="K210" i="17" s="1"/>
  <c r="F122" i="17"/>
  <c r="E133" i="17"/>
  <c r="N133" i="17"/>
  <c r="N6" i="17" s="1"/>
  <c r="Q220" i="17"/>
  <c r="G230" i="17"/>
  <c r="G8" i="17"/>
  <c r="G78" i="17"/>
  <c r="I115" i="17"/>
  <c r="G115" i="17" s="1"/>
  <c r="H126" i="17"/>
  <c r="F126" i="17" s="1"/>
  <c r="J134" i="17"/>
  <c r="J133" i="17" s="1"/>
  <c r="J6" i="17" s="1"/>
  <c r="J210" i="17" s="1"/>
  <c r="I163" i="17"/>
  <c r="I186" i="17"/>
  <c r="G186" i="17" s="1"/>
  <c r="G223" i="17"/>
  <c r="G222" i="17" s="1"/>
  <c r="N224" i="17"/>
  <c r="N221" i="17" s="1"/>
  <c r="M248" i="17"/>
  <c r="G250" i="17"/>
  <c r="G264" i="17"/>
  <c r="G262" i="17" s="1"/>
  <c r="G287" i="17"/>
  <c r="G293" i="17"/>
  <c r="G344" i="17"/>
  <c r="G333" i="17" s="1"/>
  <c r="G365" i="17"/>
  <c r="G426" i="17"/>
  <c r="G413" i="17" s="1"/>
  <c r="H441" i="17"/>
  <c r="H435" i="17" s="1"/>
  <c r="H434" i="17" s="1"/>
  <c r="J474" i="17"/>
  <c r="G474" i="17" s="1"/>
  <c r="G479" i="17"/>
  <c r="I486" i="17"/>
  <c r="J515" i="17"/>
  <c r="G17" i="17"/>
  <c r="H120" i="17"/>
  <c r="F120" i="17" s="1"/>
  <c r="F86" i="17" s="1"/>
  <c r="P248" i="17"/>
  <c r="G251" i="17"/>
  <c r="G379" i="17"/>
  <c r="G374" i="17" s="1"/>
  <c r="M230" i="17"/>
  <c r="M221" i="17" s="1"/>
  <c r="M275" i="17"/>
  <c r="N286" i="17"/>
  <c r="N247" i="17" s="1"/>
  <c r="L314" i="17"/>
  <c r="G314" i="17" s="1"/>
  <c r="L333" i="17"/>
  <c r="L394" i="17"/>
  <c r="G394" i="17" s="1"/>
  <c r="G441" i="14"/>
  <c r="G447" i="14"/>
  <c r="F435" i="14"/>
  <c r="F434" i="14" s="1"/>
  <c r="F441" i="14"/>
  <c r="L220" i="14"/>
  <c r="P247" i="14"/>
  <c r="G314" i="14"/>
  <c r="P220" i="14"/>
  <c r="P219" i="14" s="1"/>
  <c r="P541" i="14" s="1"/>
  <c r="P547" i="14" s="1"/>
  <c r="M247" i="14"/>
  <c r="M220" i="14" s="1"/>
  <c r="M219" i="14" s="1"/>
  <c r="M541" i="14" s="1"/>
  <c r="J7" i="14"/>
  <c r="G8" i="14"/>
  <c r="G7" i="14" s="1"/>
  <c r="I7" i="14"/>
  <c r="Q6" i="14"/>
  <c r="Q210" i="14" s="1"/>
  <c r="E7" i="14"/>
  <c r="G115" i="14"/>
  <c r="E133" i="14"/>
  <c r="G186" i="14"/>
  <c r="K220" i="14"/>
  <c r="K219" i="14" s="1"/>
  <c r="K541" i="14" s="1"/>
  <c r="K543" i="14" s="1"/>
  <c r="O220" i="14"/>
  <c r="F248" i="14"/>
  <c r="F303" i="14"/>
  <c r="G361" i="14"/>
  <c r="J434" i="14"/>
  <c r="N434" i="14"/>
  <c r="G435" i="14"/>
  <c r="G486" i="14"/>
  <c r="M549" i="14"/>
  <c r="H120" i="14"/>
  <c r="F120" i="14" s="1"/>
  <c r="F86" i="14" s="1"/>
  <c r="I134" i="14"/>
  <c r="I133" i="14" s="1"/>
  <c r="L141" i="14"/>
  <c r="L151" i="14"/>
  <c r="G251" i="14"/>
  <c r="G248" i="14" s="1"/>
  <c r="G252" i="14"/>
  <c r="G265" i="14"/>
  <c r="G262" i="14" s="1"/>
  <c r="G281" i="14"/>
  <c r="G379" i="14"/>
  <c r="G374" i="14" s="1"/>
  <c r="L458" i="14"/>
  <c r="L434" i="14" s="1"/>
  <c r="I474" i="14"/>
  <c r="G474" i="14" s="1"/>
  <c r="I515" i="14"/>
  <c r="M546" i="14"/>
  <c r="N546" i="14" s="1"/>
  <c r="J141" i="14"/>
  <c r="G141" i="14" s="1"/>
  <c r="J151" i="14"/>
  <c r="F281" i="14"/>
  <c r="F275" i="14" s="1"/>
  <c r="G282" i="14"/>
  <c r="N286" i="14"/>
  <c r="N247" i="14" s="1"/>
  <c r="N220" i="14" s="1"/>
  <c r="N219" i="14" s="1"/>
  <c r="N541" i="14" s="1"/>
  <c r="G313" i="14"/>
  <c r="G286" i="14" s="1"/>
  <c r="G323" i="14"/>
  <c r="G399" i="14"/>
  <c r="M286" i="14"/>
  <c r="R286" i="14" s="1"/>
  <c r="L413" i="14"/>
  <c r="D418" i="13"/>
  <c r="L284" i="13"/>
  <c r="D248" i="13"/>
  <c r="L405" i="13"/>
  <c r="L125" i="13"/>
  <c r="L133" i="13"/>
  <c r="E97" i="13"/>
  <c r="L97" i="13" s="1"/>
  <c r="E374" i="13"/>
  <c r="L374" i="13" s="1"/>
  <c r="D396" i="13"/>
  <c r="K357" i="13"/>
  <c r="K396" i="13"/>
  <c r="E400" i="13"/>
  <c r="L400" i="13" s="1"/>
  <c r="I396" i="13"/>
  <c r="E123" i="13"/>
  <c r="L123" i="13" s="1"/>
  <c r="E424" i="13"/>
  <c r="L424" i="13" s="1"/>
  <c r="E287" i="13"/>
  <c r="L287" i="13" s="1"/>
  <c r="E276" i="13"/>
  <c r="L276" i="13" s="1"/>
  <c r="K248" i="13"/>
  <c r="E263" i="13"/>
  <c r="L263" i="13" s="1"/>
  <c r="I248" i="13"/>
  <c r="E257" i="13"/>
  <c r="L257" i="13" s="1"/>
  <c r="E240" i="13"/>
  <c r="L240" i="13" s="1"/>
  <c r="E231" i="13"/>
  <c r="L231" i="13" s="1"/>
  <c r="I222" i="13"/>
  <c r="K10" i="13"/>
  <c r="G532" i="13"/>
  <c r="G211" i="13"/>
  <c r="E142" i="13"/>
  <c r="L142" i="13" s="1"/>
  <c r="I539" i="13"/>
  <c r="J539" i="13"/>
  <c r="I211" i="13"/>
  <c r="I532" i="13"/>
  <c r="K9" i="13"/>
  <c r="J134" i="13"/>
  <c r="D222" i="13"/>
  <c r="D539" i="13"/>
  <c r="E135" i="13"/>
  <c r="L135" i="13" s="1"/>
  <c r="F134" i="13"/>
  <c r="E128" i="13"/>
  <c r="L128" i="13" s="1"/>
  <c r="F127" i="13"/>
  <c r="E127" i="13" s="1"/>
  <c r="L127" i="13" s="1"/>
  <c r="E165" i="13"/>
  <c r="L165" i="13" s="1"/>
  <c r="F164" i="13"/>
  <c r="E442" i="13"/>
  <c r="L442" i="13" s="1"/>
  <c r="F441" i="13"/>
  <c r="E441" i="13" s="1"/>
  <c r="L441" i="13" s="1"/>
  <c r="E152" i="13"/>
  <c r="L152" i="13" s="1"/>
  <c r="G417" i="13"/>
  <c r="F11" i="13"/>
  <c r="D89" i="13"/>
  <c r="H89" i="13"/>
  <c r="H10" i="13" s="1"/>
  <c r="E121" i="13"/>
  <c r="L121" i="13" s="1"/>
  <c r="E124" i="13"/>
  <c r="L124" i="13" s="1"/>
  <c r="E149" i="13"/>
  <c r="L149" i="13" s="1"/>
  <c r="E188" i="13"/>
  <c r="L188" i="13" s="1"/>
  <c r="F222" i="13"/>
  <c r="G222" i="13"/>
  <c r="K222" i="13"/>
  <c r="F344" i="13"/>
  <c r="E344" i="13" s="1"/>
  <c r="L344" i="13" s="1"/>
  <c r="E455" i="13"/>
  <c r="L455" i="13" s="1"/>
  <c r="D457" i="13"/>
  <c r="L457" i="13" s="1"/>
  <c r="E460" i="13"/>
  <c r="L460" i="13" s="1"/>
  <c r="E466" i="13"/>
  <c r="L466" i="13" s="1"/>
  <c r="E513" i="13"/>
  <c r="L513" i="13" s="1"/>
  <c r="E249" i="13"/>
  <c r="L249" i="13" s="1"/>
  <c r="F248" i="13"/>
  <c r="E419" i="13"/>
  <c r="L419" i="13" s="1"/>
  <c r="F418" i="13"/>
  <c r="E63" i="13"/>
  <c r="L63" i="13" s="1"/>
  <c r="E22" i="13"/>
  <c r="L22" i="13" s="1"/>
  <c r="E35" i="13"/>
  <c r="L35" i="13" s="1"/>
  <c r="E86" i="13"/>
  <c r="L86" i="13" s="1"/>
  <c r="F89" i="13"/>
  <c r="H164" i="13"/>
  <c r="H163" i="13" s="1"/>
  <c r="H536" i="13" s="1"/>
  <c r="H538" i="13" s="1"/>
  <c r="E298" i="13"/>
  <c r="L298" i="13" s="1"/>
  <c r="E351" i="13"/>
  <c r="L351" i="13" s="1"/>
  <c r="F357" i="13"/>
  <c r="E404" i="13"/>
  <c r="L404" i="13" s="1"/>
  <c r="J418" i="13"/>
  <c r="J417" i="13" s="1"/>
  <c r="E439" i="13"/>
  <c r="L439" i="13" s="1"/>
  <c r="E397" i="13"/>
  <c r="L397" i="13" s="1"/>
  <c r="F396" i="13"/>
  <c r="H221" i="13"/>
  <c r="H220" i="13" s="1"/>
  <c r="E377" i="13"/>
  <c r="L377" i="13" s="1"/>
  <c r="D77" i="13"/>
  <c r="H77" i="13"/>
  <c r="E77" i="13" s="1"/>
  <c r="L77" i="13" s="1"/>
  <c r="E138" i="13"/>
  <c r="L138" i="13" s="1"/>
  <c r="E155" i="13"/>
  <c r="L155" i="13" s="1"/>
  <c r="F187" i="13"/>
  <c r="E187" i="13" s="1"/>
  <c r="L187" i="13" s="1"/>
  <c r="E223" i="13"/>
  <c r="L223" i="13" s="1"/>
  <c r="E246" i="13"/>
  <c r="L246" i="13" s="1"/>
  <c r="F316" i="13"/>
  <c r="G316" i="13"/>
  <c r="K316" i="13"/>
  <c r="J396" i="13"/>
  <c r="J221" i="13" s="1"/>
  <c r="J220" i="13" s="1"/>
  <c r="E462" i="13"/>
  <c r="L462" i="13" s="1"/>
  <c r="F469" i="13"/>
  <c r="G469" i="13"/>
  <c r="G468" i="13" s="1"/>
  <c r="G537" i="13" s="1"/>
  <c r="G539" i="13" s="1"/>
  <c r="K469" i="13"/>
  <c r="K468" i="13" s="1"/>
  <c r="K537" i="13" s="1"/>
  <c r="E494" i="13"/>
  <c r="L494" i="13" s="1"/>
  <c r="E499" i="13"/>
  <c r="L499" i="13" s="1"/>
  <c r="F123" i="11"/>
  <c r="G287" i="11"/>
  <c r="G286" i="11" s="1"/>
  <c r="M248" i="11"/>
  <c r="G285" i="11"/>
  <c r="G283" i="11" s="1"/>
  <c r="M286" i="11"/>
  <c r="F313" i="11"/>
  <c r="F286" i="11" s="1"/>
  <c r="N7" i="11"/>
  <c r="K220" i="11"/>
  <c r="K219" i="11" s="1"/>
  <c r="K541" i="11" s="1"/>
  <c r="G333" i="11"/>
  <c r="G394" i="11"/>
  <c r="G86" i="11"/>
  <c r="N133" i="11"/>
  <c r="O133" i="11"/>
  <c r="O6" i="11" s="1"/>
  <c r="O210" i="11" s="1"/>
  <c r="N162" i="11"/>
  <c r="G221" i="11"/>
  <c r="P247" i="11"/>
  <c r="P220" i="11" s="1"/>
  <c r="P219" i="11" s="1"/>
  <c r="P541" i="11" s="1"/>
  <c r="G374" i="11"/>
  <c r="Q7" i="11"/>
  <c r="Q6" i="11" s="1"/>
  <c r="Q210" i="11" s="1"/>
  <c r="I8" i="11"/>
  <c r="J115" i="11"/>
  <c r="G115" i="11" s="1"/>
  <c r="H122" i="11"/>
  <c r="H7" i="11" s="1"/>
  <c r="G124" i="11"/>
  <c r="G123" i="11" s="1"/>
  <c r="G122" i="11" s="1"/>
  <c r="G120" i="11" s="1"/>
  <c r="H133" i="11"/>
  <c r="F133" i="11" s="1"/>
  <c r="I141" i="11"/>
  <c r="G141" i="11" s="1"/>
  <c r="I151" i="11"/>
  <c r="G151" i="11" s="1"/>
  <c r="J163" i="11"/>
  <c r="J186" i="11"/>
  <c r="G186" i="11" s="1"/>
  <c r="F251" i="11"/>
  <c r="G253" i="11"/>
  <c r="G248" i="11" s="1"/>
  <c r="M275" i="11"/>
  <c r="G278" i="11"/>
  <c r="F281" i="11"/>
  <c r="F275" i="11" s="1"/>
  <c r="G282" i="11"/>
  <c r="H286" i="11"/>
  <c r="J314" i="11"/>
  <c r="G314" i="11" s="1"/>
  <c r="I374" i="11"/>
  <c r="I220" i="11" s="1"/>
  <c r="F444" i="11"/>
  <c r="F441" i="11" s="1"/>
  <c r="F435" i="11" s="1"/>
  <c r="F434" i="11" s="1"/>
  <c r="G479" i="11"/>
  <c r="I486" i="11"/>
  <c r="J515" i="11"/>
  <c r="J74" i="11"/>
  <c r="G74" i="11" s="1"/>
  <c r="F124" i="11"/>
  <c r="F253" i="11"/>
  <c r="J333" i="11"/>
  <c r="J361" i="11"/>
  <c r="G361" i="11" s="1"/>
  <c r="L374" i="11"/>
  <c r="L220" i="11" s="1"/>
  <c r="L219" i="11" s="1"/>
  <c r="L541" i="11" s="1"/>
  <c r="G447" i="11"/>
  <c r="G441" i="11" s="1"/>
  <c r="G435" i="11" s="1"/>
  <c r="K126" i="11"/>
  <c r="I134" i="11"/>
  <c r="L125" i="10"/>
  <c r="H127" i="9"/>
  <c r="E397" i="10"/>
  <c r="L397" i="10" s="1"/>
  <c r="L239" i="10"/>
  <c r="D357" i="10"/>
  <c r="K418" i="10"/>
  <c r="K417" i="10" s="1"/>
  <c r="E404" i="10"/>
  <c r="L404" i="10" s="1"/>
  <c r="I357" i="10"/>
  <c r="E263" i="10"/>
  <c r="L263" i="10" s="1"/>
  <c r="E90" i="10"/>
  <c r="I222" i="10"/>
  <c r="K222" i="10"/>
  <c r="E231" i="10"/>
  <c r="L231" i="10" s="1"/>
  <c r="E242" i="10"/>
  <c r="L242" i="10" s="1"/>
  <c r="E249" i="10"/>
  <c r="L249" i="10" s="1"/>
  <c r="J248" i="10"/>
  <c r="H248" i="10"/>
  <c r="E284" i="10"/>
  <c r="L284" i="10" s="1"/>
  <c r="F396" i="10"/>
  <c r="J396" i="10"/>
  <c r="J418" i="10"/>
  <c r="J417" i="10" s="1"/>
  <c r="E424" i="10"/>
  <c r="L424" i="10" s="1"/>
  <c r="F418" i="10"/>
  <c r="F417" i="10" s="1"/>
  <c r="E439" i="10"/>
  <c r="L439" i="10" s="1"/>
  <c r="H418" i="10"/>
  <c r="H417" i="10" s="1"/>
  <c r="L90" i="10"/>
  <c r="K89" i="10"/>
  <c r="K10" i="10" s="1"/>
  <c r="E97" i="10"/>
  <c r="L97" i="10" s="1"/>
  <c r="E419" i="10"/>
  <c r="L419" i="10" s="1"/>
  <c r="D418" i="10"/>
  <c r="D417" i="10" s="1"/>
  <c r="G396" i="10"/>
  <c r="K396" i="10"/>
  <c r="E400" i="10"/>
  <c r="L400" i="10" s="1"/>
  <c r="I396" i="10"/>
  <c r="H396" i="10"/>
  <c r="D396" i="10"/>
  <c r="H357" i="10"/>
  <c r="E374" i="10"/>
  <c r="L374" i="10" s="1"/>
  <c r="E317" i="10"/>
  <c r="L317" i="10" s="1"/>
  <c r="E287" i="10"/>
  <c r="L287" i="10" s="1"/>
  <c r="I248" i="10"/>
  <c r="G248" i="10"/>
  <c r="K248" i="10"/>
  <c r="D248" i="10"/>
  <c r="E276" i="10"/>
  <c r="L276" i="10" s="1"/>
  <c r="E257" i="10"/>
  <c r="L257" i="10" s="1"/>
  <c r="F248" i="10"/>
  <c r="E240" i="10"/>
  <c r="L240" i="10" s="1"/>
  <c r="H222" i="10"/>
  <c r="D222" i="10"/>
  <c r="F222" i="10"/>
  <c r="J222" i="10"/>
  <c r="J221" i="10" s="1"/>
  <c r="E128" i="10"/>
  <c r="L128" i="10" s="1"/>
  <c r="E135" i="10"/>
  <c r="E138" i="10"/>
  <c r="L138" i="10" s="1"/>
  <c r="D135" i="10"/>
  <c r="D134" i="10" s="1"/>
  <c r="E124" i="10"/>
  <c r="L124" i="10" s="1"/>
  <c r="D89" i="10"/>
  <c r="D10" i="10" s="1"/>
  <c r="I89" i="10"/>
  <c r="I10" i="10" s="1"/>
  <c r="H10" i="10"/>
  <c r="H9" i="10" s="1"/>
  <c r="H532" i="10" s="1"/>
  <c r="L113" i="10"/>
  <c r="F468" i="10"/>
  <c r="J134" i="10"/>
  <c r="G134" i="10"/>
  <c r="K134" i="10"/>
  <c r="E152" i="10"/>
  <c r="L152" i="10" s="1"/>
  <c r="J163" i="10"/>
  <c r="J536" i="10" s="1"/>
  <c r="J538" i="10" s="1"/>
  <c r="D468" i="10"/>
  <c r="D537" i="10" s="1"/>
  <c r="D539" i="10" s="1"/>
  <c r="J539" i="10"/>
  <c r="I539" i="10"/>
  <c r="I134" i="10"/>
  <c r="E223" i="10"/>
  <c r="L223" i="10" s="1"/>
  <c r="E441" i="10"/>
  <c r="L441" i="10" s="1"/>
  <c r="E457" i="10"/>
  <c r="L457" i="10" s="1"/>
  <c r="J10" i="10"/>
  <c r="E465" i="10"/>
  <c r="L465" i="10" s="1"/>
  <c r="F127" i="10"/>
  <c r="E127" i="10" s="1"/>
  <c r="L127" i="10" s="1"/>
  <c r="F164" i="10"/>
  <c r="G222" i="10"/>
  <c r="L224" i="10"/>
  <c r="E225" i="10"/>
  <c r="L225" i="10" s="1"/>
  <c r="F297" i="10"/>
  <c r="E297" i="10" s="1"/>
  <c r="L297" i="10" s="1"/>
  <c r="F316" i="10"/>
  <c r="E316" i="10" s="1"/>
  <c r="L316" i="10" s="1"/>
  <c r="G344" i="10"/>
  <c r="E344" i="10" s="1"/>
  <c r="L344" i="10" s="1"/>
  <c r="E348" i="10"/>
  <c r="L348" i="10" s="1"/>
  <c r="F357" i="10"/>
  <c r="G441" i="10"/>
  <c r="G417" i="10" s="1"/>
  <c r="H469" i="10"/>
  <c r="E492" i="10"/>
  <c r="L492" i="10" s="1"/>
  <c r="H498" i="10"/>
  <c r="E498" i="10" s="1"/>
  <c r="L498" i="10" s="1"/>
  <c r="F11" i="10"/>
  <c r="G63" i="10"/>
  <c r="E63" i="10" s="1"/>
  <c r="L63" i="10" s="1"/>
  <c r="E69" i="10"/>
  <c r="L69" i="10" s="1"/>
  <c r="F77" i="10"/>
  <c r="E77" i="10" s="1"/>
  <c r="L77" i="10" s="1"/>
  <c r="F89" i="10"/>
  <c r="F118" i="10"/>
  <c r="E118" i="10" s="1"/>
  <c r="L118" i="10" s="1"/>
  <c r="F142" i="10"/>
  <c r="E142" i="10" s="1"/>
  <c r="L142" i="10" s="1"/>
  <c r="F187" i="10"/>
  <c r="E187" i="10" s="1"/>
  <c r="L187" i="10" s="1"/>
  <c r="E462" i="10"/>
  <c r="L462" i="10" s="1"/>
  <c r="G469" i="10"/>
  <c r="G468" i="10" s="1"/>
  <c r="G537" i="10" s="1"/>
  <c r="G539" i="10" s="1"/>
  <c r="F123" i="10"/>
  <c r="E123" i="10" s="1"/>
  <c r="L123" i="10" s="1"/>
  <c r="F377" i="10"/>
  <c r="E377" i="10" s="1"/>
  <c r="L377" i="10" s="1"/>
  <c r="F441" i="9"/>
  <c r="F435" i="9" s="1"/>
  <c r="F434" i="9" s="1"/>
  <c r="N7" i="9"/>
  <c r="K220" i="9"/>
  <c r="K219" i="9" s="1"/>
  <c r="K541" i="9" s="1"/>
  <c r="G221" i="9"/>
  <c r="H220" i="9"/>
  <c r="L220" i="9"/>
  <c r="L219" i="9" s="1"/>
  <c r="L541" i="9" s="1"/>
  <c r="G394" i="9"/>
  <c r="K7" i="9"/>
  <c r="K6" i="9" s="1"/>
  <c r="K210" i="9" s="1"/>
  <c r="F133" i="9"/>
  <c r="J220" i="9"/>
  <c r="G275" i="9"/>
  <c r="G413" i="9"/>
  <c r="G435" i="9"/>
  <c r="G486" i="9"/>
  <c r="I74" i="9"/>
  <c r="G74" i="9" s="1"/>
  <c r="H120" i="9"/>
  <c r="F120" i="9" s="1"/>
  <c r="J134" i="9"/>
  <c r="J133" i="9" s="1"/>
  <c r="I163" i="9"/>
  <c r="I186" i="9"/>
  <c r="G186" i="9" s="1"/>
  <c r="F253" i="9"/>
  <c r="F248" i="9" s="1"/>
  <c r="P275" i="9"/>
  <c r="P247" i="9" s="1"/>
  <c r="P220" i="9" s="1"/>
  <c r="F278" i="9"/>
  <c r="F282" i="9"/>
  <c r="N283" i="9"/>
  <c r="G293" i="9"/>
  <c r="G286" i="9" s="1"/>
  <c r="I314" i="9"/>
  <c r="G314" i="9" s="1"/>
  <c r="G344" i="9"/>
  <c r="G333" i="9" s="1"/>
  <c r="G365" i="9"/>
  <c r="H441" i="9"/>
  <c r="H435" i="9" s="1"/>
  <c r="H434" i="9" s="1"/>
  <c r="P441" i="9"/>
  <c r="P435" i="9" s="1"/>
  <c r="P434" i="9" s="1"/>
  <c r="I474" i="9"/>
  <c r="I515" i="9"/>
  <c r="I7" i="9"/>
  <c r="M248" i="9"/>
  <c r="M247" i="9" s="1"/>
  <c r="M220" i="9" s="1"/>
  <c r="M219" i="9" s="1"/>
  <c r="M541" i="9" s="1"/>
  <c r="G540" i="6"/>
  <c r="Q539" i="6"/>
  <c r="Q515" i="6" s="1"/>
  <c r="O539" i="6"/>
  <c r="N539" i="6"/>
  <c r="L539" i="6"/>
  <c r="J539" i="6"/>
  <c r="I539" i="6"/>
  <c r="E539" i="6"/>
  <c r="G538" i="6"/>
  <c r="G537" i="6"/>
  <c r="G536" i="6"/>
  <c r="G535" i="6"/>
  <c r="G534" i="6"/>
  <c r="G533" i="6"/>
  <c r="G532" i="6"/>
  <c r="G531" i="6"/>
  <c r="Q530" i="6"/>
  <c r="O530" i="6"/>
  <c r="N530" i="6"/>
  <c r="L530" i="6"/>
  <c r="J530" i="6"/>
  <c r="I530" i="6"/>
  <c r="G530" i="6" s="1"/>
  <c r="E530" i="6"/>
  <c r="G529" i="6"/>
  <c r="G528" i="6"/>
  <c r="G527" i="6"/>
  <c r="G526" i="6"/>
  <c r="G525" i="6"/>
  <c r="G524" i="6"/>
  <c r="G523" i="6"/>
  <c r="G522" i="6"/>
  <c r="G517" i="6"/>
  <c r="Q516" i="6"/>
  <c r="O516" i="6"/>
  <c r="N516" i="6"/>
  <c r="L516" i="6"/>
  <c r="J516" i="6"/>
  <c r="I516" i="6"/>
  <c r="E516" i="6"/>
  <c r="G514" i="6"/>
  <c r="Q513" i="6"/>
  <c r="O513" i="6"/>
  <c r="N513" i="6"/>
  <c r="L513" i="6"/>
  <c r="J513" i="6"/>
  <c r="I513" i="6"/>
  <c r="E513" i="6"/>
  <c r="G512" i="6"/>
  <c r="Q511" i="6"/>
  <c r="O511" i="6"/>
  <c r="N511" i="6"/>
  <c r="L511" i="6"/>
  <c r="J511" i="6"/>
  <c r="I511" i="6"/>
  <c r="E511" i="6"/>
  <c r="G510" i="6"/>
  <c r="Q509" i="6"/>
  <c r="O509" i="6"/>
  <c r="N509" i="6"/>
  <c r="L509" i="6"/>
  <c r="J509" i="6"/>
  <c r="I509" i="6"/>
  <c r="E509" i="6"/>
  <c r="G508" i="6"/>
  <c r="G507" i="6"/>
  <c r="G506" i="6"/>
  <c r="G505" i="6"/>
  <c r="G504" i="6"/>
  <c r="G503" i="6"/>
  <c r="G502" i="6"/>
  <c r="Q501" i="6"/>
  <c r="O501" i="6"/>
  <c r="N501" i="6"/>
  <c r="L501" i="6"/>
  <c r="J501" i="6"/>
  <c r="I501" i="6"/>
  <c r="E501" i="6"/>
  <c r="G500" i="6"/>
  <c r="G499" i="6"/>
  <c r="G498" i="6"/>
  <c r="G497" i="6"/>
  <c r="G496" i="6"/>
  <c r="G495" i="6"/>
  <c r="G490" i="6"/>
  <c r="G489" i="6"/>
  <c r="G488" i="6"/>
  <c r="Q487" i="6"/>
  <c r="O487" i="6"/>
  <c r="N487" i="6"/>
  <c r="L487" i="6"/>
  <c r="J487" i="6"/>
  <c r="I487" i="6"/>
  <c r="E487" i="6"/>
  <c r="E486" i="6" s="1"/>
  <c r="I486" i="6"/>
  <c r="G484" i="6"/>
  <c r="Q483" i="6"/>
  <c r="O483" i="6"/>
  <c r="O482" i="6" s="1"/>
  <c r="N483" i="6"/>
  <c r="L483" i="6"/>
  <c r="L482" i="6" s="1"/>
  <c r="J483" i="6"/>
  <c r="J482" i="6" s="1"/>
  <c r="I483" i="6"/>
  <c r="E483" i="6"/>
  <c r="Q482" i="6"/>
  <c r="N482" i="6"/>
  <c r="I482" i="6"/>
  <c r="E482" i="6"/>
  <c r="G481" i="6"/>
  <c r="G480" i="6"/>
  <c r="Q479" i="6"/>
  <c r="O479" i="6"/>
  <c r="N479" i="6"/>
  <c r="L479" i="6"/>
  <c r="J479" i="6"/>
  <c r="I479" i="6"/>
  <c r="E479" i="6"/>
  <c r="G478" i="6"/>
  <c r="Q477" i="6"/>
  <c r="O477" i="6"/>
  <c r="N477" i="6"/>
  <c r="L477" i="6"/>
  <c r="J477" i="6"/>
  <c r="I477" i="6"/>
  <c r="E477" i="6"/>
  <c r="E474" i="6" s="1"/>
  <c r="G476" i="6"/>
  <c r="Q475" i="6"/>
  <c r="O475" i="6"/>
  <c r="N475" i="6"/>
  <c r="L475" i="6"/>
  <c r="J475" i="6"/>
  <c r="I475" i="6"/>
  <c r="E475" i="6"/>
  <c r="G473" i="6"/>
  <c r="Q472" i="6"/>
  <c r="Q471" i="6" s="1"/>
  <c r="O472" i="6"/>
  <c r="O471" i="6" s="1"/>
  <c r="N472" i="6"/>
  <c r="N471" i="6" s="1"/>
  <c r="L472" i="6"/>
  <c r="L471" i="6" s="1"/>
  <c r="J472" i="6"/>
  <c r="I472" i="6"/>
  <c r="I471" i="6" s="1"/>
  <c r="E472" i="6"/>
  <c r="J471" i="6"/>
  <c r="E471" i="6"/>
  <c r="G470" i="6"/>
  <c r="Q469" i="6"/>
  <c r="O469" i="6"/>
  <c r="N469" i="6"/>
  <c r="L469" i="6"/>
  <c r="J469" i="6"/>
  <c r="G469" i="6" s="1"/>
  <c r="I469" i="6"/>
  <c r="E469" i="6"/>
  <c r="G468" i="6"/>
  <c r="G467" i="6"/>
  <c r="G462" i="6"/>
  <c r="Q461" i="6"/>
  <c r="O461" i="6"/>
  <c r="N461" i="6"/>
  <c r="L461" i="6"/>
  <c r="J461" i="6"/>
  <c r="I461" i="6"/>
  <c r="E461" i="6"/>
  <c r="G460" i="6"/>
  <c r="Q459" i="6"/>
  <c r="O459" i="6"/>
  <c r="N459" i="6"/>
  <c r="N458" i="6" s="1"/>
  <c r="L459" i="6"/>
  <c r="J459" i="6"/>
  <c r="I459" i="6"/>
  <c r="E459" i="6"/>
  <c r="G457" i="6"/>
  <c r="G456" i="6" s="1"/>
  <c r="F457" i="6"/>
  <c r="F456" i="6" s="1"/>
  <c r="Q456" i="6"/>
  <c r="P456" i="6"/>
  <c r="O456" i="6"/>
  <c r="N456" i="6"/>
  <c r="M456" i="6"/>
  <c r="L456" i="6"/>
  <c r="K456" i="6"/>
  <c r="J456" i="6"/>
  <c r="I456" i="6"/>
  <c r="H456" i="6"/>
  <c r="E456" i="6"/>
  <c r="G455" i="6"/>
  <c r="Q454" i="6"/>
  <c r="O454" i="6"/>
  <c r="N454" i="6"/>
  <c r="L454" i="6"/>
  <c r="J454" i="6"/>
  <c r="I454" i="6"/>
  <c r="E454" i="6"/>
  <c r="G453" i="6"/>
  <c r="Q452" i="6"/>
  <c r="O452" i="6"/>
  <c r="N452" i="6"/>
  <c r="L452" i="6"/>
  <c r="J452" i="6"/>
  <c r="I452" i="6"/>
  <c r="E452" i="6"/>
  <c r="G451" i="6"/>
  <c r="G450" i="6"/>
  <c r="G449" i="6"/>
  <c r="G448" i="6"/>
  <c r="P447" i="6"/>
  <c r="H447" i="6"/>
  <c r="G447" i="6"/>
  <c r="F447" i="6"/>
  <c r="G446" i="6"/>
  <c r="G445" i="6"/>
  <c r="T444" i="6"/>
  <c r="P444" i="6"/>
  <c r="F444" i="6" s="1"/>
  <c r="F443" i="6"/>
  <c r="G442" i="6"/>
  <c r="Q441" i="6"/>
  <c r="O441" i="6"/>
  <c r="N441" i="6"/>
  <c r="M441" i="6"/>
  <c r="L441" i="6"/>
  <c r="K441" i="6"/>
  <c r="J441" i="6"/>
  <c r="I441" i="6"/>
  <c r="H441" i="6"/>
  <c r="E441" i="6"/>
  <c r="G440" i="6"/>
  <c r="G439" i="6"/>
  <c r="F439" i="6"/>
  <c r="F436" i="6" s="1"/>
  <c r="G438" i="6"/>
  <c r="G437" i="6"/>
  <c r="Q436" i="6"/>
  <c r="P436" i="6"/>
  <c r="O436" i="6"/>
  <c r="O435" i="6" s="1"/>
  <c r="N436" i="6"/>
  <c r="M436" i="6"/>
  <c r="M435" i="6" s="1"/>
  <c r="M434" i="6" s="1"/>
  <c r="L436" i="6"/>
  <c r="K436" i="6"/>
  <c r="J436" i="6"/>
  <c r="I436" i="6"/>
  <c r="I435" i="6" s="1"/>
  <c r="H436" i="6"/>
  <c r="H435" i="6" s="1"/>
  <c r="H434" i="6" s="1"/>
  <c r="E436" i="6"/>
  <c r="G433" i="6"/>
  <c r="Q432" i="6"/>
  <c r="O432" i="6"/>
  <c r="N432" i="6"/>
  <c r="L432" i="6"/>
  <c r="J432" i="6"/>
  <c r="I432" i="6"/>
  <c r="E432" i="6"/>
  <c r="G427" i="6"/>
  <c r="Q426" i="6"/>
  <c r="O426" i="6"/>
  <c r="N426" i="6"/>
  <c r="L426" i="6"/>
  <c r="J426" i="6"/>
  <c r="I426" i="6"/>
  <c r="E426" i="6"/>
  <c r="G425" i="6"/>
  <c r="G424" i="6"/>
  <c r="Q423" i="6"/>
  <c r="O423" i="6"/>
  <c r="N423" i="6"/>
  <c r="L423" i="6"/>
  <c r="J423" i="6"/>
  <c r="I423" i="6"/>
  <c r="E423" i="6"/>
  <c r="G422" i="6"/>
  <c r="F422" i="6"/>
  <c r="F421" i="6" s="1"/>
  <c r="Q421" i="6"/>
  <c r="P421" i="6"/>
  <c r="O421" i="6"/>
  <c r="N421" i="6"/>
  <c r="M421" i="6"/>
  <c r="L421" i="6"/>
  <c r="K421" i="6"/>
  <c r="J421" i="6"/>
  <c r="I421" i="6"/>
  <c r="H421" i="6"/>
  <c r="G421" i="6"/>
  <c r="E421" i="6"/>
  <c r="G420" i="6"/>
  <c r="F420" i="6"/>
  <c r="G419" i="6"/>
  <c r="F419" i="6"/>
  <c r="G418" i="6"/>
  <c r="F418" i="6"/>
  <c r="Q417" i="6"/>
  <c r="P417" i="6"/>
  <c r="O417" i="6"/>
  <c r="N417" i="6"/>
  <c r="M417" i="6"/>
  <c r="L417" i="6"/>
  <c r="K417" i="6"/>
  <c r="K413" i="6" s="1"/>
  <c r="J417" i="6"/>
  <c r="I417" i="6"/>
  <c r="H417" i="6"/>
  <c r="E417" i="6"/>
  <c r="G416" i="6"/>
  <c r="F416" i="6"/>
  <c r="G415" i="6"/>
  <c r="Q414" i="6"/>
  <c r="P414" i="6"/>
  <c r="P413" i="6" s="1"/>
  <c r="O414" i="6"/>
  <c r="O413" i="6" s="1"/>
  <c r="N414" i="6"/>
  <c r="M414" i="6"/>
  <c r="L414" i="6"/>
  <c r="K414" i="6"/>
  <c r="J414" i="6"/>
  <c r="I414" i="6"/>
  <c r="I413" i="6" s="1"/>
  <c r="H414" i="6"/>
  <c r="H413" i="6" s="1"/>
  <c r="F414" i="6"/>
  <c r="E414" i="6"/>
  <c r="G412" i="6"/>
  <c r="G411" i="6"/>
  <c r="G410" i="6"/>
  <c r="G409" i="6"/>
  <c r="G408" i="6"/>
  <c r="G407" i="6"/>
  <c r="G406" i="6"/>
  <c r="G405" i="6"/>
  <c r="G404" i="6"/>
  <c r="Q399" i="6"/>
  <c r="O399" i="6"/>
  <c r="O394" i="6" s="1"/>
  <c r="N399" i="6"/>
  <c r="N394" i="6" s="1"/>
  <c r="L399" i="6"/>
  <c r="J399" i="6"/>
  <c r="J394" i="6" s="1"/>
  <c r="I399" i="6"/>
  <c r="E399" i="6"/>
  <c r="G398" i="6"/>
  <c r="G397" i="6"/>
  <c r="G396" i="6"/>
  <c r="Q395" i="6"/>
  <c r="O395" i="6"/>
  <c r="N395" i="6"/>
  <c r="L395" i="6"/>
  <c r="L394" i="6" s="1"/>
  <c r="J395" i="6"/>
  <c r="I395" i="6"/>
  <c r="E395" i="6"/>
  <c r="E394" i="6" s="1"/>
  <c r="G393" i="6"/>
  <c r="G392" i="6"/>
  <c r="G391" i="6" s="1"/>
  <c r="F392" i="6"/>
  <c r="F391" i="6" s="1"/>
  <c r="F374" i="6" s="1"/>
  <c r="Q391" i="6"/>
  <c r="P391" i="6"/>
  <c r="O391" i="6"/>
  <c r="N391" i="6"/>
  <c r="M391" i="6"/>
  <c r="M374" i="6" s="1"/>
  <c r="L391" i="6"/>
  <c r="K391" i="6"/>
  <c r="K374" i="6" s="1"/>
  <c r="J391" i="6"/>
  <c r="I391" i="6"/>
  <c r="H391" i="6"/>
  <c r="H374" i="6" s="1"/>
  <c r="E391" i="6"/>
  <c r="G390" i="6"/>
  <c r="G389" i="6"/>
  <c r="Q388" i="6"/>
  <c r="O388" i="6"/>
  <c r="N388" i="6"/>
  <c r="L388" i="6"/>
  <c r="J388" i="6"/>
  <c r="I388" i="6"/>
  <c r="E388" i="6"/>
  <c r="G387" i="6"/>
  <c r="G386" i="6"/>
  <c r="Q385" i="6"/>
  <c r="O385" i="6"/>
  <c r="N385" i="6"/>
  <c r="L385" i="6"/>
  <c r="J385" i="6"/>
  <c r="I385" i="6"/>
  <c r="E385" i="6"/>
  <c r="G384" i="6"/>
  <c r="G383" i="6"/>
  <c r="Q382" i="6"/>
  <c r="O382" i="6"/>
  <c r="N382" i="6"/>
  <c r="L382" i="6"/>
  <c r="J382" i="6"/>
  <c r="I382" i="6"/>
  <c r="E382" i="6"/>
  <c r="G381" i="6"/>
  <c r="G380" i="6"/>
  <c r="Q379" i="6"/>
  <c r="O379" i="6"/>
  <c r="N379" i="6"/>
  <c r="N374" i="6" s="1"/>
  <c r="L379" i="6"/>
  <c r="J379" i="6"/>
  <c r="I379" i="6"/>
  <c r="E379" i="6"/>
  <c r="P374" i="6"/>
  <c r="G373" i="6"/>
  <c r="G372" i="6"/>
  <c r="Q371" i="6"/>
  <c r="O371" i="6"/>
  <c r="N371" i="6"/>
  <c r="L371" i="6"/>
  <c r="J371" i="6"/>
  <c r="I371" i="6"/>
  <c r="E371" i="6"/>
  <c r="G370" i="6"/>
  <c r="G369" i="6"/>
  <c r="Q368" i="6"/>
  <c r="O368" i="6"/>
  <c r="N368" i="6"/>
  <c r="L368" i="6"/>
  <c r="J368" i="6"/>
  <c r="I368" i="6"/>
  <c r="G368" i="6" s="1"/>
  <c r="E368" i="6"/>
  <c r="G367" i="6"/>
  <c r="G366" i="6"/>
  <c r="Q365" i="6"/>
  <c r="O365" i="6"/>
  <c r="N365" i="6"/>
  <c r="N361" i="6" s="1"/>
  <c r="L365" i="6"/>
  <c r="J365" i="6"/>
  <c r="I365" i="6"/>
  <c r="E365" i="6"/>
  <c r="G364" i="6"/>
  <c r="G363" i="6"/>
  <c r="Q362" i="6"/>
  <c r="O362" i="6"/>
  <c r="N362" i="6"/>
  <c r="L362" i="6"/>
  <c r="L361" i="6" s="1"/>
  <c r="J362" i="6"/>
  <c r="I362" i="6"/>
  <c r="I361" i="6" s="1"/>
  <c r="E362" i="6"/>
  <c r="G360" i="6"/>
  <c r="G359" i="6"/>
  <c r="G358" i="6"/>
  <c r="Q357" i="6"/>
  <c r="O357" i="6"/>
  <c r="N357" i="6"/>
  <c r="L357" i="6"/>
  <c r="J357" i="6"/>
  <c r="I357" i="6"/>
  <c r="E357" i="6"/>
  <c r="G356" i="6"/>
  <c r="Q355" i="6"/>
  <c r="O355" i="6"/>
  <c r="N355" i="6"/>
  <c r="L355" i="6"/>
  <c r="J355" i="6"/>
  <c r="I355" i="6"/>
  <c r="E355" i="6"/>
  <c r="G354" i="6"/>
  <c r="G353" i="6"/>
  <c r="G348" i="6"/>
  <c r="G347" i="6"/>
  <c r="G346" i="6"/>
  <c r="G345" i="6"/>
  <c r="Q344" i="6"/>
  <c r="O344" i="6"/>
  <c r="N344" i="6"/>
  <c r="L344" i="6"/>
  <c r="L333" i="6" s="1"/>
  <c r="J344" i="6"/>
  <c r="I344" i="6"/>
  <c r="E344" i="6"/>
  <c r="G343" i="6"/>
  <c r="G342" i="6"/>
  <c r="G341" i="6"/>
  <c r="G340" i="6"/>
  <c r="G339" i="6"/>
  <c r="F339" i="6"/>
  <c r="G338" i="6"/>
  <c r="G337" i="6"/>
  <c r="G336" i="6"/>
  <c r="G334" i="6" s="1"/>
  <c r="G335" i="6"/>
  <c r="Q334" i="6"/>
  <c r="P334" i="6"/>
  <c r="P333" i="6" s="1"/>
  <c r="O334" i="6"/>
  <c r="O333" i="6" s="1"/>
  <c r="N334" i="6"/>
  <c r="M334" i="6"/>
  <c r="M333" i="6" s="1"/>
  <c r="L334" i="6"/>
  <c r="K334" i="6"/>
  <c r="K333" i="6" s="1"/>
  <c r="J334" i="6"/>
  <c r="I334" i="6"/>
  <c r="H334" i="6"/>
  <c r="H333" i="6" s="1"/>
  <c r="F334" i="6"/>
  <c r="F333" i="6" s="1"/>
  <c r="E334" i="6"/>
  <c r="G332" i="6"/>
  <c r="Q331" i="6"/>
  <c r="O331" i="6"/>
  <c r="N331" i="6"/>
  <c r="L331" i="6"/>
  <c r="J331" i="6"/>
  <c r="I331" i="6"/>
  <c r="E331" i="6"/>
  <c r="G330" i="6"/>
  <c r="G329" i="6"/>
  <c r="G328" i="6"/>
  <c r="Q327" i="6"/>
  <c r="O327" i="6"/>
  <c r="N327" i="6"/>
  <c r="L327" i="6"/>
  <c r="J327" i="6"/>
  <c r="I327" i="6"/>
  <c r="E327" i="6"/>
  <c r="G326" i="6"/>
  <c r="Q325" i="6"/>
  <c r="O325" i="6"/>
  <c r="N325" i="6"/>
  <c r="L325" i="6"/>
  <c r="J325" i="6"/>
  <c r="I325" i="6"/>
  <c r="E325" i="6"/>
  <c r="G324" i="6"/>
  <c r="Q323" i="6"/>
  <c r="O323" i="6"/>
  <c r="O314" i="6" s="1"/>
  <c r="N323" i="6"/>
  <c r="N314" i="6" s="1"/>
  <c r="L323" i="6"/>
  <c r="J323" i="6"/>
  <c r="G323" i="6" s="1"/>
  <c r="I323" i="6"/>
  <c r="E323" i="6"/>
  <c r="G318" i="6"/>
  <c r="G317" i="6"/>
  <c r="G316" i="6"/>
  <c r="Q315" i="6"/>
  <c r="O315" i="6"/>
  <c r="N315" i="6"/>
  <c r="L315" i="6"/>
  <c r="L314" i="6" s="1"/>
  <c r="J315" i="6"/>
  <c r="I315" i="6"/>
  <c r="E315" i="6"/>
  <c r="E314" i="6" s="1"/>
  <c r="N313" i="6"/>
  <c r="M313" i="6"/>
  <c r="M286" i="6" s="1"/>
  <c r="H313" i="6"/>
  <c r="H286" i="6" s="1"/>
  <c r="N312" i="6"/>
  <c r="G312" i="6" s="1"/>
  <c r="F312" i="6"/>
  <c r="G311" i="6"/>
  <c r="F311" i="6"/>
  <c r="F310" i="6"/>
  <c r="F309" i="6"/>
  <c r="F308" i="6"/>
  <c r="F307" i="6"/>
  <c r="M306" i="6"/>
  <c r="F306" i="6" s="1"/>
  <c r="F305" i="6"/>
  <c r="F304" i="6"/>
  <c r="M302" i="6"/>
  <c r="F302" i="6" s="1"/>
  <c r="M301" i="6"/>
  <c r="F299" i="6"/>
  <c r="F298" i="6"/>
  <c r="F297" i="6"/>
  <c r="F296" i="6"/>
  <c r="M295" i="6"/>
  <c r="M294" i="6" s="1"/>
  <c r="M293" i="6"/>
  <c r="F293" i="6" s="1"/>
  <c r="G292" i="6"/>
  <c r="G291" i="6"/>
  <c r="N290" i="6"/>
  <c r="M290" i="6"/>
  <c r="F290" i="6" s="1"/>
  <c r="G289" i="6"/>
  <c r="F289" i="6"/>
  <c r="G288" i="6"/>
  <c r="G287" i="6"/>
  <c r="F287" i="6"/>
  <c r="Q286" i="6"/>
  <c r="P286" i="6"/>
  <c r="O286" i="6"/>
  <c r="L286" i="6"/>
  <c r="K286" i="6"/>
  <c r="J286" i="6"/>
  <c r="I286" i="6"/>
  <c r="E286" i="6"/>
  <c r="N285" i="6"/>
  <c r="M285" i="6"/>
  <c r="G284" i="6"/>
  <c r="F284" i="6"/>
  <c r="Q283" i="6"/>
  <c r="P283" i="6"/>
  <c r="O283" i="6"/>
  <c r="N283" i="6"/>
  <c r="L283" i="6"/>
  <c r="K283" i="6"/>
  <c r="J283" i="6"/>
  <c r="I283" i="6"/>
  <c r="H283" i="6"/>
  <c r="E283" i="6"/>
  <c r="P282" i="6"/>
  <c r="F282" i="6" s="1"/>
  <c r="P281" i="6"/>
  <c r="F281" i="6" s="1"/>
  <c r="G280" i="6"/>
  <c r="G279" i="6"/>
  <c r="M278" i="6"/>
  <c r="F278" i="6" s="1"/>
  <c r="G277" i="6"/>
  <c r="G276" i="6"/>
  <c r="Q275" i="6"/>
  <c r="O275" i="6"/>
  <c r="N275" i="6"/>
  <c r="L275" i="6"/>
  <c r="K275" i="6"/>
  <c r="J275" i="6"/>
  <c r="I275" i="6"/>
  <c r="H275" i="6"/>
  <c r="E275" i="6"/>
  <c r="G274" i="6"/>
  <c r="F274" i="6"/>
  <c r="G269" i="6"/>
  <c r="F269" i="6"/>
  <c r="G268" i="6"/>
  <c r="G267" i="6"/>
  <c r="F267" i="6"/>
  <c r="G266" i="6"/>
  <c r="F266" i="6"/>
  <c r="P265" i="6"/>
  <c r="F265" i="6" s="1"/>
  <c r="G265" i="6"/>
  <c r="M264" i="6"/>
  <c r="G264" i="6" s="1"/>
  <c r="G263" i="6"/>
  <c r="Q262" i="6"/>
  <c r="P262" i="6"/>
  <c r="O262" i="6"/>
  <c r="N262" i="6"/>
  <c r="L262" i="6"/>
  <c r="K262" i="6"/>
  <c r="J262" i="6"/>
  <c r="I262" i="6"/>
  <c r="H262" i="6"/>
  <c r="E262" i="6"/>
  <c r="G261" i="6"/>
  <c r="G260" i="6"/>
  <c r="G259" i="6"/>
  <c r="G258" i="6"/>
  <c r="G257" i="6"/>
  <c r="F257" i="6"/>
  <c r="Q256" i="6"/>
  <c r="P256" i="6"/>
  <c r="O256" i="6"/>
  <c r="N256" i="6"/>
  <c r="M256" i="6"/>
  <c r="L256" i="6"/>
  <c r="K256" i="6"/>
  <c r="J256" i="6"/>
  <c r="I256" i="6"/>
  <c r="H256" i="6"/>
  <c r="F256" i="6"/>
  <c r="E256" i="6"/>
  <c r="G255" i="6"/>
  <c r="G254" i="6"/>
  <c r="M253" i="6"/>
  <c r="F253" i="6" s="1"/>
  <c r="M252" i="6"/>
  <c r="F252" i="6" s="1"/>
  <c r="G252" i="6"/>
  <c r="P251" i="6"/>
  <c r="P248" i="6" s="1"/>
  <c r="M251" i="6"/>
  <c r="M250" i="6"/>
  <c r="G250" i="6" s="1"/>
  <c r="G249" i="6"/>
  <c r="F249" i="6"/>
  <c r="Q248" i="6"/>
  <c r="O248" i="6"/>
  <c r="N248" i="6"/>
  <c r="L248" i="6"/>
  <c r="K248" i="6"/>
  <c r="J248" i="6"/>
  <c r="J247" i="6" s="1"/>
  <c r="I248" i="6"/>
  <c r="I247" i="6" s="1"/>
  <c r="H248" i="6"/>
  <c r="E248" i="6"/>
  <c r="G246" i="6"/>
  <c r="Q245" i="6"/>
  <c r="O245" i="6"/>
  <c r="N245" i="6"/>
  <c r="L245" i="6"/>
  <c r="J245" i="6"/>
  <c r="I245" i="6"/>
  <c r="E245" i="6"/>
  <c r="G244" i="6"/>
  <c r="Q243" i="6"/>
  <c r="O243" i="6"/>
  <c r="N243" i="6"/>
  <c r="L243" i="6"/>
  <c r="J243" i="6"/>
  <c r="I243" i="6"/>
  <c r="E243" i="6"/>
  <c r="G242" i="6"/>
  <c r="G241" i="6" s="1"/>
  <c r="F242" i="6"/>
  <c r="F241" i="6" s="1"/>
  <c r="Q241" i="6"/>
  <c r="P241" i="6"/>
  <c r="O241" i="6"/>
  <c r="N241" i="6"/>
  <c r="M241" i="6"/>
  <c r="L241" i="6"/>
  <c r="K241" i="6"/>
  <c r="J241" i="6"/>
  <c r="I241" i="6"/>
  <c r="H241" i="6"/>
  <c r="E241" i="6"/>
  <c r="G240" i="6"/>
  <c r="G239" i="6" s="1"/>
  <c r="F240" i="6"/>
  <c r="F239" i="6" s="1"/>
  <c r="Q239" i="6"/>
  <c r="P239" i="6"/>
  <c r="O239" i="6"/>
  <c r="N239" i="6"/>
  <c r="M239" i="6"/>
  <c r="L239" i="6"/>
  <c r="K239" i="6"/>
  <c r="J239" i="6"/>
  <c r="I239" i="6"/>
  <c r="H239" i="6"/>
  <c r="E239" i="6"/>
  <c r="G238" i="6"/>
  <c r="F238" i="6"/>
  <c r="M233" i="6"/>
  <c r="F233" i="6" s="1"/>
  <c r="F230" i="6" s="1"/>
  <c r="G232" i="6"/>
  <c r="G231" i="6"/>
  <c r="Q230" i="6"/>
  <c r="P230" i="6"/>
  <c r="O230" i="6"/>
  <c r="N230" i="6"/>
  <c r="L230" i="6"/>
  <c r="K230" i="6"/>
  <c r="J230" i="6"/>
  <c r="I230" i="6"/>
  <c r="H230" i="6"/>
  <c r="E230" i="6"/>
  <c r="G229" i="6"/>
  <c r="Q228" i="6"/>
  <c r="O228" i="6"/>
  <c r="N228" i="6"/>
  <c r="L228" i="6"/>
  <c r="J228" i="6"/>
  <c r="I228" i="6"/>
  <c r="G228" i="6" s="1"/>
  <c r="E228" i="6"/>
  <c r="G227" i="6"/>
  <c r="N226" i="6"/>
  <c r="G226" i="6"/>
  <c r="F226" i="6"/>
  <c r="E226" i="6"/>
  <c r="N225" i="6"/>
  <c r="F225" i="6"/>
  <c r="E225" i="6"/>
  <c r="E224" i="6" s="1"/>
  <c r="Q224" i="6"/>
  <c r="P224" i="6"/>
  <c r="O224" i="6"/>
  <c r="M224" i="6"/>
  <c r="L224" i="6"/>
  <c r="K224" i="6"/>
  <c r="J224" i="6"/>
  <c r="I224" i="6"/>
  <c r="H224" i="6"/>
  <c r="R223" i="6"/>
  <c r="N223" i="6"/>
  <c r="N222" i="6" s="1"/>
  <c r="F223" i="6"/>
  <c r="F222" i="6" s="1"/>
  <c r="E223" i="6"/>
  <c r="E222" i="6" s="1"/>
  <c r="Q222" i="6"/>
  <c r="P222" i="6"/>
  <c r="O222" i="6"/>
  <c r="M222" i="6"/>
  <c r="L222" i="6"/>
  <c r="K222" i="6"/>
  <c r="K221" i="6" s="1"/>
  <c r="J222" i="6"/>
  <c r="I222" i="6"/>
  <c r="H222" i="6"/>
  <c r="G209" i="6"/>
  <c r="G208" i="6"/>
  <c r="G207" i="6"/>
  <c r="G202" i="6"/>
  <c r="G201" i="6"/>
  <c r="G200" i="6"/>
  <c r="G199" i="6"/>
  <c r="G198" i="6"/>
  <c r="Q197" i="6"/>
  <c r="O197" i="6"/>
  <c r="N197" i="6"/>
  <c r="L197" i="6"/>
  <c r="J197" i="6"/>
  <c r="I197" i="6"/>
  <c r="I186" i="6" s="1"/>
  <c r="E197" i="6"/>
  <c r="G196" i="6"/>
  <c r="G195" i="6"/>
  <c r="G194" i="6"/>
  <c r="G193" i="6"/>
  <c r="G192" i="6"/>
  <c r="G191" i="6"/>
  <c r="G190" i="6"/>
  <c r="G189" i="6"/>
  <c r="G188" i="6"/>
  <c r="Q187" i="6"/>
  <c r="O187" i="6"/>
  <c r="N187" i="6"/>
  <c r="L187" i="6"/>
  <c r="L186" i="6" s="1"/>
  <c r="J187" i="6"/>
  <c r="I187" i="6"/>
  <c r="E187" i="6"/>
  <c r="E186" i="6" s="1"/>
  <c r="O186" i="6"/>
  <c r="G185" i="6"/>
  <c r="G180" i="6"/>
  <c r="G179" i="6"/>
  <c r="G178" i="6"/>
  <c r="G177" i="6"/>
  <c r="G176" i="6"/>
  <c r="G175" i="6"/>
  <c r="Q174" i="6"/>
  <c r="O174" i="6"/>
  <c r="N174" i="6"/>
  <c r="L174" i="6"/>
  <c r="J174" i="6"/>
  <c r="I174" i="6"/>
  <c r="E174" i="6"/>
  <c r="G173" i="6"/>
  <c r="G172" i="6"/>
  <c r="G171" i="6"/>
  <c r="G170" i="6"/>
  <c r="G169" i="6"/>
  <c r="G168" i="6"/>
  <c r="G167" i="6"/>
  <c r="G166" i="6"/>
  <c r="G165" i="6"/>
  <c r="Q164" i="6"/>
  <c r="O164" i="6"/>
  <c r="O163" i="6" s="1"/>
  <c r="N164" i="6"/>
  <c r="L164" i="6"/>
  <c r="L163" i="6" s="1"/>
  <c r="J164" i="6"/>
  <c r="I164" i="6"/>
  <c r="G164" i="6" s="1"/>
  <c r="E164" i="6"/>
  <c r="E163" i="6"/>
  <c r="G161" i="6"/>
  <c r="Q160" i="6"/>
  <c r="O160" i="6"/>
  <c r="N160" i="6"/>
  <c r="L160" i="6"/>
  <c r="J160" i="6"/>
  <c r="I160" i="6"/>
  <c r="E160" i="6"/>
  <c r="G159" i="6"/>
  <c r="Q154" i="6"/>
  <c r="O154" i="6"/>
  <c r="N154" i="6"/>
  <c r="L154" i="6"/>
  <c r="J154" i="6"/>
  <c r="I154" i="6"/>
  <c r="E154" i="6"/>
  <c r="G153" i="6"/>
  <c r="Q152" i="6"/>
  <c r="O152" i="6"/>
  <c r="N152" i="6"/>
  <c r="L152" i="6"/>
  <c r="J152" i="6"/>
  <c r="I152" i="6"/>
  <c r="E152" i="6"/>
  <c r="Q151" i="6"/>
  <c r="G150" i="6"/>
  <c r="Q149" i="6"/>
  <c r="O149" i="6"/>
  <c r="O148" i="6" s="1"/>
  <c r="N149" i="6"/>
  <c r="N148" i="6" s="1"/>
  <c r="L149" i="6"/>
  <c r="L148" i="6" s="1"/>
  <c r="J149" i="6"/>
  <c r="I149" i="6"/>
  <c r="I148" i="6" s="1"/>
  <c r="E149" i="6"/>
  <c r="Q148" i="6"/>
  <c r="J148" i="6"/>
  <c r="E148" i="6"/>
  <c r="G147" i="6"/>
  <c r="Q146" i="6"/>
  <c r="O146" i="6"/>
  <c r="N146" i="6"/>
  <c r="L146" i="6"/>
  <c r="J146" i="6"/>
  <c r="I146" i="6"/>
  <c r="E146" i="6"/>
  <c r="G145" i="6"/>
  <c r="Q144" i="6"/>
  <c r="O144" i="6"/>
  <c r="N144" i="6"/>
  <c r="L144" i="6"/>
  <c r="J144" i="6"/>
  <c r="I144" i="6"/>
  <c r="E144" i="6"/>
  <c r="G143" i="6"/>
  <c r="Q142" i="6"/>
  <c r="Q141" i="6" s="1"/>
  <c r="O142" i="6"/>
  <c r="N142" i="6"/>
  <c r="L142" i="6"/>
  <c r="J142" i="6"/>
  <c r="I142" i="6"/>
  <c r="E142" i="6"/>
  <c r="G140" i="6"/>
  <c r="Q139" i="6"/>
  <c r="O139" i="6"/>
  <c r="N139" i="6"/>
  <c r="L139" i="6"/>
  <c r="J139" i="6"/>
  <c r="I139" i="6"/>
  <c r="E139" i="6"/>
  <c r="G138" i="6"/>
  <c r="F138" i="6"/>
  <c r="Q137" i="6"/>
  <c r="P137" i="6"/>
  <c r="O137" i="6"/>
  <c r="N137" i="6"/>
  <c r="M137" i="6"/>
  <c r="M134" i="6" s="1"/>
  <c r="M133" i="6" s="1"/>
  <c r="L137" i="6"/>
  <c r="K137" i="6"/>
  <c r="J137" i="6"/>
  <c r="I137" i="6"/>
  <c r="H137" i="6"/>
  <c r="G137" i="6"/>
  <c r="E137" i="6"/>
  <c r="G136" i="6"/>
  <c r="F136" i="6"/>
  <c r="Q135" i="6"/>
  <c r="O135" i="6"/>
  <c r="N135" i="6"/>
  <c r="N134" i="6" s="1"/>
  <c r="L135" i="6"/>
  <c r="J135" i="6"/>
  <c r="I135" i="6"/>
  <c r="F135" i="6"/>
  <c r="E135" i="6"/>
  <c r="P134" i="6"/>
  <c r="P133" i="6" s="1"/>
  <c r="K134" i="6"/>
  <c r="K133" i="6" s="1"/>
  <c r="H134" i="6"/>
  <c r="G132" i="6"/>
  <c r="F132" i="6"/>
  <c r="F131" i="6"/>
  <c r="F130" i="6"/>
  <c r="F129" i="6"/>
  <c r="F128" i="6"/>
  <c r="Q127" i="6"/>
  <c r="P127" i="6"/>
  <c r="P126" i="6" s="1"/>
  <c r="O127" i="6"/>
  <c r="O126" i="6" s="1"/>
  <c r="N127" i="6"/>
  <c r="N126" i="6" s="1"/>
  <c r="M127" i="6"/>
  <c r="M126" i="6" s="1"/>
  <c r="L127" i="6"/>
  <c r="L126" i="6" s="1"/>
  <c r="K127" i="6"/>
  <c r="K126" i="6" s="1"/>
  <c r="J127" i="6"/>
  <c r="J126" i="6" s="1"/>
  <c r="I127" i="6"/>
  <c r="H127" i="6"/>
  <c r="G127" i="6"/>
  <c r="G126" i="6" s="1"/>
  <c r="E127" i="6"/>
  <c r="Q126" i="6"/>
  <c r="I126" i="6"/>
  <c r="E126" i="6"/>
  <c r="G125" i="6"/>
  <c r="F125" i="6"/>
  <c r="M124" i="6"/>
  <c r="F124" i="6" s="1"/>
  <c r="Q123" i="6"/>
  <c r="Q122" i="6" s="1"/>
  <c r="P123" i="6"/>
  <c r="P122" i="6" s="1"/>
  <c r="O123" i="6"/>
  <c r="O122" i="6" s="1"/>
  <c r="N123" i="6"/>
  <c r="N122" i="6" s="1"/>
  <c r="L123" i="6"/>
  <c r="L122" i="6" s="1"/>
  <c r="L120" i="6" s="1"/>
  <c r="K123" i="6"/>
  <c r="J123" i="6"/>
  <c r="I123" i="6"/>
  <c r="I122" i="6" s="1"/>
  <c r="I120" i="6" s="1"/>
  <c r="H123" i="6"/>
  <c r="H122" i="6" s="1"/>
  <c r="E123" i="6"/>
  <c r="E122" i="6" s="1"/>
  <c r="E120" i="6" s="1"/>
  <c r="J122" i="6"/>
  <c r="F121" i="6"/>
  <c r="P120" i="6"/>
  <c r="J120" i="6"/>
  <c r="G119" i="6"/>
  <c r="F119" i="6"/>
  <c r="Q118" i="6"/>
  <c r="Q115" i="6" s="1"/>
  <c r="O118" i="6"/>
  <c r="N118" i="6"/>
  <c r="L118" i="6"/>
  <c r="J118" i="6"/>
  <c r="I118" i="6"/>
  <c r="F118" i="6"/>
  <c r="E118" i="6"/>
  <c r="E115" i="6" s="1"/>
  <c r="G117" i="6"/>
  <c r="F117" i="6"/>
  <c r="Q116" i="6"/>
  <c r="O116" i="6"/>
  <c r="N116" i="6"/>
  <c r="L116" i="6"/>
  <c r="L115" i="6" s="1"/>
  <c r="J116" i="6"/>
  <c r="I116" i="6"/>
  <c r="F116" i="6"/>
  <c r="E116" i="6"/>
  <c r="J115" i="6"/>
  <c r="F115" i="6"/>
  <c r="G114" i="6"/>
  <c r="F114" i="6"/>
  <c r="Q113" i="6"/>
  <c r="O113" i="6"/>
  <c r="N113" i="6"/>
  <c r="L113" i="6"/>
  <c r="J113" i="6"/>
  <c r="I113" i="6"/>
  <c r="F113" i="6"/>
  <c r="E113" i="6"/>
  <c r="G112" i="6"/>
  <c r="F112" i="6"/>
  <c r="G111" i="6"/>
  <c r="F111" i="6"/>
  <c r="Q110" i="6"/>
  <c r="P110" i="6"/>
  <c r="O110" i="6"/>
  <c r="N110" i="6"/>
  <c r="M110" i="6"/>
  <c r="L110" i="6"/>
  <c r="K110" i="6"/>
  <c r="J110" i="6"/>
  <c r="I110" i="6"/>
  <c r="H110" i="6"/>
  <c r="E110" i="6"/>
  <c r="G109" i="6"/>
  <c r="F109" i="6"/>
  <c r="G108" i="6"/>
  <c r="F108" i="6"/>
  <c r="G107" i="6"/>
  <c r="F107" i="6"/>
  <c r="G106" i="6"/>
  <c r="F106" i="6"/>
  <c r="G105" i="6"/>
  <c r="F105" i="6"/>
  <c r="G104" i="6"/>
  <c r="F104" i="6"/>
  <c r="F103" i="6"/>
  <c r="F102" i="6"/>
  <c r="F101" i="6"/>
  <c r="F100" i="6"/>
  <c r="Q99" i="6"/>
  <c r="O99" i="6"/>
  <c r="N99" i="6"/>
  <c r="L99" i="6"/>
  <c r="J99" i="6"/>
  <c r="I99" i="6"/>
  <c r="F99" i="6"/>
  <c r="E99" i="6"/>
  <c r="G98" i="6"/>
  <c r="F98" i="6"/>
  <c r="G97" i="6"/>
  <c r="F97" i="6"/>
  <c r="G96" i="6"/>
  <c r="G94" i="6" s="1"/>
  <c r="F96" i="6"/>
  <c r="G95" i="6"/>
  <c r="F95" i="6"/>
  <c r="Q94" i="6"/>
  <c r="P94" i="6"/>
  <c r="O94" i="6"/>
  <c r="N94" i="6"/>
  <c r="M94" i="6"/>
  <c r="L94" i="6"/>
  <c r="K94" i="6"/>
  <c r="J94" i="6"/>
  <c r="I94" i="6"/>
  <c r="H94" i="6"/>
  <c r="E94" i="6"/>
  <c r="G93" i="6"/>
  <c r="F93" i="6"/>
  <c r="G92" i="6"/>
  <c r="F92" i="6"/>
  <c r="G91" i="6"/>
  <c r="F91" i="6"/>
  <c r="G90" i="6"/>
  <c r="G89" i="6"/>
  <c r="G88" i="6"/>
  <c r="Q87" i="6"/>
  <c r="P87" i="6"/>
  <c r="O87" i="6"/>
  <c r="N87" i="6"/>
  <c r="M87" i="6"/>
  <c r="L87" i="6"/>
  <c r="K87" i="6"/>
  <c r="J87" i="6"/>
  <c r="I87" i="6"/>
  <c r="I86" i="6" s="1"/>
  <c r="H87" i="6"/>
  <c r="H86" i="6" s="1"/>
  <c r="E87" i="6"/>
  <c r="E86" i="6" s="1"/>
  <c r="P86" i="6"/>
  <c r="G85" i="6"/>
  <c r="G84" i="6"/>
  <c r="Q83" i="6"/>
  <c r="O83" i="6"/>
  <c r="N83" i="6"/>
  <c r="L83" i="6"/>
  <c r="J83" i="6"/>
  <c r="I83" i="6"/>
  <c r="E83" i="6"/>
  <c r="G82" i="6"/>
  <c r="G81" i="6"/>
  <c r="G80" i="6"/>
  <c r="G79" i="6"/>
  <c r="Q78" i="6"/>
  <c r="Q74" i="6" s="1"/>
  <c r="O78" i="6"/>
  <c r="N78" i="6"/>
  <c r="L78" i="6"/>
  <c r="J78" i="6"/>
  <c r="I78" i="6"/>
  <c r="E78" i="6"/>
  <c r="G77" i="6"/>
  <c r="G76" i="6"/>
  <c r="Q75" i="6"/>
  <c r="O75" i="6"/>
  <c r="N75" i="6"/>
  <c r="L75" i="6"/>
  <c r="J75" i="6"/>
  <c r="J74" i="6" s="1"/>
  <c r="I75" i="6"/>
  <c r="E75" i="6"/>
  <c r="G69" i="6"/>
  <c r="G68" i="6"/>
  <c r="G67" i="6"/>
  <c r="Q66" i="6"/>
  <c r="O66" i="6"/>
  <c r="N66" i="6"/>
  <c r="L66" i="6"/>
  <c r="J66" i="6"/>
  <c r="I66" i="6"/>
  <c r="E66" i="6"/>
  <c r="G65" i="6"/>
  <c r="G64" i="6"/>
  <c r="G63" i="6"/>
  <c r="G62" i="6"/>
  <c r="Q61" i="6"/>
  <c r="O61" i="6"/>
  <c r="O60" i="6" s="1"/>
  <c r="N61" i="6"/>
  <c r="N60" i="6" s="1"/>
  <c r="L61" i="6"/>
  <c r="J61" i="6"/>
  <c r="I61" i="6"/>
  <c r="E61" i="6"/>
  <c r="E60" i="6" s="1"/>
  <c r="L60" i="6"/>
  <c r="J60" i="6"/>
  <c r="G59" i="6"/>
  <c r="G58" i="6"/>
  <c r="G57" i="6"/>
  <c r="G56" i="6"/>
  <c r="G55" i="6"/>
  <c r="G54" i="6"/>
  <c r="Q53" i="6"/>
  <c r="O53" i="6"/>
  <c r="N53" i="6"/>
  <c r="L53" i="6"/>
  <c r="J53" i="6"/>
  <c r="I53" i="6"/>
  <c r="E53" i="6"/>
  <c r="G52" i="6"/>
  <c r="G51" i="6"/>
  <c r="G50" i="6"/>
  <c r="G49" i="6"/>
  <c r="G48" i="6"/>
  <c r="G47" i="6"/>
  <c r="Q42" i="6"/>
  <c r="O42" i="6"/>
  <c r="N42" i="6"/>
  <c r="L42" i="6"/>
  <c r="J42" i="6"/>
  <c r="I42" i="6"/>
  <c r="E42" i="6"/>
  <c r="G41" i="6"/>
  <c r="G40" i="6"/>
  <c r="Q39" i="6"/>
  <c r="O39" i="6"/>
  <c r="N39" i="6"/>
  <c r="L39" i="6"/>
  <c r="J39" i="6"/>
  <c r="I39" i="6"/>
  <c r="E39" i="6"/>
  <c r="G38" i="6"/>
  <c r="G37" i="6"/>
  <c r="G36" i="6"/>
  <c r="G35" i="6"/>
  <c r="G34" i="6"/>
  <c r="G33" i="6"/>
  <c r="Q32" i="6"/>
  <c r="O32" i="6"/>
  <c r="N32" i="6"/>
  <c r="L32" i="6"/>
  <c r="J32" i="6"/>
  <c r="I32" i="6"/>
  <c r="E32" i="6"/>
  <c r="G31" i="6"/>
  <c r="G30" i="6"/>
  <c r="G29" i="6"/>
  <c r="G28" i="6"/>
  <c r="G27" i="6"/>
  <c r="Q26" i="6"/>
  <c r="O26" i="6"/>
  <c r="N26" i="6"/>
  <c r="L26" i="6"/>
  <c r="J26" i="6"/>
  <c r="I26" i="6"/>
  <c r="E26" i="6"/>
  <c r="G25" i="6"/>
  <c r="G24" i="6"/>
  <c r="G23" i="6"/>
  <c r="G22" i="6"/>
  <c r="G21" i="6"/>
  <c r="G20" i="6"/>
  <c r="Q19" i="6"/>
  <c r="O19" i="6"/>
  <c r="N19" i="6"/>
  <c r="L19" i="6"/>
  <c r="J19" i="6"/>
  <c r="I19" i="6"/>
  <c r="E19" i="6"/>
  <c r="G18" i="6"/>
  <c r="Q17" i="6"/>
  <c r="O17" i="6"/>
  <c r="N17" i="6"/>
  <c r="L17" i="6"/>
  <c r="J17" i="6"/>
  <c r="I17" i="6"/>
  <c r="E17" i="6"/>
  <c r="G16" i="6"/>
  <c r="G15" i="6"/>
  <c r="G10" i="6"/>
  <c r="Q9" i="6"/>
  <c r="O9" i="6"/>
  <c r="N9" i="6"/>
  <c r="L9" i="6"/>
  <c r="J9" i="6"/>
  <c r="I9" i="6"/>
  <c r="E9" i="6"/>
  <c r="P286" i="4"/>
  <c r="P120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1" i="4"/>
  <c r="F112" i="4"/>
  <c r="F113" i="4"/>
  <c r="F114" i="4"/>
  <c r="F115" i="4"/>
  <c r="F116" i="4"/>
  <c r="F117" i="4"/>
  <c r="F118" i="4"/>
  <c r="F119" i="4"/>
  <c r="F121" i="4"/>
  <c r="K538" i="10" l="1"/>
  <c r="K539" i="10"/>
  <c r="L162" i="6"/>
  <c r="Q219" i="14"/>
  <c r="Q541" i="14" s="1"/>
  <c r="E8" i="6"/>
  <c r="J86" i="6"/>
  <c r="G281" i="6"/>
  <c r="E333" i="6"/>
  <c r="G355" i="6"/>
  <c r="G399" i="6"/>
  <c r="L413" i="6"/>
  <c r="L435" i="6"/>
  <c r="N474" i="6"/>
  <c r="E515" i="6"/>
  <c r="I6" i="9"/>
  <c r="G275" i="11"/>
  <c r="J9" i="13"/>
  <c r="L7" i="19"/>
  <c r="F127" i="14"/>
  <c r="H126" i="14"/>
  <c r="L74" i="6"/>
  <c r="G135" i="6"/>
  <c r="L134" i="6"/>
  <c r="G160" i="6"/>
  <c r="M230" i="6"/>
  <c r="G315" i="6"/>
  <c r="G395" i="6"/>
  <c r="N413" i="6"/>
  <c r="N435" i="6"/>
  <c r="J220" i="10"/>
  <c r="J533" i="10" s="1"/>
  <c r="I6" i="14"/>
  <c r="I210" i="14" s="1"/>
  <c r="E219" i="11"/>
  <c r="E541" i="11" s="1"/>
  <c r="G413" i="11"/>
  <c r="G99" i="6"/>
  <c r="G110" i="6"/>
  <c r="G146" i="6"/>
  <c r="G245" i="6"/>
  <c r="M262" i="6"/>
  <c r="G285" i="6"/>
  <c r="G283" i="6" s="1"/>
  <c r="M413" i="6"/>
  <c r="N547" i="14"/>
  <c r="J7" i="9"/>
  <c r="J6" i="9" s="1"/>
  <c r="J210" i="9" s="1"/>
  <c r="G133" i="11"/>
  <c r="F127" i="6"/>
  <c r="Q247" i="6"/>
  <c r="O361" i="6"/>
  <c r="I9" i="18"/>
  <c r="G134" i="17"/>
  <c r="J220" i="14"/>
  <c r="J219" i="14" s="1"/>
  <c r="J541" i="14" s="1"/>
  <c r="G17" i="6"/>
  <c r="O8" i="6"/>
  <c r="G39" i="6"/>
  <c r="I60" i="6"/>
  <c r="N74" i="6"/>
  <c r="O86" i="6"/>
  <c r="N151" i="6"/>
  <c r="F224" i="6"/>
  <c r="E247" i="6"/>
  <c r="M300" i="6"/>
  <c r="F300" i="6" s="1"/>
  <c r="Q314" i="6"/>
  <c r="Q394" i="6"/>
  <c r="Q435" i="6"/>
  <c r="G477" i="6"/>
  <c r="G483" i="6"/>
  <c r="L486" i="6"/>
  <c r="J515" i="6"/>
  <c r="L133" i="14"/>
  <c r="L6" i="14" s="1"/>
  <c r="L210" i="14" s="1"/>
  <c r="Q219" i="17"/>
  <c r="Q541" i="17" s="1"/>
  <c r="G220" i="18"/>
  <c r="K9" i="18"/>
  <c r="K532" i="18" s="1"/>
  <c r="O219" i="9"/>
  <c r="O541" i="9" s="1"/>
  <c r="L6" i="9"/>
  <c r="L210" i="9" s="1"/>
  <c r="G163" i="14"/>
  <c r="N86" i="6"/>
  <c r="N224" i="6"/>
  <c r="G313" i="6"/>
  <c r="G365" i="6"/>
  <c r="E413" i="6"/>
  <c r="G423" i="6"/>
  <c r="I133" i="11"/>
  <c r="N210" i="17"/>
  <c r="G86" i="9"/>
  <c r="N434" i="9"/>
  <c r="J485" i="9"/>
  <c r="G53" i="6"/>
  <c r="F94" i="6"/>
  <c r="F303" i="6"/>
  <c r="R286" i="6"/>
  <c r="E361" i="6"/>
  <c r="Q413" i="6"/>
  <c r="E435" i="6"/>
  <c r="K435" i="6"/>
  <c r="K434" i="6" s="1"/>
  <c r="O486" i="6"/>
  <c r="N515" i="6"/>
  <c r="O219" i="14"/>
  <c r="O541" i="14" s="1"/>
  <c r="O547" i="14" s="1"/>
  <c r="O220" i="11"/>
  <c r="G221" i="14"/>
  <c r="G87" i="6"/>
  <c r="J221" i="6"/>
  <c r="O221" i="6"/>
  <c r="F251" i="6"/>
  <c r="G362" i="6"/>
  <c r="G221" i="17"/>
  <c r="Q133" i="19"/>
  <c r="E297" i="13"/>
  <c r="L297" i="13" s="1"/>
  <c r="E74" i="6"/>
  <c r="E162" i="6"/>
  <c r="O162" i="6"/>
  <c r="G475" i="6"/>
  <c r="G516" i="6"/>
  <c r="K539" i="13"/>
  <c r="H9" i="13"/>
  <c r="L6" i="11"/>
  <c r="L210" i="11" s="1"/>
  <c r="I434" i="17"/>
  <c r="I219" i="17" s="1"/>
  <c r="F127" i="11"/>
  <c r="Q60" i="6"/>
  <c r="N115" i="6"/>
  <c r="L221" i="6"/>
  <c r="I374" i="6"/>
  <c r="J435" i="6"/>
  <c r="G482" i="6"/>
  <c r="G141" i="17"/>
  <c r="G133" i="17" s="1"/>
  <c r="R293" i="17"/>
  <c r="S293" i="17" s="1"/>
  <c r="F87" i="6"/>
  <c r="O115" i="6"/>
  <c r="E134" i="6"/>
  <c r="G152" i="6"/>
  <c r="Q333" i="6"/>
  <c r="J374" i="6"/>
  <c r="G417" i="6"/>
  <c r="Q458" i="6"/>
  <c r="D10" i="13"/>
  <c r="D9" i="13" s="1"/>
  <c r="E89" i="13"/>
  <c r="L89" i="13" s="1"/>
  <c r="J434" i="11"/>
  <c r="E7" i="17"/>
  <c r="E6" i="17" s="1"/>
  <c r="E210" i="17" s="1"/>
  <c r="L118" i="13"/>
  <c r="N220" i="23"/>
  <c r="I538" i="18"/>
  <c r="I539" i="18"/>
  <c r="H538" i="18"/>
  <c r="G9" i="18"/>
  <c r="K538" i="18"/>
  <c r="D9" i="18"/>
  <c r="D532" i="18" s="1"/>
  <c r="J134" i="18"/>
  <c r="J9" i="18" s="1"/>
  <c r="N541" i="19"/>
  <c r="G74" i="19"/>
  <c r="G434" i="19"/>
  <c r="O133" i="19"/>
  <c r="O6" i="19" s="1"/>
  <c r="O210" i="19" s="1"/>
  <c r="J220" i="19"/>
  <c r="Q219" i="19"/>
  <c r="Q541" i="19" s="1"/>
  <c r="L219" i="19"/>
  <c r="G413" i="19"/>
  <c r="G248" i="19"/>
  <c r="J434" i="19"/>
  <c r="I434" i="19"/>
  <c r="G374" i="19"/>
  <c r="Q6" i="19"/>
  <c r="Q210" i="19" s="1"/>
  <c r="J133" i="19"/>
  <c r="J6" i="19" s="1"/>
  <c r="J210" i="19" s="1"/>
  <c r="L6" i="19"/>
  <c r="L210" i="19" s="1"/>
  <c r="O220" i="17"/>
  <c r="O219" i="17" s="1"/>
  <c r="O541" i="17" s="1"/>
  <c r="L133" i="17"/>
  <c r="L6" i="17" s="1"/>
  <c r="L210" i="17" s="1"/>
  <c r="E220" i="17"/>
  <c r="E219" i="17" s="1"/>
  <c r="E541" i="17" s="1"/>
  <c r="J434" i="17"/>
  <c r="G74" i="17"/>
  <c r="L434" i="17"/>
  <c r="I133" i="17"/>
  <c r="H220" i="17"/>
  <c r="H219" i="17" s="1"/>
  <c r="H541" i="17" s="1"/>
  <c r="Q133" i="17"/>
  <c r="Q6" i="17" s="1"/>
  <c r="Q210" i="17" s="1"/>
  <c r="O219" i="11"/>
  <c r="O541" i="11" s="1"/>
  <c r="J162" i="11"/>
  <c r="G162" i="11" s="1"/>
  <c r="I219" i="11"/>
  <c r="F248" i="11"/>
  <c r="N220" i="11"/>
  <c r="O434" i="11"/>
  <c r="N434" i="11"/>
  <c r="E133" i="11"/>
  <c r="E7" i="11"/>
  <c r="E6" i="11" s="1"/>
  <c r="E210" i="11" s="1"/>
  <c r="G474" i="11"/>
  <c r="G434" i="11" s="1"/>
  <c r="Q220" i="11"/>
  <c r="Q219" i="11" s="1"/>
  <c r="Q541" i="11" s="1"/>
  <c r="G247" i="9"/>
  <c r="G8" i="9"/>
  <c r="Q6" i="9"/>
  <c r="Q210" i="9" s="1"/>
  <c r="F86" i="9"/>
  <c r="P219" i="9"/>
  <c r="P541" i="9" s="1"/>
  <c r="E219" i="9"/>
  <c r="E541" i="9" s="1"/>
  <c r="J434" i="9"/>
  <c r="F122" i="9"/>
  <c r="G134" i="9"/>
  <c r="E133" i="9"/>
  <c r="E6" i="9" s="1"/>
  <c r="E210" i="9" s="1"/>
  <c r="J219" i="9"/>
  <c r="J541" i="9" s="1"/>
  <c r="N247" i="9"/>
  <c r="N220" i="9" s="1"/>
  <c r="N219" i="9" s="1"/>
  <c r="N541" i="9" s="1"/>
  <c r="G141" i="9"/>
  <c r="G148" i="6"/>
  <c r="N221" i="6"/>
  <c r="F221" i="6"/>
  <c r="G251" i="6"/>
  <c r="G325" i="6"/>
  <c r="G371" i="6"/>
  <c r="G388" i="6"/>
  <c r="G432" i="6"/>
  <c r="G436" i="6"/>
  <c r="G461" i="6"/>
  <c r="Q474" i="6"/>
  <c r="Q434" i="6" s="1"/>
  <c r="G511" i="6"/>
  <c r="G19" i="6"/>
  <c r="G42" i="6"/>
  <c r="O74" i="6"/>
  <c r="Q86" i="6"/>
  <c r="K86" i="6"/>
  <c r="G113" i="6"/>
  <c r="M123" i="6"/>
  <c r="M122" i="6" s="1"/>
  <c r="M7" i="6" s="1"/>
  <c r="M6" i="6" s="1"/>
  <c r="M210" i="6" s="1"/>
  <c r="O134" i="6"/>
  <c r="L141" i="6"/>
  <c r="G154" i="6"/>
  <c r="Q186" i="6"/>
  <c r="G223" i="6"/>
  <c r="G222" i="6" s="1"/>
  <c r="G225" i="6"/>
  <c r="G224" i="6" s="1"/>
  <c r="G243" i="6"/>
  <c r="L247" i="6"/>
  <c r="G262" i="6"/>
  <c r="M303" i="6"/>
  <c r="L374" i="6"/>
  <c r="L220" i="6" s="1"/>
  <c r="G385" i="6"/>
  <c r="G454" i="6"/>
  <c r="E458" i="6"/>
  <c r="O474" i="6"/>
  <c r="G509" i="6"/>
  <c r="G513" i="6"/>
  <c r="O515" i="6"/>
  <c r="O485" i="6" s="1"/>
  <c r="L8" i="6"/>
  <c r="L7" i="6" s="1"/>
  <c r="G83" i="6"/>
  <c r="G116" i="6"/>
  <c r="F137" i="6"/>
  <c r="G142" i="6"/>
  <c r="E151" i="6"/>
  <c r="F250" i="6"/>
  <c r="G256" i="6"/>
  <c r="K247" i="6"/>
  <c r="F264" i="6"/>
  <c r="F262" i="6" s="1"/>
  <c r="N286" i="6"/>
  <c r="F313" i="6"/>
  <c r="G344" i="6"/>
  <c r="N333" i="6"/>
  <c r="G382" i="6"/>
  <c r="G452" i="6"/>
  <c r="Q486" i="6"/>
  <c r="Q485" i="6" s="1"/>
  <c r="G9" i="6"/>
  <c r="F123" i="6"/>
  <c r="G144" i="6"/>
  <c r="G149" i="6"/>
  <c r="Q163" i="6"/>
  <c r="N186" i="6"/>
  <c r="E221" i="6"/>
  <c r="M221" i="6"/>
  <c r="R293" i="6"/>
  <c r="S293" i="6" s="1"/>
  <c r="L474" i="6"/>
  <c r="L515" i="6"/>
  <c r="L485" i="6" s="1"/>
  <c r="Q8" i="6"/>
  <c r="G26" i="6"/>
  <c r="G66" i="6"/>
  <c r="G124" i="6"/>
  <c r="G123" i="6" s="1"/>
  <c r="G122" i="6" s="1"/>
  <c r="G120" i="6" s="1"/>
  <c r="J134" i="6"/>
  <c r="E141" i="6"/>
  <c r="J151" i="6"/>
  <c r="I163" i="6"/>
  <c r="I162" i="6" s="1"/>
  <c r="G233" i="6"/>
  <c r="G230" i="6" s="1"/>
  <c r="G290" i="6"/>
  <c r="F295" i="6"/>
  <c r="F294" i="6" s="1"/>
  <c r="E374" i="6"/>
  <c r="Q374" i="6"/>
  <c r="N434" i="6"/>
  <c r="J458" i="6"/>
  <c r="O458" i="6"/>
  <c r="G479" i="6"/>
  <c r="N486" i="6"/>
  <c r="N485" i="6" s="1"/>
  <c r="G78" i="6"/>
  <c r="G86" i="6"/>
  <c r="F134" i="6"/>
  <c r="G139" i="6"/>
  <c r="G134" i="6" s="1"/>
  <c r="O151" i="6"/>
  <c r="N163" i="6"/>
  <c r="G197" i="6"/>
  <c r="H221" i="6"/>
  <c r="P221" i="6"/>
  <c r="H247" i="6"/>
  <c r="G357" i="6"/>
  <c r="O434" i="6"/>
  <c r="N8" i="6"/>
  <c r="N7" i="6" s="1"/>
  <c r="G60" i="6"/>
  <c r="G75" i="6"/>
  <c r="L86" i="6"/>
  <c r="F110" i="6"/>
  <c r="J141" i="6"/>
  <c r="G187" i="6"/>
  <c r="O247" i="6"/>
  <c r="F285" i="6"/>
  <c r="F283" i="6" s="1"/>
  <c r="G293" i="6"/>
  <c r="F301" i="6"/>
  <c r="G331" i="6"/>
  <c r="F417" i="6"/>
  <c r="F413" i="6" s="1"/>
  <c r="L458" i="6"/>
  <c r="L434" i="6" s="1"/>
  <c r="G471" i="6"/>
  <c r="G501" i="6"/>
  <c r="E485" i="6"/>
  <c r="G539" i="6"/>
  <c r="E7" i="6"/>
  <c r="G32" i="6"/>
  <c r="G61" i="6"/>
  <c r="G118" i="6"/>
  <c r="P7" i="6"/>
  <c r="P6" i="6" s="1"/>
  <c r="P210" i="6" s="1"/>
  <c r="Q134" i="6"/>
  <c r="Q133" i="6" s="1"/>
  <c r="O141" i="6"/>
  <c r="N141" i="6"/>
  <c r="L151" i="6"/>
  <c r="L133" i="6" s="1"/>
  <c r="G174" i="6"/>
  <c r="I221" i="6"/>
  <c r="Q221" i="6"/>
  <c r="G286" i="6"/>
  <c r="I314" i="6"/>
  <c r="G314" i="6" s="1"/>
  <c r="J314" i="6"/>
  <c r="G327" i="6"/>
  <c r="I333" i="6"/>
  <c r="Q361" i="6"/>
  <c r="O374" i="6"/>
  <c r="I394" i="6"/>
  <c r="G394" i="6" s="1"/>
  <c r="J413" i="6"/>
  <c r="G414" i="6"/>
  <c r="G413" i="6" s="1"/>
  <c r="G426" i="6"/>
  <c r="G459" i="6"/>
  <c r="G472" i="6"/>
  <c r="G487" i="6"/>
  <c r="F524" i="23"/>
  <c r="I541" i="23"/>
  <c r="J534" i="23"/>
  <c r="G539" i="23"/>
  <c r="H540" i="23"/>
  <c r="G211" i="23"/>
  <c r="N211" i="23" s="1"/>
  <c r="G532" i="23"/>
  <c r="H534" i="23"/>
  <c r="G524" i="23"/>
  <c r="H541" i="23"/>
  <c r="G538" i="23"/>
  <c r="G533" i="23"/>
  <c r="H535" i="23"/>
  <c r="F543" i="21"/>
  <c r="F549" i="21"/>
  <c r="F547" i="21"/>
  <c r="E396" i="18"/>
  <c r="L396" i="18" s="1"/>
  <c r="E357" i="18"/>
  <c r="L357" i="18" s="1"/>
  <c r="E248" i="18"/>
  <c r="L248" i="18" s="1"/>
  <c r="I221" i="18"/>
  <c r="I220" i="18" s="1"/>
  <c r="I524" i="18" s="1"/>
  <c r="K221" i="18"/>
  <c r="K220" i="18" s="1"/>
  <c r="D221" i="18"/>
  <c r="D220" i="18" s="1"/>
  <c r="D533" i="18" s="1"/>
  <c r="D535" i="18" s="1"/>
  <c r="M247" i="19"/>
  <c r="M220" i="19" s="1"/>
  <c r="M219" i="19" s="1"/>
  <c r="M541" i="19" s="1"/>
  <c r="D211" i="18"/>
  <c r="F286" i="19"/>
  <c r="F247" i="19" s="1"/>
  <c r="F220" i="19" s="1"/>
  <c r="F127" i="19"/>
  <c r="K126" i="19"/>
  <c r="G7" i="19"/>
  <c r="G6" i="19" s="1"/>
  <c r="G210" i="19" s="1"/>
  <c r="R286" i="19"/>
  <c r="P247" i="19"/>
  <c r="P220" i="19" s="1"/>
  <c r="P219" i="19" s="1"/>
  <c r="P541" i="19" s="1"/>
  <c r="P133" i="19"/>
  <c r="F134" i="19"/>
  <c r="G133" i="19"/>
  <c r="R293" i="19"/>
  <c r="S293" i="19" s="1"/>
  <c r="H541" i="19"/>
  <c r="G247" i="19"/>
  <c r="G220" i="19" s="1"/>
  <c r="G219" i="19" s="1"/>
  <c r="O219" i="19"/>
  <c r="O541" i="19" s="1"/>
  <c r="I133" i="19"/>
  <c r="I6" i="19" s="1"/>
  <c r="I210" i="19" s="1"/>
  <c r="G486" i="19"/>
  <c r="I485" i="19"/>
  <c r="G485" i="19" s="1"/>
  <c r="I220" i="19"/>
  <c r="I219" i="19" s="1"/>
  <c r="L541" i="19"/>
  <c r="E89" i="18"/>
  <c r="L89" i="18" s="1"/>
  <c r="K211" i="18"/>
  <c r="G524" i="18"/>
  <c r="G533" i="18"/>
  <c r="E222" i="18"/>
  <c r="L222" i="18" s="1"/>
  <c r="F221" i="18"/>
  <c r="H134" i="18"/>
  <c r="E134" i="18" s="1"/>
  <c r="L134" i="18" s="1"/>
  <c r="H10" i="18"/>
  <c r="H9" i="18" s="1"/>
  <c r="E11" i="18"/>
  <c r="L11" i="18" s="1"/>
  <c r="E344" i="18"/>
  <c r="L344" i="18" s="1"/>
  <c r="F417" i="18"/>
  <c r="E417" i="18" s="1"/>
  <c r="L417" i="18" s="1"/>
  <c r="E469" i="18"/>
  <c r="L469" i="18" s="1"/>
  <c r="F468" i="18"/>
  <c r="E297" i="18"/>
  <c r="L297" i="18" s="1"/>
  <c r="F10" i="18"/>
  <c r="D538" i="18"/>
  <c r="I532" i="18"/>
  <c r="I211" i="18"/>
  <c r="H221" i="18"/>
  <c r="H220" i="18" s="1"/>
  <c r="F163" i="18"/>
  <c r="E142" i="18"/>
  <c r="L142" i="18" s="1"/>
  <c r="G538" i="18"/>
  <c r="E135" i="18"/>
  <c r="L135" i="18" s="1"/>
  <c r="E418" i="18"/>
  <c r="L418" i="18" s="1"/>
  <c r="P247" i="17"/>
  <c r="P220" i="17" s="1"/>
  <c r="P219" i="17" s="1"/>
  <c r="P541" i="17" s="1"/>
  <c r="F7" i="17"/>
  <c r="F6" i="17" s="1"/>
  <c r="F210" i="17" s="1"/>
  <c r="N220" i="17"/>
  <c r="N219" i="17" s="1"/>
  <c r="N541" i="17" s="1"/>
  <c r="J485" i="17"/>
  <c r="G515" i="17"/>
  <c r="G163" i="17"/>
  <c r="I162" i="17"/>
  <c r="G162" i="17" s="1"/>
  <c r="M247" i="17"/>
  <c r="M220" i="17" s="1"/>
  <c r="M219" i="17" s="1"/>
  <c r="M541" i="17" s="1"/>
  <c r="G434" i="17"/>
  <c r="G248" i="17"/>
  <c r="I7" i="17"/>
  <c r="I6" i="17" s="1"/>
  <c r="I210" i="17" s="1"/>
  <c r="H7" i="17"/>
  <c r="H6" i="17" s="1"/>
  <c r="H210" i="17" s="1"/>
  <c r="J219" i="17"/>
  <c r="L220" i="17"/>
  <c r="L219" i="17" s="1"/>
  <c r="L541" i="17" s="1"/>
  <c r="G486" i="17"/>
  <c r="I485" i="17"/>
  <c r="G485" i="17" s="1"/>
  <c r="G286" i="17"/>
  <c r="G7" i="17"/>
  <c r="F247" i="17"/>
  <c r="F220" i="17" s="1"/>
  <c r="P543" i="14"/>
  <c r="M543" i="14"/>
  <c r="M547" i="14"/>
  <c r="G247" i="14"/>
  <c r="G220" i="14" s="1"/>
  <c r="I434" i="14"/>
  <c r="I219" i="14" s="1"/>
  <c r="J133" i="14"/>
  <c r="J6" i="14" s="1"/>
  <c r="J210" i="14" s="1"/>
  <c r="F247" i="14"/>
  <c r="F220" i="14" s="1"/>
  <c r="E6" i="14"/>
  <c r="E210" i="14" s="1"/>
  <c r="K547" i="14"/>
  <c r="R219" i="14"/>
  <c r="G151" i="14"/>
  <c r="G133" i="14" s="1"/>
  <c r="G6" i="14" s="1"/>
  <c r="G210" i="14" s="1"/>
  <c r="G458" i="14"/>
  <c r="G434" i="14" s="1"/>
  <c r="G515" i="14"/>
  <c r="I485" i="14"/>
  <c r="G485" i="14" s="1"/>
  <c r="G275" i="14"/>
  <c r="L219" i="14"/>
  <c r="L541" i="14" s="1"/>
  <c r="L547" i="14" s="1"/>
  <c r="D221" i="13"/>
  <c r="E357" i="13"/>
  <c r="L357" i="13" s="1"/>
  <c r="I221" i="13"/>
  <c r="I220" i="13" s="1"/>
  <c r="I524" i="13" s="1"/>
  <c r="I541" i="13" s="1"/>
  <c r="E248" i="13"/>
  <c r="L248" i="13" s="1"/>
  <c r="J532" i="13"/>
  <c r="J211" i="13"/>
  <c r="J533" i="13"/>
  <c r="J524" i="13"/>
  <c r="J541" i="13" s="1"/>
  <c r="H532" i="13"/>
  <c r="H211" i="13"/>
  <c r="D532" i="13"/>
  <c r="D211" i="13"/>
  <c r="F417" i="13"/>
  <c r="E417" i="13" s="1"/>
  <c r="E418" i="13"/>
  <c r="L418" i="13" s="1"/>
  <c r="E222" i="13"/>
  <c r="L222" i="13" s="1"/>
  <c r="F221" i="13"/>
  <c r="K532" i="13"/>
  <c r="K211" i="13"/>
  <c r="E316" i="13"/>
  <c r="L316" i="13" s="1"/>
  <c r="D417" i="13"/>
  <c r="F468" i="13"/>
  <c r="E469" i="13"/>
  <c r="L469" i="13" s="1"/>
  <c r="F10" i="13"/>
  <c r="E11" i="13"/>
  <c r="L11" i="13" s="1"/>
  <c r="G221" i="13"/>
  <c r="G220" i="13" s="1"/>
  <c r="E396" i="13"/>
  <c r="L396" i="13" s="1"/>
  <c r="K221" i="13"/>
  <c r="K220" i="13" s="1"/>
  <c r="H539" i="13"/>
  <c r="G538" i="13"/>
  <c r="H524" i="13"/>
  <c r="H533" i="13"/>
  <c r="E164" i="13"/>
  <c r="L164" i="13" s="1"/>
  <c r="F163" i="13"/>
  <c r="K538" i="13"/>
  <c r="E134" i="13"/>
  <c r="L134" i="13" s="1"/>
  <c r="R286" i="11"/>
  <c r="M247" i="11"/>
  <c r="M220" i="11" s="1"/>
  <c r="M219" i="11" s="1"/>
  <c r="M541" i="11" s="1"/>
  <c r="G247" i="11"/>
  <c r="G220" i="11" s="1"/>
  <c r="F247" i="11"/>
  <c r="F220" i="11" s="1"/>
  <c r="F219" i="11" s="1"/>
  <c r="F541" i="11" s="1"/>
  <c r="J485" i="11"/>
  <c r="G515" i="11"/>
  <c r="H6" i="11"/>
  <c r="H210" i="11" s="1"/>
  <c r="H247" i="11"/>
  <c r="H220" i="11" s="1"/>
  <c r="H219" i="11" s="1"/>
  <c r="N6" i="11"/>
  <c r="N210" i="11" s="1"/>
  <c r="I7" i="11"/>
  <c r="I6" i="11" s="1"/>
  <c r="I210" i="11" s="1"/>
  <c r="G8" i="11"/>
  <c r="G7" i="11" s="1"/>
  <c r="G6" i="11" s="1"/>
  <c r="G210" i="11" s="1"/>
  <c r="F126" i="11"/>
  <c r="K7" i="11"/>
  <c r="K6" i="11" s="1"/>
  <c r="K210" i="11" s="1"/>
  <c r="F122" i="11"/>
  <c r="H120" i="11"/>
  <c r="F120" i="11" s="1"/>
  <c r="F86" i="11" s="1"/>
  <c r="J7" i="11"/>
  <c r="J6" i="11" s="1"/>
  <c r="J210" i="11" s="1"/>
  <c r="J220" i="11"/>
  <c r="J219" i="11" s="1"/>
  <c r="J541" i="11" s="1"/>
  <c r="G163" i="11"/>
  <c r="G486" i="11"/>
  <c r="I485" i="11"/>
  <c r="G485" i="11" s="1"/>
  <c r="F127" i="9"/>
  <c r="H126" i="9"/>
  <c r="E357" i="10"/>
  <c r="L357" i="10" s="1"/>
  <c r="L135" i="10"/>
  <c r="D9" i="10"/>
  <c r="D532" i="10" s="1"/>
  <c r="D221" i="10"/>
  <c r="D220" i="10" s="1"/>
  <c r="D533" i="10" s="1"/>
  <c r="K221" i="10"/>
  <c r="K220" i="10" s="1"/>
  <c r="K533" i="10" s="1"/>
  <c r="I221" i="10"/>
  <c r="I220" i="10" s="1"/>
  <c r="I533" i="10" s="1"/>
  <c r="E417" i="10"/>
  <c r="L417" i="10" s="1"/>
  <c r="E418" i="10"/>
  <c r="L418" i="10" s="1"/>
  <c r="E89" i="10"/>
  <c r="L89" i="10" s="1"/>
  <c r="E396" i="10"/>
  <c r="L396" i="10" s="1"/>
  <c r="G221" i="10"/>
  <c r="G220" i="10" s="1"/>
  <c r="G524" i="10" s="1"/>
  <c r="H221" i="10"/>
  <c r="H220" i="10" s="1"/>
  <c r="H533" i="10" s="1"/>
  <c r="H535" i="10" s="1"/>
  <c r="J524" i="10"/>
  <c r="E248" i="10"/>
  <c r="L248" i="10" s="1"/>
  <c r="J9" i="10"/>
  <c r="J211" i="10" s="1"/>
  <c r="K9" i="10"/>
  <c r="K532" i="10" s="1"/>
  <c r="I9" i="10"/>
  <c r="I211" i="10" s="1"/>
  <c r="H211" i="10"/>
  <c r="E164" i="10"/>
  <c r="L164" i="10" s="1"/>
  <c r="F163" i="10"/>
  <c r="E222" i="10"/>
  <c r="L222" i="10" s="1"/>
  <c r="G10" i="10"/>
  <c r="G9" i="10" s="1"/>
  <c r="D538" i="10"/>
  <c r="E469" i="10"/>
  <c r="L469" i="10" s="1"/>
  <c r="I532" i="10"/>
  <c r="F537" i="10"/>
  <c r="F221" i="10"/>
  <c r="E11" i="10"/>
  <c r="L11" i="10" s="1"/>
  <c r="F10" i="10"/>
  <c r="H468" i="10"/>
  <c r="H537" i="10" s="1"/>
  <c r="F134" i="10"/>
  <c r="E134" i="10" s="1"/>
  <c r="L134" i="10" s="1"/>
  <c r="G538" i="10"/>
  <c r="G163" i="9"/>
  <c r="I162" i="9"/>
  <c r="G162" i="9" s="1"/>
  <c r="F275" i="9"/>
  <c r="F247" i="9" s="1"/>
  <c r="F220" i="9" s="1"/>
  <c r="I220" i="9"/>
  <c r="G7" i="9"/>
  <c r="G220" i="9"/>
  <c r="I434" i="9"/>
  <c r="G474" i="9"/>
  <c r="G434" i="9" s="1"/>
  <c r="H219" i="9"/>
  <c r="N6" i="9"/>
  <c r="N210" i="9" s="1"/>
  <c r="I485" i="9"/>
  <c r="G485" i="9" s="1"/>
  <c r="G515" i="9"/>
  <c r="F248" i="6"/>
  <c r="F441" i="6"/>
  <c r="F435" i="6" s="1"/>
  <c r="F434" i="6" s="1"/>
  <c r="E133" i="6"/>
  <c r="E6" i="6" s="1"/>
  <c r="E210" i="6" s="1"/>
  <c r="O220" i="6"/>
  <c r="O219" i="6" s="1"/>
  <c r="O541" i="6" s="1"/>
  <c r="Q7" i="6"/>
  <c r="Q6" i="6" s="1"/>
  <c r="K220" i="6"/>
  <c r="K219" i="6" s="1"/>
  <c r="K541" i="6" s="1"/>
  <c r="N247" i="6"/>
  <c r="N220" i="6" s="1"/>
  <c r="N219" i="6" s="1"/>
  <c r="N541" i="6" s="1"/>
  <c r="O7" i="6"/>
  <c r="N133" i="6"/>
  <c r="N6" i="6" s="1"/>
  <c r="N210" i="6" s="1"/>
  <c r="O133" i="6"/>
  <c r="N162" i="6"/>
  <c r="F275" i="6"/>
  <c r="F286" i="6"/>
  <c r="G333" i="6"/>
  <c r="E434" i="6"/>
  <c r="I74" i="6"/>
  <c r="G74" i="6" s="1"/>
  <c r="J8" i="6"/>
  <c r="J7" i="6" s="1"/>
  <c r="I134" i="6"/>
  <c r="M248" i="6"/>
  <c r="M283" i="6"/>
  <c r="G379" i="6"/>
  <c r="G374" i="6" s="1"/>
  <c r="I474" i="6"/>
  <c r="I515" i="6"/>
  <c r="I8" i="6"/>
  <c r="I115" i="6"/>
  <c r="G115" i="6" s="1"/>
  <c r="K122" i="6"/>
  <c r="K120" i="6" s="1"/>
  <c r="H126" i="6"/>
  <c r="H133" i="6"/>
  <c r="F133" i="6" s="1"/>
  <c r="I141" i="6"/>
  <c r="G141" i="6" s="1"/>
  <c r="I151" i="6"/>
  <c r="G151" i="6" s="1"/>
  <c r="J163" i="6"/>
  <c r="J186" i="6"/>
  <c r="G186" i="6" s="1"/>
  <c r="G253" i="6"/>
  <c r="G248" i="6" s="1"/>
  <c r="M275" i="6"/>
  <c r="G278" i="6"/>
  <c r="G282" i="6"/>
  <c r="G444" i="6"/>
  <c r="G441" i="6" s="1"/>
  <c r="G435" i="6" s="1"/>
  <c r="I458" i="6"/>
  <c r="G458" i="6" s="1"/>
  <c r="J486" i="6"/>
  <c r="J485" i="6" s="1"/>
  <c r="H120" i="6"/>
  <c r="P275" i="6"/>
  <c r="P247" i="6" s="1"/>
  <c r="P220" i="6" s="1"/>
  <c r="J333" i="6"/>
  <c r="J220" i="6" s="1"/>
  <c r="J361" i="6"/>
  <c r="G361" i="6" s="1"/>
  <c r="P441" i="6"/>
  <c r="P435" i="6" s="1"/>
  <c r="P434" i="6" s="1"/>
  <c r="J474" i="6"/>
  <c r="J434" i="6" s="1"/>
  <c r="G221" i="6" l="1"/>
  <c r="F126" i="14"/>
  <c r="F7" i="14" s="1"/>
  <c r="F6" i="14" s="1"/>
  <c r="F210" i="14" s="1"/>
  <c r="H7" i="14"/>
  <c r="H6" i="14" s="1"/>
  <c r="H210" i="14" s="1"/>
  <c r="H535" i="13"/>
  <c r="G6" i="17"/>
  <c r="G210" i="17" s="1"/>
  <c r="H541" i="13"/>
  <c r="J540" i="13"/>
  <c r="G133" i="9"/>
  <c r="G6" i="9" s="1"/>
  <c r="G210" i="9" s="1"/>
  <c r="G275" i="6"/>
  <c r="G247" i="6" s="1"/>
  <c r="G220" i="6" s="1"/>
  <c r="J219" i="19"/>
  <c r="J541" i="19" s="1"/>
  <c r="Q220" i="6"/>
  <c r="Q219" i="6" s="1"/>
  <c r="Q541" i="6" s="1"/>
  <c r="L219" i="6"/>
  <c r="L541" i="6" s="1"/>
  <c r="I220" i="6"/>
  <c r="I219" i="9"/>
  <c r="I541" i="9" s="1"/>
  <c r="G219" i="11"/>
  <c r="N219" i="11"/>
  <c r="N541" i="11" s="1"/>
  <c r="D220" i="13"/>
  <c r="O543" i="14"/>
  <c r="N524" i="23"/>
  <c r="F541" i="23"/>
  <c r="J532" i="18"/>
  <c r="J211" i="18"/>
  <c r="G532" i="18"/>
  <c r="G534" i="18" s="1"/>
  <c r="G211" i="18"/>
  <c r="G540" i="18" s="1"/>
  <c r="G541" i="19"/>
  <c r="J541" i="17"/>
  <c r="I541" i="11"/>
  <c r="G541" i="11"/>
  <c r="J6" i="6"/>
  <c r="J210" i="6" s="1"/>
  <c r="Q210" i="6"/>
  <c r="E220" i="6"/>
  <c r="E219" i="6" s="1"/>
  <c r="E541" i="6" s="1"/>
  <c r="L6" i="6"/>
  <c r="L210" i="6" s="1"/>
  <c r="J133" i="6"/>
  <c r="G133" i="6"/>
  <c r="J162" i="6"/>
  <c r="G162" i="6" s="1"/>
  <c r="H220" i="6"/>
  <c r="H219" i="6" s="1"/>
  <c r="Q162" i="6"/>
  <c r="G535" i="23"/>
  <c r="G541" i="23"/>
  <c r="G540" i="23"/>
  <c r="G534" i="23"/>
  <c r="I533" i="18"/>
  <c r="I535" i="18" s="1"/>
  <c r="I540" i="18"/>
  <c r="K524" i="18"/>
  <c r="K540" i="18" s="1"/>
  <c r="K533" i="18"/>
  <c r="D524" i="18"/>
  <c r="D541" i="18" s="1"/>
  <c r="D534" i="18"/>
  <c r="K7" i="19"/>
  <c r="K6" i="19" s="1"/>
  <c r="K210" i="19" s="1"/>
  <c r="F126" i="19"/>
  <c r="F7" i="19" s="1"/>
  <c r="F133" i="19"/>
  <c r="P6" i="19"/>
  <c r="P210" i="19" s="1"/>
  <c r="R220" i="19"/>
  <c r="F219" i="19"/>
  <c r="F541" i="19" s="1"/>
  <c r="R219" i="19"/>
  <c r="I541" i="19"/>
  <c r="F536" i="18"/>
  <c r="E163" i="18"/>
  <c r="L163" i="18" s="1"/>
  <c r="F537" i="18"/>
  <c r="E468" i="18"/>
  <c r="L468" i="18" s="1"/>
  <c r="H532" i="18"/>
  <c r="H211" i="18"/>
  <c r="I541" i="18"/>
  <c r="H533" i="18"/>
  <c r="H524" i="18"/>
  <c r="E10" i="18"/>
  <c r="L10" i="18" s="1"/>
  <c r="F9" i="18"/>
  <c r="E221" i="18"/>
  <c r="L221" i="18" s="1"/>
  <c r="F220" i="18"/>
  <c r="F219" i="17"/>
  <c r="F541" i="17" s="1"/>
  <c r="R220" i="17"/>
  <c r="G247" i="17"/>
  <c r="G220" i="17" s="1"/>
  <c r="G219" i="17" s="1"/>
  <c r="G541" i="17" s="1"/>
  <c r="R219" i="17"/>
  <c r="I541" i="17"/>
  <c r="J543" i="14"/>
  <c r="J547" i="14"/>
  <c r="I541" i="14"/>
  <c r="I547" i="14" s="1"/>
  <c r="F219" i="14"/>
  <c r="F541" i="14" s="1"/>
  <c r="R220" i="14"/>
  <c r="G219" i="14"/>
  <c r="G541" i="14" s="1"/>
  <c r="L417" i="13"/>
  <c r="I533" i="13"/>
  <c r="I535" i="13" s="1"/>
  <c r="J534" i="13"/>
  <c r="I540" i="13"/>
  <c r="K524" i="13"/>
  <c r="K541" i="13" s="1"/>
  <c r="K533" i="13"/>
  <c r="K535" i="13" s="1"/>
  <c r="G524" i="13"/>
  <c r="G533" i="13"/>
  <c r="F537" i="13"/>
  <c r="E468" i="13"/>
  <c r="L468" i="13" s="1"/>
  <c r="D524" i="13"/>
  <c r="D541" i="13" s="1"/>
  <c r="D533" i="13"/>
  <c r="D535" i="13" s="1"/>
  <c r="H534" i="13"/>
  <c r="H540" i="13"/>
  <c r="E10" i="13"/>
  <c r="L10" i="13" s="1"/>
  <c r="F9" i="13"/>
  <c r="J535" i="13"/>
  <c r="F536" i="13"/>
  <c r="E163" i="13"/>
  <c r="L163" i="13" s="1"/>
  <c r="F220" i="13"/>
  <c r="E221" i="13"/>
  <c r="L221" i="13" s="1"/>
  <c r="F7" i="11"/>
  <c r="F6" i="11" s="1"/>
  <c r="F210" i="11" s="1"/>
  <c r="R220" i="11"/>
  <c r="H541" i="11"/>
  <c r="R219" i="11"/>
  <c r="H7" i="9"/>
  <c r="H6" i="9" s="1"/>
  <c r="H210" i="9" s="1"/>
  <c r="F126" i="9"/>
  <c r="F7" i="9" s="1"/>
  <c r="F6" i="9" s="1"/>
  <c r="F210" i="9" s="1"/>
  <c r="D211" i="10"/>
  <c r="K211" i="10"/>
  <c r="J532" i="10"/>
  <c r="J534" i="10" s="1"/>
  <c r="I524" i="10"/>
  <c r="I541" i="10" s="1"/>
  <c r="D524" i="10"/>
  <c r="K524" i="10"/>
  <c r="K540" i="10" s="1"/>
  <c r="I534" i="10"/>
  <c r="G533" i="10"/>
  <c r="K535" i="10"/>
  <c r="J540" i="10"/>
  <c r="K534" i="10"/>
  <c r="D534" i="10"/>
  <c r="H534" i="10"/>
  <c r="E537" i="10"/>
  <c r="G211" i="10"/>
  <c r="G540" i="10" s="1"/>
  <c r="G532" i="10"/>
  <c r="E163" i="10"/>
  <c r="L163" i="10" s="1"/>
  <c r="F536" i="10"/>
  <c r="H524" i="10"/>
  <c r="I535" i="10"/>
  <c r="D535" i="10"/>
  <c r="H539" i="10"/>
  <c r="H538" i="10"/>
  <c r="E10" i="10"/>
  <c r="L10" i="10" s="1"/>
  <c r="F9" i="10"/>
  <c r="E468" i="10"/>
  <c r="L468" i="10" s="1"/>
  <c r="E221" i="10"/>
  <c r="L221" i="10" s="1"/>
  <c r="F220" i="10"/>
  <c r="J541" i="10"/>
  <c r="G219" i="9"/>
  <c r="G541" i="9" s="1"/>
  <c r="I210" i="9"/>
  <c r="F219" i="9"/>
  <c r="F541" i="9" s="1"/>
  <c r="R220" i="9"/>
  <c r="R219" i="9"/>
  <c r="H541" i="9"/>
  <c r="F247" i="6"/>
  <c r="F220" i="6" s="1"/>
  <c r="F219" i="6" s="1"/>
  <c r="F541" i="6" s="1"/>
  <c r="P219" i="6"/>
  <c r="P541" i="6" s="1"/>
  <c r="G434" i="6"/>
  <c r="J219" i="6"/>
  <c r="J541" i="6" s="1"/>
  <c r="F126" i="6"/>
  <c r="H7" i="6"/>
  <c r="H6" i="6" s="1"/>
  <c r="H210" i="6" s="1"/>
  <c r="K7" i="6"/>
  <c r="K6" i="6" s="1"/>
  <c r="K210" i="6" s="1"/>
  <c r="G163" i="6"/>
  <c r="G8" i="6"/>
  <c r="G7" i="6" s="1"/>
  <c r="G6" i="6" s="1"/>
  <c r="G210" i="6" s="1"/>
  <c r="I7" i="6"/>
  <c r="F120" i="6"/>
  <c r="F86" i="6" s="1"/>
  <c r="G474" i="6"/>
  <c r="I133" i="6"/>
  <c r="F122" i="6"/>
  <c r="O6" i="6"/>
  <c r="O210" i="6" s="1"/>
  <c r="G486" i="6"/>
  <c r="I485" i="6"/>
  <c r="G485" i="6" s="1"/>
  <c r="G515" i="6"/>
  <c r="H541" i="6"/>
  <c r="M247" i="6"/>
  <c r="M220" i="6" s="1"/>
  <c r="M219" i="6" s="1"/>
  <c r="M541" i="6" s="1"/>
  <c r="I434" i="6"/>
  <c r="I219" i="6" s="1"/>
  <c r="F443" i="4"/>
  <c r="H447" i="4"/>
  <c r="G540" i="4"/>
  <c r="Q539" i="4"/>
  <c r="O539" i="4"/>
  <c r="N539" i="4"/>
  <c r="L539" i="4"/>
  <c r="J539" i="4"/>
  <c r="I539" i="4"/>
  <c r="E539" i="4"/>
  <c r="G538" i="4"/>
  <c r="G537" i="4"/>
  <c r="G536" i="4"/>
  <c r="G535" i="4"/>
  <c r="G534" i="4"/>
  <c r="G533" i="4"/>
  <c r="G532" i="4"/>
  <c r="G531" i="4"/>
  <c r="Q530" i="4"/>
  <c r="O530" i="4"/>
  <c r="N530" i="4"/>
  <c r="L530" i="4"/>
  <c r="J530" i="4"/>
  <c r="I530" i="4"/>
  <c r="E530" i="4"/>
  <c r="G529" i="4"/>
  <c r="G528" i="4"/>
  <c r="G527" i="4"/>
  <c r="G526" i="4"/>
  <c r="G525" i="4"/>
  <c r="G524" i="4"/>
  <c r="G523" i="4"/>
  <c r="G522" i="4"/>
  <c r="G517" i="4"/>
  <c r="Q516" i="4"/>
  <c r="O516" i="4"/>
  <c r="N516" i="4"/>
  <c r="L516" i="4"/>
  <c r="J516" i="4"/>
  <c r="I516" i="4"/>
  <c r="E516" i="4"/>
  <c r="G514" i="4"/>
  <c r="Q513" i="4"/>
  <c r="O513" i="4"/>
  <c r="N513" i="4"/>
  <c r="L513" i="4"/>
  <c r="J513" i="4"/>
  <c r="I513" i="4"/>
  <c r="E513" i="4"/>
  <c r="G512" i="4"/>
  <c r="Q511" i="4"/>
  <c r="O511" i="4"/>
  <c r="N511" i="4"/>
  <c r="L511" i="4"/>
  <c r="J511" i="4"/>
  <c r="I511" i="4"/>
  <c r="E511" i="4"/>
  <c r="G510" i="4"/>
  <c r="Q509" i="4"/>
  <c r="O509" i="4"/>
  <c r="N509" i="4"/>
  <c r="L509" i="4"/>
  <c r="J509" i="4"/>
  <c r="I509" i="4"/>
  <c r="E509" i="4"/>
  <c r="G508" i="4"/>
  <c r="G507" i="4"/>
  <c r="G506" i="4"/>
  <c r="G505" i="4"/>
  <c r="G504" i="4"/>
  <c r="G503" i="4"/>
  <c r="G502" i="4"/>
  <c r="Q501" i="4"/>
  <c r="O501" i="4"/>
  <c r="N501" i="4"/>
  <c r="L501" i="4"/>
  <c r="J501" i="4"/>
  <c r="I501" i="4"/>
  <c r="E501" i="4"/>
  <c r="G500" i="4"/>
  <c r="G499" i="4"/>
  <c r="G498" i="4"/>
  <c r="G497" i="4"/>
  <c r="G496" i="4"/>
  <c r="G495" i="4"/>
  <c r="G490" i="4"/>
  <c r="G489" i="4"/>
  <c r="G488" i="4"/>
  <c r="Q487" i="4"/>
  <c r="O487" i="4"/>
  <c r="N487" i="4"/>
  <c r="L487" i="4"/>
  <c r="J487" i="4"/>
  <c r="I487" i="4"/>
  <c r="E487" i="4"/>
  <c r="E486" i="4" s="1"/>
  <c r="O486" i="4"/>
  <c r="G484" i="4"/>
  <c r="Q483" i="4"/>
  <c r="Q482" i="4" s="1"/>
  <c r="O483" i="4"/>
  <c r="N483" i="4"/>
  <c r="N482" i="4" s="1"/>
  <c r="L483" i="4"/>
  <c r="L482" i="4" s="1"/>
  <c r="J483" i="4"/>
  <c r="J482" i="4" s="1"/>
  <c r="I483" i="4"/>
  <c r="I482" i="4" s="1"/>
  <c r="E483" i="4"/>
  <c r="O482" i="4"/>
  <c r="E482" i="4"/>
  <c r="G481" i="4"/>
  <c r="G480" i="4"/>
  <c r="Q479" i="4"/>
  <c r="O479" i="4"/>
  <c r="N479" i="4"/>
  <c r="L479" i="4"/>
  <c r="J479" i="4"/>
  <c r="I479" i="4"/>
  <c r="E479" i="4"/>
  <c r="G478" i="4"/>
  <c r="Q477" i="4"/>
  <c r="O477" i="4"/>
  <c r="N477" i="4"/>
  <c r="L477" i="4"/>
  <c r="J477" i="4"/>
  <c r="I477" i="4"/>
  <c r="E477" i="4"/>
  <c r="G476" i="4"/>
  <c r="Q475" i="4"/>
  <c r="O475" i="4"/>
  <c r="N475" i="4"/>
  <c r="L475" i="4"/>
  <c r="J475" i="4"/>
  <c r="I475" i="4"/>
  <c r="I474" i="4" s="1"/>
  <c r="E475" i="4"/>
  <c r="E474" i="4" s="1"/>
  <c r="G473" i="4"/>
  <c r="Q472" i="4"/>
  <c r="Q471" i="4" s="1"/>
  <c r="O472" i="4"/>
  <c r="O471" i="4" s="1"/>
  <c r="N472" i="4"/>
  <c r="N471" i="4" s="1"/>
  <c r="L472" i="4"/>
  <c r="J472" i="4"/>
  <c r="J471" i="4" s="1"/>
  <c r="I472" i="4"/>
  <c r="I471" i="4" s="1"/>
  <c r="E472" i="4"/>
  <c r="L471" i="4"/>
  <c r="E471" i="4"/>
  <c r="G470" i="4"/>
  <c r="Q469" i="4"/>
  <c r="O469" i="4"/>
  <c r="N469" i="4"/>
  <c r="L469" i="4"/>
  <c r="J469" i="4"/>
  <c r="I469" i="4"/>
  <c r="E469" i="4"/>
  <c r="G468" i="4"/>
  <c r="G467" i="4"/>
  <c r="G462" i="4"/>
  <c r="Q461" i="4"/>
  <c r="O461" i="4"/>
  <c r="N461" i="4"/>
  <c r="L461" i="4"/>
  <c r="L458" i="4" s="1"/>
  <c r="J461" i="4"/>
  <c r="I461" i="4"/>
  <c r="E461" i="4"/>
  <c r="G460" i="4"/>
  <c r="Q459" i="4"/>
  <c r="O459" i="4"/>
  <c r="N459" i="4"/>
  <c r="L459" i="4"/>
  <c r="J459" i="4"/>
  <c r="I459" i="4"/>
  <c r="I458" i="4" s="1"/>
  <c r="E459" i="4"/>
  <c r="O458" i="4"/>
  <c r="G457" i="4"/>
  <c r="F457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G455" i="4"/>
  <c r="Q454" i="4"/>
  <c r="O454" i="4"/>
  <c r="N454" i="4"/>
  <c r="L454" i="4"/>
  <c r="J454" i="4"/>
  <c r="I454" i="4"/>
  <c r="E454" i="4"/>
  <c r="G453" i="4"/>
  <c r="Q452" i="4"/>
  <c r="O452" i="4"/>
  <c r="N452" i="4"/>
  <c r="L452" i="4"/>
  <c r="J452" i="4"/>
  <c r="I452" i="4"/>
  <c r="G452" i="4"/>
  <c r="E452" i="4"/>
  <c r="G451" i="4"/>
  <c r="G450" i="4"/>
  <c r="G449" i="4"/>
  <c r="G448" i="4"/>
  <c r="P447" i="4"/>
  <c r="G447" i="4" s="1"/>
  <c r="G446" i="4"/>
  <c r="G445" i="4"/>
  <c r="T444" i="4"/>
  <c r="P444" i="4"/>
  <c r="F444" i="4" s="1"/>
  <c r="G442" i="4"/>
  <c r="Q441" i="4"/>
  <c r="O441" i="4"/>
  <c r="N441" i="4"/>
  <c r="M441" i="4"/>
  <c r="L441" i="4"/>
  <c r="K441" i="4"/>
  <c r="J441" i="4"/>
  <c r="I441" i="4"/>
  <c r="H441" i="4"/>
  <c r="E441" i="4"/>
  <c r="G440" i="4"/>
  <c r="G439" i="4"/>
  <c r="F439" i="4"/>
  <c r="F436" i="4" s="1"/>
  <c r="G438" i="4"/>
  <c r="G437" i="4"/>
  <c r="Q436" i="4"/>
  <c r="P436" i="4"/>
  <c r="O436" i="4"/>
  <c r="N436" i="4"/>
  <c r="M436" i="4"/>
  <c r="L436" i="4"/>
  <c r="K436" i="4"/>
  <c r="J436" i="4"/>
  <c r="I436" i="4"/>
  <c r="H436" i="4"/>
  <c r="H435" i="4" s="1"/>
  <c r="H434" i="4" s="1"/>
  <c r="E436" i="4"/>
  <c r="E435" i="4"/>
  <c r="G433" i="4"/>
  <c r="Q432" i="4"/>
  <c r="O432" i="4"/>
  <c r="N432" i="4"/>
  <c r="L432" i="4"/>
  <c r="J432" i="4"/>
  <c r="I432" i="4"/>
  <c r="E432" i="4"/>
  <c r="G427" i="4"/>
  <c r="Q426" i="4"/>
  <c r="O426" i="4"/>
  <c r="N426" i="4"/>
  <c r="L426" i="4"/>
  <c r="J426" i="4"/>
  <c r="I426" i="4"/>
  <c r="E426" i="4"/>
  <c r="G425" i="4"/>
  <c r="G424" i="4"/>
  <c r="Q423" i="4"/>
  <c r="O423" i="4"/>
  <c r="N423" i="4"/>
  <c r="L423" i="4"/>
  <c r="J423" i="4"/>
  <c r="I423" i="4"/>
  <c r="E423" i="4"/>
  <c r="G422" i="4"/>
  <c r="F422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G420" i="4"/>
  <c r="F420" i="4"/>
  <c r="G419" i="4"/>
  <c r="G417" i="4" s="1"/>
  <c r="F419" i="4"/>
  <c r="G418" i="4"/>
  <c r="F418" i="4"/>
  <c r="Q417" i="4"/>
  <c r="P417" i="4"/>
  <c r="O417" i="4"/>
  <c r="N417" i="4"/>
  <c r="M417" i="4"/>
  <c r="L417" i="4"/>
  <c r="K417" i="4"/>
  <c r="J417" i="4"/>
  <c r="I417" i="4"/>
  <c r="H417" i="4"/>
  <c r="E417" i="4"/>
  <c r="G416" i="4"/>
  <c r="F416" i="4"/>
  <c r="G415" i="4"/>
  <c r="Q414" i="4"/>
  <c r="P414" i="4"/>
  <c r="O414" i="4"/>
  <c r="N414" i="4"/>
  <c r="M414" i="4"/>
  <c r="L414" i="4"/>
  <c r="K414" i="4"/>
  <c r="J414" i="4"/>
  <c r="I414" i="4"/>
  <c r="H414" i="4"/>
  <c r="F414" i="4"/>
  <c r="E414" i="4"/>
  <c r="G412" i="4"/>
  <c r="G411" i="4"/>
  <c r="G410" i="4"/>
  <c r="G409" i="4"/>
  <c r="G408" i="4"/>
  <c r="G407" i="4"/>
  <c r="G406" i="4"/>
  <c r="G405" i="4"/>
  <c r="G404" i="4"/>
  <c r="Q399" i="4"/>
  <c r="O399" i="4"/>
  <c r="N399" i="4"/>
  <c r="L399" i="4"/>
  <c r="J399" i="4"/>
  <c r="I399" i="4"/>
  <c r="E399" i="4"/>
  <c r="G398" i="4"/>
  <c r="G397" i="4"/>
  <c r="G396" i="4"/>
  <c r="Q395" i="4"/>
  <c r="O395" i="4"/>
  <c r="N395" i="4"/>
  <c r="L395" i="4"/>
  <c r="J395" i="4"/>
  <c r="J394" i="4" s="1"/>
  <c r="I395" i="4"/>
  <c r="I394" i="4" s="1"/>
  <c r="E395" i="4"/>
  <c r="G393" i="4"/>
  <c r="G392" i="4"/>
  <c r="F392" i="4"/>
  <c r="F391" i="4" s="1"/>
  <c r="F374" i="4" s="1"/>
  <c r="Q391" i="4"/>
  <c r="P391" i="4"/>
  <c r="P374" i="4" s="1"/>
  <c r="O391" i="4"/>
  <c r="N391" i="4"/>
  <c r="M391" i="4"/>
  <c r="M374" i="4" s="1"/>
  <c r="L391" i="4"/>
  <c r="K391" i="4"/>
  <c r="K374" i="4" s="1"/>
  <c r="J391" i="4"/>
  <c r="I391" i="4"/>
  <c r="H391" i="4"/>
  <c r="E391" i="4"/>
  <c r="G390" i="4"/>
  <c r="G389" i="4"/>
  <c r="Q388" i="4"/>
  <c r="O388" i="4"/>
  <c r="N388" i="4"/>
  <c r="L388" i="4"/>
  <c r="J388" i="4"/>
  <c r="I388" i="4"/>
  <c r="E388" i="4"/>
  <c r="G387" i="4"/>
  <c r="G386" i="4"/>
  <c r="Q385" i="4"/>
  <c r="O385" i="4"/>
  <c r="N385" i="4"/>
  <c r="L385" i="4"/>
  <c r="J385" i="4"/>
  <c r="I385" i="4"/>
  <c r="E385" i="4"/>
  <c r="G384" i="4"/>
  <c r="G383" i="4"/>
  <c r="Q382" i="4"/>
  <c r="O382" i="4"/>
  <c r="N382" i="4"/>
  <c r="L382" i="4"/>
  <c r="J382" i="4"/>
  <c r="I382" i="4"/>
  <c r="E382" i="4"/>
  <c r="G381" i="4"/>
  <c r="G380" i="4"/>
  <c r="Q379" i="4"/>
  <c r="O379" i="4"/>
  <c r="N379" i="4"/>
  <c r="L379" i="4"/>
  <c r="J379" i="4"/>
  <c r="I379" i="4"/>
  <c r="E379" i="4"/>
  <c r="H374" i="4"/>
  <c r="G373" i="4"/>
  <c r="G372" i="4"/>
  <c r="Q371" i="4"/>
  <c r="O371" i="4"/>
  <c r="N371" i="4"/>
  <c r="L371" i="4"/>
  <c r="J371" i="4"/>
  <c r="I371" i="4"/>
  <c r="E371" i="4"/>
  <c r="G370" i="4"/>
  <c r="G369" i="4"/>
  <c r="Q368" i="4"/>
  <c r="O368" i="4"/>
  <c r="N368" i="4"/>
  <c r="L368" i="4"/>
  <c r="J368" i="4"/>
  <c r="I368" i="4"/>
  <c r="E368" i="4"/>
  <c r="G367" i="4"/>
  <c r="G366" i="4"/>
  <c r="Q365" i="4"/>
  <c r="O365" i="4"/>
  <c r="N365" i="4"/>
  <c r="L365" i="4"/>
  <c r="J365" i="4"/>
  <c r="I365" i="4"/>
  <c r="E365" i="4"/>
  <c r="G364" i="4"/>
  <c r="G363" i="4"/>
  <c r="Q362" i="4"/>
  <c r="O362" i="4"/>
  <c r="N362" i="4"/>
  <c r="L362" i="4"/>
  <c r="J362" i="4"/>
  <c r="I362" i="4"/>
  <c r="E362" i="4"/>
  <c r="G360" i="4"/>
  <c r="G359" i="4"/>
  <c r="G358" i="4"/>
  <c r="Q357" i="4"/>
  <c r="O357" i="4"/>
  <c r="N357" i="4"/>
  <c r="L357" i="4"/>
  <c r="J357" i="4"/>
  <c r="I357" i="4"/>
  <c r="E357" i="4"/>
  <c r="G356" i="4"/>
  <c r="Q355" i="4"/>
  <c r="O355" i="4"/>
  <c r="N355" i="4"/>
  <c r="L355" i="4"/>
  <c r="J355" i="4"/>
  <c r="I355" i="4"/>
  <c r="E355" i="4"/>
  <c r="G354" i="4"/>
  <c r="G353" i="4"/>
  <c r="G348" i="4"/>
  <c r="G347" i="4"/>
  <c r="G346" i="4"/>
  <c r="G345" i="4"/>
  <c r="Q344" i="4"/>
  <c r="O344" i="4"/>
  <c r="N344" i="4"/>
  <c r="L344" i="4"/>
  <c r="J344" i="4"/>
  <c r="I344" i="4"/>
  <c r="E344" i="4"/>
  <c r="G343" i="4"/>
  <c r="G342" i="4"/>
  <c r="G341" i="4"/>
  <c r="G340" i="4"/>
  <c r="G339" i="4"/>
  <c r="F339" i="4"/>
  <c r="F334" i="4" s="1"/>
  <c r="F333" i="4" s="1"/>
  <c r="G338" i="4"/>
  <c r="G337" i="4"/>
  <c r="G336" i="4"/>
  <c r="G335" i="4"/>
  <c r="Q334" i="4"/>
  <c r="P334" i="4"/>
  <c r="P333" i="4" s="1"/>
  <c r="O334" i="4"/>
  <c r="N334" i="4"/>
  <c r="M334" i="4"/>
  <c r="M333" i="4" s="1"/>
  <c r="L334" i="4"/>
  <c r="K334" i="4"/>
  <c r="K333" i="4" s="1"/>
  <c r="J334" i="4"/>
  <c r="I334" i="4"/>
  <c r="H334" i="4"/>
  <c r="H333" i="4" s="1"/>
  <c r="E334" i="4"/>
  <c r="G332" i="4"/>
  <c r="Q331" i="4"/>
  <c r="O331" i="4"/>
  <c r="N331" i="4"/>
  <c r="L331" i="4"/>
  <c r="J331" i="4"/>
  <c r="I331" i="4"/>
  <c r="E331" i="4"/>
  <c r="G330" i="4"/>
  <c r="G329" i="4"/>
  <c r="G328" i="4"/>
  <c r="Q327" i="4"/>
  <c r="O327" i="4"/>
  <c r="N327" i="4"/>
  <c r="L327" i="4"/>
  <c r="J327" i="4"/>
  <c r="I327" i="4"/>
  <c r="E327" i="4"/>
  <c r="G326" i="4"/>
  <c r="Q325" i="4"/>
  <c r="O325" i="4"/>
  <c r="N325" i="4"/>
  <c r="L325" i="4"/>
  <c r="J325" i="4"/>
  <c r="I325" i="4"/>
  <c r="E325" i="4"/>
  <c r="G324" i="4"/>
  <c r="Q323" i="4"/>
  <c r="O323" i="4"/>
  <c r="N323" i="4"/>
  <c r="L323" i="4"/>
  <c r="J323" i="4"/>
  <c r="I323" i="4"/>
  <c r="E323" i="4"/>
  <c r="G318" i="4"/>
  <c r="G317" i="4"/>
  <c r="G316" i="4"/>
  <c r="Q315" i="4"/>
  <c r="O315" i="4"/>
  <c r="N315" i="4"/>
  <c r="L315" i="4"/>
  <c r="J315" i="4"/>
  <c r="I315" i="4"/>
  <c r="E315" i="4"/>
  <c r="N313" i="4"/>
  <c r="M313" i="4"/>
  <c r="H313" i="4"/>
  <c r="N312" i="4"/>
  <c r="G312" i="4" s="1"/>
  <c r="F312" i="4"/>
  <c r="G311" i="4"/>
  <c r="F311" i="4"/>
  <c r="F310" i="4"/>
  <c r="F309" i="4"/>
  <c r="F308" i="4"/>
  <c r="F307" i="4"/>
  <c r="M306" i="4"/>
  <c r="F306" i="4" s="1"/>
  <c r="F305" i="4"/>
  <c r="F304" i="4"/>
  <c r="M302" i="4"/>
  <c r="F302" i="4" s="1"/>
  <c r="M301" i="4"/>
  <c r="F301" i="4" s="1"/>
  <c r="F299" i="4"/>
  <c r="F298" i="4"/>
  <c r="F297" i="4"/>
  <c r="F296" i="4"/>
  <c r="M295" i="4"/>
  <c r="M294" i="4" s="1"/>
  <c r="M293" i="4"/>
  <c r="G292" i="4"/>
  <c r="G291" i="4"/>
  <c r="N290" i="4"/>
  <c r="M290" i="4"/>
  <c r="F290" i="4" s="1"/>
  <c r="G289" i="4"/>
  <c r="F289" i="4"/>
  <c r="G288" i="4"/>
  <c r="G287" i="4"/>
  <c r="F287" i="4"/>
  <c r="Q286" i="4"/>
  <c r="O286" i="4"/>
  <c r="L286" i="4"/>
  <c r="K286" i="4"/>
  <c r="J286" i="4"/>
  <c r="I286" i="4"/>
  <c r="H286" i="4"/>
  <c r="E286" i="4"/>
  <c r="N285" i="4"/>
  <c r="N283" i="4" s="1"/>
  <c r="M285" i="4"/>
  <c r="F285" i="4" s="1"/>
  <c r="G284" i="4"/>
  <c r="F284" i="4"/>
  <c r="Q283" i="4"/>
  <c r="P283" i="4"/>
  <c r="O283" i="4"/>
  <c r="L283" i="4"/>
  <c r="K283" i="4"/>
  <c r="J283" i="4"/>
  <c r="I283" i="4"/>
  <c r="H283" i="4"/>
  <c r="E283" i="4"/>
  <c r="P282" i="4"/>
  <c r="G282" i="4" s="1"/>
  <c r="P281" i="4"/>
  <c r="G281" i="4" s="1"/>
  <c r="G280" i="4"/>
  <c r="G279" i="4"/>
  <c r="M278" i="4"/>
  <c r="F278" i="4" s="1"/>
  <c r="G277" i="4"/>
  <c r="G276" i="4"/>
  <c r="Q275" i="4"/>
  <c r="O275" i="4"/>
  <c r="N275" i="4"/>
  <c r="L275" i="4"/>
  <c r="K275" i="4"/>
  <c r="J275" i="4"/>
  <c r="I275" i="4"/>
  <c r="H275" i="4"/>
  <c r="E275" i="4"/>
  <c r="G274" i="4"/>
  <c r="F274" i="4"/>
  <c r="G269" i="4"/>
  <c r="F269" i="4"/>
  <c r="G268" i="4"/>
  <c r="G267" i="4"/>
  <c r="F267" i="4"/>
  <c r="G266" i="4"/>
  <c r="F266" i="4"/>
  <c r="P265" i="4"/>
  <c r="F265" i="4" s="1"/>
  <c r="M264" i="4"/>
  <c r="F264" i="4" s="1"/>
  <c r="G263" i="4"/>
  <c r="Q262" i="4"/>
  <c r="P262" i="4"/>
  <c r="O262" i="4"/>
  <c r="N262" i="4"/>
  <c r="M262" i="4"/>
  <c r="L262" i="4"/>
  <c r="K262" i="4"/>
  <c r="J262" i="4"/>
  <c r="I262" i="4"/>
  <c r="H262" i="4"/>
  <c r="E262" i="4"/>
  <c r="G261" i="4"/>
  <c r="G260" i="4"/>
  <c r="G259" i="4"/>
  <c r="G258" i="4"/>
  <c r="G257" i="4"/>
  <c r="F257" i="4"/>
  <c r="F256" i="4" s="1"/>
  <c r="Q256" i="4"/>
  <c r="P256" i="4"/>
  <c r="O256" i="4"/>
  <c r="N256" i="4"/>
  <c r="M256" i="4"/>
  <c r="L256" i="4"/>
  <c r="K256" i="4"/>
  <c r="J256" i="4"/>
  <c r="I256" i="4"/>
  <c r="H256" i="4"/>
  <c r="E256" i="4"/>
  <c r="G255" i="4"/>
  <c r="G254" i="4"/>
  <c r="M253" i="4"/>
  <c r="F253" i="4" s="1"/>
  <c r="M252" i="4"/>
  <c r="G252" i="4" s="1"/>
  <c r="P251" i="4"/>
  <c r="M251" i="4"/>
  <c r="M250" i="4"/>
  <c r="F250" i="4" s="1"/>
  <c r="G249" i="4"/>
  <c r="F249" i="4"/>
  <c r="Q248" i="4"/>
  <c r="O248" i="4"/>
  <c r="N248" i="4"/>
  <c r="L248" i="4"/>
  <c r="K248" i="4"/>
  <c r="J248" i="4"/>
  <c r="I248" i="4"/>
  <c r="H248" i="4"/>
  <c r="E248" i="4"/>
  <c r="G246" i="4"/>
  <c r="Q245" i="4"/>
  <c r="O245" i="4"/>
  <c r="N245" i="4"/>
  <c r="L245" i="4"/>
  <c r="J245" i="4"/>
  <c r="I245" i="4"/>
  <c r="E245" i="4"/>
  <c r="G244" i="4"/>
  <c r="Q243" i="4"/>
  <c r="O243" i="4"/>
  <c r="N243" i="4"/>
  <c r="L243" i="4"/>
  <c r="J243" i="4"/>
  <c r="I243" i="4"/>
  <c r="E243" i="4"/>
  <c r="G242" i="4"/>
  <c r="F242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G240" i="4"/>
  <c r="F240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G238" i="4"/>
  <c r="F238" i="4"/>
  <c r="M233" i="4"/>
  <c r="G233" i="4" s="1"/>
  <c r="G232" i="4"/>
  <c r="G231" i="4"/>
  <c r="Q230" i="4"/>
  <c r="P230" i="4"/>
  <c r="O230" i="4"/>
  <c r="N230" i="4"/>
  <c r="L230" i="4"/>
  <c r="K230" i="4"/>
  <c r="J230" i="4"/>
  <c r="I230" i="4"/>
  <c r="H230" i="4"/>
  <c r="E230" i="4"/>
  <c r="G229" i="4"/>
  <c r="Q228" i="4"/>
  <c r="O228" i="4"/>
  <c r="N228" i="4"/>
  <c r="L228" i="4"/>
  <c r="J228" i="4"/>
  <c r="I228" i="4"/>
  <c r="E228" i="4"/>
  <c r="G227" i="4"/>
  <c r="N226" i="4"/>
  <c r="G226" i="4" s="1"/>
  <c r="F226" i="4"/>
  <c r="E226" i="4"/>
  <c r="N225" i="4"/>
  <c r="F225" i="4"/>
  <c r="E225" i="4"/>
  <c r="Q224" i="4"/>
  <c r="P224" i="4"/>
  <c r="O224" i="4"/>
  <c r="M224" i="4"/>
  <c r="L224" i="4"/>
  <c r="K224" i="4"/>
  <c r="J224" i="4"/>
  <c r="I224" i="4"/>
  <c r="H224" i="4"/>
  <c r="R223" i="4"/>
  <c r="N223" i="4"/>
  <c r="N222" i="4" s="1"/>
  <c r="F223" i="4"/>
  <c r="F222" i="4" s="1"/>
  <c r="E223" i="4"/>
  <c r="Q222" i="4"/>
  <c r="P222" i="4"/>
  <c r="O222" i="4"/>
  <c r="M222" i="4"/>
  <c r="L222" i="4"/>
  <c r="K222" i="4"/>
  <c r="J222" i="4"/>
  <c r="I222" i="4"/>
  <c r="H222" i="4"/>
  <c r="E222" i="4"/>
  <c r="G209" i="4"/>
  <c r="G208" i="4"/>
  <c r="G207" i="4"/>
  <c r="G202" i="4"/>
  <c r="G201" i="4"/>
  <c r="G200" i="4"/>
  <c r="G199" i="4"/>
  <c r="G198" i="4"/>
  <c r="Q197" i="4"/>
  <c r="O197" i="4"/>
  <c r="O186" i="4" s="1"/>
  <c r="N197" i="4"/>
  <c r="L197" i="4"/>
  <c r="J197" i="4"/>
  <c r="I197" i="4"/>
  <c r="E197" i="4"/>
  <c r="G196" i="4"/>
  <c r="G195" i="4"/>
  <c r="G194" i="4"/>
  <c r="G193" i="4"/>
  <c r="G192" i="4"/>
  <c r="G191" i="4"/>
  <c r="G190" i="4"/>
  <c r="G189" i="4"/>
  <c r="G188" i="4"/>
  <c r="Q187" i="4"/>
  <c r="Q186" i="4" s="1"/>
  <c r="O187" i="4"/>
  <c r="N187" i="4"/>
  <c r="L187" i="4"/>
  <c r="J187" i="4"/>
  <c r="J186" i="4" s="1"/>
  <c r="I187" i="4"/>
  <c r="I186" i="4" s="1"/>
  <c r="E187" i="4"/>
  <c r="L186" i="4"/>
  <c r="G185" i="4"/>
  <c r="G180" i="4"/>
  <c r="G179" i="4"/>
  <c r="G178" i="4"/>
  <c r="G177" i="4"/>
  <c r="G176" i="4"/>
  <c r="G175" i="4"/>
  <c r="Q174" i="4"/>
  <c r="O174" i="4"/>
  <c r="N174" i="4"/>
  <c r="L174" i="4"/>
  <c r="J174" i="4"/>
  <c r="I174" i="4"/>
  <c r="E174" i="4"/>
  <c r="G173" i="4"/>
  <c r="G172" i="4"/>
  <c r="G171" i="4"/>
  <c r="G170" i="4"/>
  <c r="G169" i="4"/>
  <c r="G168" i="4"/>
  <c r="G167" i="4"/>
  <c r="G166" i="4"/>
  <c r="G165" i="4"/>
  <c r="Q164" i="4"/>
  <c r="O164" i="4"/>
  <c r="N164" i="4"/>
  <c r="L164" i="4"/>
  <c r="L163" i="4" s="1"/>
  <c r="L162" i="4" s="1"/>
  <c r="J164" i="4"/>
  <c r="J163" i="4" s="1"/>
  <c r="I164" i="4"/>
  <c r="E164" i="4"/>
  <c r="E163" i="4" s="1"/>
  <c r="O163" i="4"/>
  <c r="I163" i="4"/>
  <c r="G161" i="4"/>
  <c r="Q160" i="4"/>
  <c r="O160" i="4"/>
  <c r="N160" i="4"/>
  <c r="L160" i="4"/>
  <c r="J160" i="4"/>
  <c r="I160" i="4"/>
  <c r="E160" i="4"/>
  <c r="G159" i="4"/>
  <c r="Q154" i="4"/>
  <c r="O154" i="4"/>
  <c r="N154" i="4"/>
  <c r="L154" i="4"/>
  <c r="J154" i="4"/>
  <c r="I154" i="4"/>
  <c r="E154" i="4"/>
  <c r="G153" i="4"/>
  <c r="Q152" i="4"/>
  <c r="O152" i="4"/>
  <c r="N152" i="4"/>
  <c r="L152" i="4"/>
  <c r="J152" i="4"/>
  <c r="I152" i="4"/>
  <c r="E152" i="4"/>
  <c r="G150" i="4"/>
  <c r="Q149" i="4"/>
  <c r="Q148" i="4" s="1"/>
  <c r="O149" i="4"/>
  <c r="O148" i="4" s="1"/>
  <c r="N149" i="4"/>
  <c r="N148" i="4" s="1"/>
  <c r="L149" i="4"/>
  <c r="J149" i="4"/>
  <c r="J148" i="4" s="1"/>
  <c r="I149" i="4"/>
  <c r="I148" i="4" s="1"/>
  <c r="E149" i="4"/>
  <c r="E148" i="4" s="1"/>
  <c r="L148" i="4"/>
  <c r="G147" i="4"/>
  <c r="Q146" i="4"/>
  <c r="O146" i="4"/>
  <c r="N146" i="4"/>
  <c r="L146" i="4"/>
  <c r="J146" i="4"/>
  <c r="I146" i="4"/>
  <c r="E146" i="4"/>
  <c r="G145" i="4"/>
  <c r="Q144" i="4"/>
  <c r="O144" i="4"/>
  <c r="N144" i="4"/>
  <c r="L144" i="4"/>
  <c r="J144" i="4"/>
  <c r="I144" i="4"/>
  <c r="E144" i="4"/>
  <c r="G143" i="4"/>
  <c r="Q142" i="4"/>
  <c r="O142" i="4"/>
  <c r="N142" i="4"/>
  <c r="L142" i="4"/>
  <c r="J142" i="4"/>
  <c r="I142" i="4"/>
  <c r="E142" i="4"/>
  <c r="G140" i="4"/>
  <c r="Q139" i="4"/>
  <c r="O139" i="4"/>
  <c r="N139" i="4"/>
  <c r="L139" i="4"/>
  <c r="J139" i="4"/>
  <c r="I139" i="4"/>
  <c r="E139" i="4"/>
  <c r="G138" i="4"/>
  <c r="F138" i="4"/>
  <c r="Q137" i="4"/>
  <c r="P137" i="4"/>
  <c r="P134" i="4" s="1"/>
  <c r="P133" i="4" s="1"/>
  <c r="O137" i="4"/>
  <c r="N137" i="4"/>
  <c r="M137" i="4"/>
  <c r="M134" i="4" s="1"/>
  <c r="M133" i="4" s="1"/>
  <c r="L137" i="4"/>
  <c r="K137" i="4"/>
  <c r="J137" i="4"/>
  <c r="I137" i="4"/>
  <c r="H137" i="4"/>
  <c r="H134" i="4" s="1"/>
  <c r="H133" i="4" s="1"/>
  <c r="G137" i="4"/>
  <c r="E137" i="4"/>
  <c r="G136" i="4"/>
  <c r="F136" i="4"/>
  <c r="Q135" i="4"/>
  <c r="O135" i="4"/>
  <c r="N135" i="4"/>
  <c r="L135" i="4"/>
  <c r="L134" i="4" s="1"/>
  <c r="J135" i="4"/>
  <c r="I135" i="4"/>
  <c r="F135" i="4"/>
  <c r="E135" i="4"/>
  <c r="E134" i="4" s="1"/>
  <c r="G132" i="4"/>
  <c r="F132" i="4"/>
  <c r="F131" i="4"/>
  <c r="F130" i="4"/>
  <c r="F129" i="4"/>
  <c r="F128" i="4"/>
  <c r="Q127" i="4"/>
  <c r="P127" i="4"/>
  <c r="P126" i="4" s="1"/>
  <c r="O127" i="4"/>
  <c r="N127" i="4"/>
  <c r="N126" i="4" s="1"/>
  <c r="M127" i="4"/>
  <c r="M126" i="4" s="1"/>
  <c r="L127" i="4"/>
  <c r="L126" i="4" s="1"/>
  <c r="K127" i="4"/>
  <c r="K126" i="4" s="1"/>
  <c r="J127" i="4"/>
  <c r="J126" i="4" s="1"/>
  <c r="I127" i="4"/>
  <c r="I126" i="4" s="1"/>
  <c r="H127" i="4"/>
  <c r="G127" i="4"/>
  <c r="G126" i="4" s="1"/>
  <c r="E127" i="4"/>
  <c r="E126" i="4" s="1"/>
  <c r="Q126" i="4"/>
  <c r="O126" i="4"/>
  <c r="G125" i="4"/>
  <c r="F125" i="4"/>
  <c r="M124" i="4"/>
  <c r="F124" i="4" s="1"/>
  <c r="Q123" i="4"/>
  <c r="Q122" i="4" s="1"/>
  <c r="P123" i="4"/>
  <c r="P122" i="4" s="1"/>
  <c r="O123" i="4"/>
  <c r="O122" i="4" s="1"/>
  <c r="N123" i="4"/>
  <c r="N122" i="4" s="1"/>
  <c r="L123" i="4"/>
  <c r="L122" i="4" s="1"/>
  <c r="L120" i="4" s="1"/>
  <c r="K123" i="4"/>
  <c r="K122" i="4" s="1"/>
  <c r="K120" i="4" s="1"/>
  <c r="J123" i="4"/>
  <c r="I123" i="4"/>
  <c r="I122" i="4" s="1"/>
  <c r="I120" i="4" s="1"/>
  <c r="H123" i="4"/>
  <c r="E123" i="4"/>
  <c r="E122" i="4" s="1"/>
  <c r="E120" i="4" s="1"/>
  <c r="J122" i="4"/>
  <c r="J120" i="4" s="1"/>
  <c r="G119" i="4"/>
  <c r="Q118" i="4"/>
  <c r="O118" i="4"/>
  <c r="N118" i="4"/>
  <c r="L118" i="4"/>
  <c r="J118" i="4"/>
  <c r="I118" i="4"/>
  <c r="E118" i="4"/>
  <c r="G117" i="4"/>
  <c r="Q116" i="4"/>
  <c r="O116" i="4"/>
  <c r="N116" i="4"/>
  <c r="L116" i="4"/>
  <c r="J116" i="4"/>
  <c r="I116" i="4"/>
  <c r="E116" i="4"/>
  <c r="E115" i="4" s="1"/>
  <c r="G114" i="4"/>
  <c r="Q113" i="4"/>
  <c r="O113" i="4"/>
  <c r="N113" i="4"/>
  <c r="L113" i="4"/>
  <c r="J113" i="4"/>
  <c r="I113" i="4"/>
  <c r="E113" i="4"/>
  <c r="G112" i="4"/>
  <c r="G111" i="4"/>
  <c r="Q110" i="4"/>
  <c r="P110" i="4"/>
  <c r="O110" i="4"/>
  <c r="N110" i="4"/>
  <c r="M110" i="4"/>
  <c r="L110" i="4"/>
  <c r="K110" i="4"/>
  <c r="J110" i="4"/>
  <c r="I110" i="4"/>
  <c r="H110" i="4"/>
  <c r="E110" i="4"/>
  <c r="G109" i="4"/>
  <c r="G108" i="4"/>
  <c r="G107" i="4"/>
  <c r="G106" i="4"/>
  <c r="G105" i="4"/>
  <c r="G104" i="4"/>
  <c r="Q99" i="4"/>
  <c r="O99" i="4"/>
  <c r="N99" i="4"/>
  <c r="L99" i="4"/>
  <c r="J99" i="4"/>
  <c r="I99" i="4"/>
  <c r="E99" i="4"/>
  <c r="G98" i="4"/>
  <c r="G97" i="4"/>
  <c r="F97" i="4"/>
  <c r="G96" i="4"/>
  <c r="F96" i="4"/>
  <c r="G95" i="4"/>
  <c r="F95" i="4"/>
  <c r="Q94" i="4"/>
  <c r="P94" i="4"/>
  <c r="O94" i="4"/>
  <c r="N94" i="4"/>
  <c r="M94" i="4"/>
  <c r="L94" i="4"/>
  <c r="K94" i="4"/>
  <c r="J94" i="4"/>
  <c r="I94" i="4"/>
  <c r="H94" i="4"/>
  <c r="E94" i="4"/>
  <c r="G93" i="4"/>
  <c r="F93" i="4"/>
  <c r="G92" i="4"/>
  <c r="F92" i="4"/>
  <c r="G91" i="4"/>
  <c r="F91" i="4"/>
  <c r="F87" i="4" s="1"/>
  <c r="G90" i="4"/>
  <c r="G89" i="4"/>
  <c r="G88" i="4"/>
  <c r="Q87" i="4"/>
  <c r="P87" i="4"/>
  <c r="O87" i="4"/>
  <c r="N87" i="4"/>
  <c r="M87" i="4"/>
  <c r="L87" i="4"/>
  <c r="K87" i="4"/>
  <c r="J87" i="4"/>
  <c r="I87" i="4"/>
  <c r="H87" i="4"/>
  <c r="E87" i="4"/>
  <c r="E86" i="4" s="1"/>
  <c r="O86" i="4"/>
  <c r="G85" i="4"/>
  <c r="G84" i="4"/>
  <c r="Q83" i="4"/>
  <c r="O83" i="4"/>
  <c r="N83" i="4"/>
  <c r="L83" i="4"/>
  <c r="J83" i="4"/>
  <c r="I83" i="4"/>
  <c r="E83" i="4"/>
  <c r="G82" i="4"/>
  <c r="G81" i="4"/>
  <c r="G80" i="4"/>
  <c r="G79" i="4"/>
  <c r="Q78" i="4"/>
  <c r="O78" i="4"/>
  <c r="N78" i="4"/>
  <c r="L78" i="4"/>
  <c r="J78" i="4"/>
  <c r="I78" i="4"/>
  <c r="E78" i="4"/>
  <c r="G77" i="4"/>
  <c r="G76" i="4"/>
  <c r="Q75" i="4"/>
  <c r="O75" i="4"/>
  <c r="N75" i="4"/>
  <c r="L75" i="4"/>
  <c r="J75" i="4"/>
  <c r="I75" i="4"/>
  <c r="E75" i="4"/>
  <c r="G69" i="4"/>
  <c r="G68" i="4"/>
  <c r="G67" i="4"/>
  <c r="Q66" i="4"/>
  <c r="O66" i="4"/>
  <c r="N66" i="4"/>
  <c r="L66" i="4"/>
  <c r="J66" i="4"/>
  <c r="I66" i="4"/>
  <c r="E66" i="4"/>
  <c r="G65" i="4"/>
  <c r="G64" i="4"/>
  <c r="G63" i="4"/>
  <c r="G62" i="4"/>
  <c r="Q61" i="4"/>
  <c r="O61" i="4"/>
  <c r="N61" i="4"/>
  <c r="L61" i="4"/>
  <c r="J61" i="4"/>
  <c r="G61" i="4" s="1"/>
  <c r="I61" i="4"/>
  <c r="I60" i="4" s="1"/>
  <c r="E61" i="4"/>
  <c r="E60" i="4" s="1"/>
  <c r="G59" i="4"/>
  <c r="G58" i="4"/>
  <c r="G57" i="4"/>
  <c r="G56" i="4"/>
  <c r="G55" i="4"/>
  <c r="G54" i="4"/>
  <c r="Q53" i="4"/>
  <c r="O53" i="4"/>
  <c r="N53" i="4"/>
  <c r="L53" i="4"/>
  <c r="J53" i="4"/>
  <c r="I53" i="4"/>
  <c r="E53" i="4"/>
  <c r="G52" i="4"/>
  <c r="G51" i="4"/>
  <c r="G50" i="4"/>
  <c r="G49" i="4"/>
  <c r="G48" i="4"/>
  <c r="G47" i="4"/>
  <c r="Q42" i="4"/>
  <c r="O42" i="4"/>
  <c r="N42" i="4"/>
  <c r="L42" i="4"/>
  <c r="J42" i="4"/>
  <c r="I42" i="4"/>
  <c r="E42" i="4"/>
  <c r="G41" i="4"/>
  <c r="G40" i="4"/>
  <c r="Q39" i="4"/>
  <c r="O39" i="4"/>
  <c r="N39" i="4"/>
  <c r="L39" i="4"/>
  <c r="J39" i="4"/>
  <c r="I39" i="4"/>
  <c r="E39" i="4"/>
  <c r="G38" i="4"/>
  <c r="G37" i="4"/>
  <c r="G36" i="4"/>
  <c r="G35" i="4"/>
  <c r="G34" i="4"/>
  <c r="G33" i="4"/>
  <c r="Q32" i="4"/>
  <c r="O32" i="4"/>
  <c r="N32" i="4"/>
  <c r="L32" i="4"/>
  <c r="J32" i="4"/>
  <c r="I32" i="4"/>
  <c r="E32" i="4"/>
  <c r="G31" i="4"/>
  <c r="G30" i="4"/>
  <c r="G29" i="4"/>
  <c r="G28" i="4"/>
  <c r="G27" i="4"/>
  <c r="Q26" i="4"/>
  <c r="O26" i="4"/>
  <c r="N26" i="4"/>
  <c r="L26" i="4"/>
  <c r="J26" i="4"/>
  <c r="I26" i="4"/>
  <c r="E26" i="4"/>
  <c r="G25" i="4"/>
  <c r="G24" i="4"/>
  <c r="G23" i="4"/>
  <c r="G22" i="4"/>
  <c r="G21" i="4"/>
  <c r="G20" i="4"/>
  <c r="Q19" i="4"/>
  <c r="O19" i="4"/>
  <c r="N19" i="4"/>
  <c r="L19" i="4"/>
  <c r="J19" i="4"/>
  <c r="I19" i="4"/>
  <c r="E19" i="4"/>
  <c r="G18" i="4"/>
  <c r="Q17" i="4"/>
  <c r="O17" i="4"/>
  <c r="N17" i="4"/>
  <c r="L17" i="4"/>
  <c r="J17" i="4"/>
  <c r="I17" i="4"/>
  <c r="E17" i="4"/>
  <c r="G16" i="4"/>
  <c r="G15" i="4"/>
  <c r="G10" i="4"/>
  <c r="Q9" i="4"/>
  <c r="O9" i="4"/>
  <c r="N9" i="4"/>
  <c r="L9" i="4"/>
  <c r="J9" i="4"/>
  <c r="I9" i="4"/>
  <c r="E9" i="4"/>
  <c r="G94" i="4" l="1"/>
  <c r="E186" i="4"/>
  <c r="I162" i="4"/>
  <c r="O162" i="4"/>
  <c r="N60" i="4"/>
  <c r="O394" i="4"/>
  <c r="J458" i="4"/>
  <c r="J474" i="4"/>
  <c r="J8" i="4"/>
  <c r="Q60" i="4"/>
  <c r="L115" i="4"/>
  <c r="N151" i="4"/>
  <c r="Q394" i="4"/>
  <c r="L474" i="4"/>
  <c r="L486" i="4"/>
  <c r="F110" i="4"/>
  <c r="N115" i="4"/>
  <c r="J314" i="4"/>
  <c r="J361" i="4"/>
  <c r="F417" i="4"/>
  <c r="N474" i="4"/>
  <c r="G243" i="4"/>
  <c r="O474" i="4"/>
  <c r="G219" i="6"/>
  <c r="H534" i="18"/>
  <c r="N141" i="4"/>
  <c r="O413" i="4"/>
  <c r="L435" i="4"/>
  <c r="Q458" i="4"/>
  <c r="Q474" i="4"/>
  <c r="O515" i="4"/>
  <c r="H543" i="14"/>
  <c r="H547" i="14"/>
  <c r="Q163" i="4"/>
  <c r="Q162" i="4" s="1"/>
  <c r="L374" i="4"/>
  <c r="E374" i="4"/>
  <c r="I486" i="4"/>
  <c r="I515" i="4"/>
  <c r="H247" i="4"/>
  <c r="Q314" i="4"/>
  <c r="Q361" i="4"/>
  <c r="G535" i="18"/>
  <c r="P86" i="4"/>
  <c r="E394" i="4"/>
  <c r="O435" i="4"/>
  <c r="G541" i="18"/>
  <c r="J535" i="18"/>
  <c r="J534" i="18"/>
  <c r="J540" i="18"/>
  <c r="J541" i="18"/>
  <c r="G541" i="6"/>
  <c r="I534" i="18"/>
  <c r="K541" i="18"/>
  <c r="K534" i="18"/>
  <c r="K535" i="18"/>
  <c r="D540" i="18"/>
  <c r="F6" i="19"/>
  <c r="F210" i="19" s="1"/>
  <c r="H541" i="18"/>
  <c r="E536" i="18"/>
  <c r="F538" i="18"/>
  <c r="H535" i="18"/>
  <c r="E220" i="18"/>
  <c r="L220" i="18" s="1"/>
  <c r="F524" i="18"/>
  <c r="F533" i="18"/>
  <c r="E537" i="18"/>
  <c r="F539" i="18"/>
  <c r="H540" i="18"/>
  <c r="F211" i="18"/>
  <c r="F532" i="18"/>
  <c r="E9" i="18"/>
  <c r="L9" i="18" s="1"/>
  <c r="F549" i="14"/>
  <c r="F547" i="14"/>
  <c r="F543" i="14"/>
  <c r="I534" i="13"/>
  <c r="D540" i="13"/>
  <c r="D534" i="13"/>
  <c r="K540" i="13"/>
  <c r="G535" i="13"/>
  <c r="G534" i="13"/>
  <c r="F539" i="13"/>
  <c r="E537" i="13"/>
  <c r="K534" i="13"/>
  <c r="F533" i="13"/>
  <c r="E220" i="13"/>
  <c r="L220" i="13" s="1"/>
  <c r="F524" i="13"/>
  <c r="G541" i="13"/>
  <c r="G540" i="13"/>
  <c r="F538" i="13"/>
  <c r="E536" i="13"/>
  <c r="F532" i="13"/>
  <c r="F211" i="13"/>
  <c r="E9" i="13"/>
  <c r="L9" i="13" s="1"/>
  <c r="D540" i="10"/>
  <c r="I540" i="10"/>
  <c r="G541" i="10"/>
  <c r="J535" i="10"/>
  <c r="K541" i="10"/>
  <c r="G534" i="10"/>
  <c r="D541" i="10"/>
  <c r="G535" i="10"/>
  <c r="F524" i="10"/>
  <c r="F533" i="10"/>
  <c r="E220" i="10"/>
  <c r="L220" i="10" s="1"/>
  <c r="H541" i="10"/>
  <c r="H540" i="10"/>
  <c r="E539" i="10"/>
  <c r="E536" i="10"/>
  <c r="E538" i="10" s="1"/>
  <c r="F538" i="10"/>
  <c r="F539" i="10"/>
  <c r="F532" i="10"/>
  <c r="F211" i="10"/>
  <c r="E9" i="10"/>
  <c r="L9" i="10" s="1"/>
  <c r="R220" i="6"/>
  <c r="I6" i="6"/>
  <c r="I210" i="6" s="1"/>
  <c r="I541" i="6"/>
  <c r="R219" i="6"/>
  <c r="F7" i="6"/>
  <c r="F6" i="6" s="1"/>
  <c r="F210" i="6" s="1"/>
  <c r="J86" i="4"/>
  <c r="O8" i="4"/>
  <c r="E74" i="4"/>
  <c r="Q435" i="4"/>
  <c r="Q434" i="4" s="1"/>
  <c r="G9" i="4"/>
  <c r="O115" i="4"/>
  <c r="G154" i="4"/>
  <c r="O314" i="4"/>
  <c r="L394" i="4"/>
  <c r="E458" i="4"/>
  <c r="N458" i="4"/>
  <c r="G458" i="4" s="1"/>
  <c r="G118" i="4"/>
  <c r="F224" i="4"/>
  <c r="I413" i="4"/>
  <c r="J435" i="4"/>
  <c r="J434" i="4" s="1"/>
  <c r="N435" i="4"/>
  <c r="F447" i="4"/>
  <c r="F441" i="4" s="1"/>
  <c r="F435" i="4" s="1"/>
  <c r="F434" i="4" s="1"/>
  <c r="G32" i="4"/>
  <c r="L74" i="4"/>
  <c r="O60" i="4"/>
  <c r="Q221" i="4"/>
  <c r="N224" i="4"/>
  <c r="M275" i="4"/>
  <c r="F282" i="4"/>
  <c r="E333" i="4"/>
  <c r="O333" i="4"/>
  <c r="H413" i="4"/>
  <c r="L413" i="4"/>
  <c r="P413" i="4"/>
  <c r="Q413" i="4"/>
  <c r="F127" i="4"/>
  <c r="G99" i="4"/>
  <c r="E224" i="4"/>
  <c r="G278" i="4"/>
  <c r="F281" i="4"/>
  <c r="F275" i="4" s="1"/>
  <c r="G391" i="4"/>
  <c r="E413" i="4"/>
  <c r="J413" i="4"/>
  <c r="N413" i="4"/>
  <c r="L515" i="4"/>
  <c r="J162" i="4"/>
  <c r="G75" i="4"/>
  <c r="I86" i="4"/>
  <c r="Q86" i="4"/>
  <c r="N134" i="4"/>
  <c r="N133" i="4" s="1"/>
  <c r="G144" i="4"/>
  <c r="G225" i="4"/>
  <c r="G224" i="4" s="1"/>
  <c r="F252" i="4"/>
  <c r="F248" i="4" s="1"/>
  <c r="L333" i="4"/>
  <c r="L361" i="4"/>
  <c r="J374" i="4"/>
  <c r="Q374" i="4"/>
  <c r="F413" i="4"/>
  <c r="I435" i="4"/>
  <c r="I434" i="4" s="1"/>
  <c r="L434" i="4"/>
  <c r="O485" i="4"/>
  <c r="G511" i="4"/>
  <c r="G513" i="4"/>
  <c r="J515" i="4"/>
  <c r="J485" i="4" s="1"/>
  <c r="Q515" i="4"/>
  <c r="Q115" i="4"/>
  <c r="G245" i="4"/>
  <c r="L485" i="4"/>
  <c r="J134" i="4"/>
  <c r="F137" i="4"/>
  <c r="O134" i="4"/>
  <c r="G152" i="4"/>
  <c r="O151" i="4"/>
  <c r="F251" i="4"/>
  <c r="F295" i="4"/>
  <c r="F294" i="4" s="1"/>
  <c r="J333" i="4"/>
  <c r="N333" i="4"/>
  <c r="G334" i="4"/>
  <c r="G357" i="4"/>
  <c r="G388" i="4"/>
  <c r="G432" i="4"/>
  <c r="G475" i="4"/>
  <c r="G477" i="4"/>
  <c r="G479" i="4"/>
  <c r="I485" i="4"/>
  <c r="G487" i="4"/>
  <c r="G501" i="4"/>
  <c r="E515" i="4"/>
  <c r="E485" i="4" s="1"/>
  <c r="N515" i="4"/>
  <c r="E434" i="4"/>
  <c r="N74" i="4"/>
  <c r="G83" i="4"/>
  <c r="J115" i="4"/>
  <c r="F233" i="4"/>
  <c r="F230" i="4" s="1"/>
  <c r="L247" i="4"/>
  <c r="G315" i="4"/>
  <c r="G368" i="4"/>
  <c r="G371" i="4"/>
  <c r="G382" i="4"/>
  <c r="G385" i="4"/>
  <c r="G414" i="4"/>
  <c r="K413" i="4"/>
  <c r="G436" i="4"/>
  <c r="L60" i="4"/>
  <c r="N86" i="4"/>
  <c r="O141" i="4"/>
  <c r="M300" i="4"/>
  <c r="F300" i="4" s="1"/>
  <c r="G327" i="4"/>
  <c r="K435" i="4"/>
  <c r="K434" i="4" s="1"/>
  <c r="J486" i="4"/>
  <c r="Q486" i="4"/>
  <c r="G530" i="4"/>
  <c r="G39" i="4"/>
  <c r="J74" i="4"/>
  <c r="Q74" i="4"/>
  <c r="J221" i="4"/>
  <c r="G251" i="4"/>
  <c r="M303" i="4"/>
  <c r="F313" i="4"/>
  <c r="G365" i="4"/>
  <c r="M413" i="4"/>
  <c r="O434" i="4"/>
  <c r="P441" i="4"/>
  <c r="P435" i="4" s="1"/>
  <c r="P434" i="4" s="1"/>
  <c r="G474" i="4"/>
  <c r="L8" i="4"/>
  <c r="Q8" i="4"/>
  <c r="H86" i="4"/>
  <c r="L86" i="4"/>
  <c r="P7" i="4"/>
  <c r="P6" i="4" s="1"/>
  <c r="P210" i="4" s="1"/>
  <c r="F94" i="4"/>
  <c r="F86" i="4" s="1"/>
  <c r="O133" i="4"/>
  <c r="L141" i="4"/>
  <c r="I151" i="4"/>
  <c r="E361" i="4"/>
  <c r="G399" i="4"/>
  <c r="M435" i="4"/>
  <c r="M434" i="4" s="1"/>
  <c r="N486" i="4"/>
  <c r="N485" i="4" s="1"/>
  <c r="Q485" i="4"/>
  <c r="E162" i="4"/>
  <c r="G471" i="4"/>
  <c r="G482" i="4"/>
  <c r="E8" i="4"/>
  <c r="G26" i="4"/>
  <c r="J60" i="4"/>
  <c r="I74" i="4"/>
  <c r="G74" i="4" s="1"/>
  <c r="O74" i="4"/>
  <c r="O7" i="4" s="1"/>
  <c r="G87" i="4"/>
  <c r="G113" i="4"/>
  <c r="G116" i="4"/>
  <c r="M123" i="4"/>
  <c r="M122" i="4" s="1"/>
  <c r="M7" i="4" s="1"/>
  <c r="M6" i="4" s="1"/>
  <c r="M210" i="4" s="1"/>
  <c r="H126" i="4"/>
  <c r="F126" i="4" s="1"/>
  <c r="I141" i="4"/>
  <c r="G142" i="4"/>
  <c r="G149" i="4"/>
  <c r="G164" i="4"/>
  <c r="G174" i="4"/>
  <c r="G187" i="4"/>
  <c r="G197" i="4"/>
  <c r="P221" i="4"/>
  <c r="N221" i="4"/>
  <c r="G228" i="4"/>
  <c r="M230" i="4"/>
  <c r="M221" i="4" s="1"/>
  <c r="J247" i="4"/>
  <c r="O247" i="4"/>
  <c r="G253" i="4"/>
  <c r="E247" i="4"/>
  <c r="G265" i="4"/>
  <c r="P275" i="4"/>
  <c r="G290" i="4"/>
  <c r="F303" i="4"/>
  <c r="I314" i="4"/>
  <c r="G323" i="4"/>
  <c r="I333" i="4"/>
  <c r="Q333" i="4"/>
  <c r="G344" i="4"/>
  <c r="G362" i="4"/>
  <c r="N361" i="4"/>
  <c r="G379" i="4"/>
  <c r="O374" i="4"/>
  <c r="G395" i="4"/>
  <c r="G459" i="4"/>
  <c r="G461" i="4"/>
  <c r="G483" i="4"/>
  <c r="E141" i="4"/>
  <c r="N163" i="4"/>
  <c r="G163" i="4" s="1"/>
  <c r="N186" i="4"/>
  <c r="G230" i="4"/>
  <c r="M286" i="4"/>
  <c r="R286" i="4" s="1"/>
  <c r="G325" i="4"/>
  <c r="I8" i="4"/>
  <c r="G42" i="4"/>
  <c r="G53" i="4"/>
  <c r="G66" i="4"/>
  <c r="K86" i="4"/>
  <c r="K7" i="4" s="1"/>
  <c r="H122" i="4"/>
  <c r="H120" i="4" s="1"/>
  <c r="F120" i="4" s="1"/>
  <c r="G124" i="4"/>
  <c r="G123" i="4" s="1"/>
  <c r="G122" i="4" s="1"/>
  <c r="G120" i="4" s="1"/>
  <c r="K134" i="4"/>
  <c r="G135" i="4"/>
  <c r="Q134" i="4"/>
  <c r="G146" i="4"/>
  <c r="Q141" i="4"/>
  <c r="E151" i="4"/>
  <c r="L151" i="4"/>
  <c r="G186" i="4"/>
  <c r="I221" i="4"/>
  <c r="K221" i="4"/>
  <c r="O221" i="4"/>
  <c r="F221" i="4"/>
  <c r="M546" i="4"/>
  <c r="N546" i="4" s="1"/>
  <c r="G256" i="4"/>
  <c r="F262" i="4"/>
  <c r="G275" i="4"/>
  <c r="F283" i="4"/>
  <c r="G313" i="4"/>
  <c r="E314" i="4"/>
  <c r="N314" i="4"/>
  <c r="G331" i="4"/>
  <c r="G355" i="4"/>
  <c r="I374" i="4"/>
  <c r="G423" i="4"/>
  <c r="G426" i="4"/>
  <c r="G454" i="4"/>
  <c r="G469" i="4"/>
  <c r="G472" i="4"/>
  <c r="G509" i="4"/>
  <c r="G516" i="4"/>
  <c r="G539" i="4"/>
  <c r="G17" i="4"/>
  <c r="G19" i="4"/>
  <c r="N8" i="4"/>
  <c r="G110" i="4"/>
  <c r="G139" i="4"/>
  <c r="G148" i="4"/>
  <c r="G160" i="4"/>
  <c r="Q151" i="4"/>
  <c r="H221" i="4"/>
  <c r="H220" i="4" s="1"/>
  <c r="H219" i="4" s="1"/>
  <c r="H541" i="4" s="1"/>
  <c r="L221" i="4"/>
  <c r="L314" i="4"/>
  <c r="I361" i="4"/>
  <c r="O361" i="4"/>
  <c r="N374" i="4"/>
  <c r="N394" i="4"/>
  <c r="G394" i="4" s="1"/>
  <c r="I247" i="4"/>
  <c r="Q247" i="4"/>
  <c r="K247" i="4"/>
  <c r="E7" i="4"/>
  <c r="J7" i="4"/>
  <c r="E221" i="4"/>
  <c r="G223" i="4"/>
  <c r="G222" i="4" s="1"/>
  <c r="G293" i="4"/>
  <c r="G444" i="4"/>
  <c r="G441" i="4" s="1"/>
  <c r="M549" i="4"/>
  <c r="G78" i="4"/>
  <c r="I115" i="4"/>
  <c r="G115" i="4" s="1"/>
  <c r="I134" i="4"/>
  <c r="M248" i="4"/>
  <c r="G250" i="4"/>
  <c r="G264" i="4"/>
  <c r="G262" i="4" s="1"/>
  <c r="M283" i="4"/>
  <c r="G285" i="4"/>
  <c r="G283" i="4" s="1"/>
  <c r="N286" i="4"/>
  <c r="N247" i="4" s="1"/>
  <c r="F293" i="4"/>
  <c r="J141" i="4"/>
  <c r="J151" i="4"/>
  <c r="P248" i="4"/>
  <c r="G486" i="4" l="1"/>
  <c r="G374" i="4"/>
  <c r="L133" i="4"/>
  <c r="E538" i="13"/>
  <c r="N434" i="4"/>
  <c r="G60" i="4"/>
  <c r="K220" i="4"/>
  <c r="K219" i="4" s="1"/>
  <c r="K541" i="4" s="1"/>
  <c r="E538" i="18"/>
  <c r="E524" i="18"/>
  <c r="F541" i="18"/>
  <c r="F540" i="18"/>
  <c r="E211" i="18"/>
  <c r="E533" i="18"/>
  <c r="F535" i="18"/>
  <c r="E532" i="18"/>
  <c r="F534" i="18"/>
  <c r="E539" i="18"/>
  <c r="F541" i="13"/>
  <c r="E524" i="13"/>
  <c r="F534" i="13"/>
  <c r="E532" i="13"/>
  <c r="E539" i="13"/>
  <c r="F540" i="13"/>
  <c r="E211" i="13"/>
  <c r="F535" i="13"/>
  <c r="E533" i="13"/>
  <c r="E524" i="10"/>
  <c r="F541" i="10"/>
  <c r="E532" i="10"/>
  <c r="F534" i="10"/>
  <c r="E533" i="10"/>
  <c r="F535" i="10"/>
  <c r="F540" i="10"/>
  <c r="E211" i="10"/>
  <c r="Q7" i="4"/>
  <c r="P247" i="4"/>
  <c r="P220" i="4" s="1"/>
  <c r="P219" i="4" s="1"/>
  <c r="P541" i="4" s="1"/>
  <c r="G134" i="4"/>
  <c r="G314" i="4"/>
  <c r="N7" i="4"/>
  <c r="N6" i="4" s="1"/>
  <c r="L7" i="4"/>
  <c r="L6" i="4" s="1"/>
  <c r="L210" i="4" s="1"/>
  <c r="G515" i="4"/>
  <c r="F286" i="4"/>
  <c r="R293" i="4"/>
  <c r="S293" i="4" s="1"/>
  <c r="J220" i="4"/>
  <c r="J219" i="4" s="1"/>
  <c r="J541" i="4" s="1"/>
  <c r="G141" i="4"/>
  <c r="I133" i="4"/>
  <c r="G435" i="4"/>
  <c r="G434" i="4" s="1"/>
  <c r="Q220" i="4"/>
  <c r="Q219" i="4" s="1"/>
  <c r="Q541" i="4" s="1"/>
  <c r="N220" i="4"/>
  <c r="G248" i="4"/>
  <c r="G221" i="4"/>
  <c r="H7" i="4"/>
  <c r="H6" i="4" s="1"/>
  <c r="H210" i="4" s="1"/>
  <c r="H547" i="4" s="1"/>
  <c r="G361" i="4"/>
  <c r="O6" i="4"/>
  <c r="O210" i="4" s="1"/>
  <c r="L220" i="4"/>
  <c r="L219" i="4" s="1"/>
  <c r="L541" i="4" s="1"/>
  <c r="F247" i="4"/>
  <c r="F220" i="4" s="1"/>
  <c r="R220" i="4" s="1"/>
  <c r="G86" i="4"/>
  <c r="O220" i="4"/>
  <c r="O219" i="4" s="1"/>
  <c r="O541" i="4" s="1"/>
  <c r="G333" i="4"/>
  <c r="I220" i="4"/>
  <c r="I219" i="4" s="1"/>
  <c r="I541" i="4" s="1"/>
  <c r="F123" i="4"/>
  <c r="G485" i="4"/>
  <c r="E133" i="4"/>
  <c r="F134" i="4"/>
  <c r="K133" i="4"/>
  <c r="F133" i="4" s="1"/>
  <c r="G286" i="4"/>
  <c r="G247" i="4" s="1"/>
  <c r="E220" i="4"/>
  <c r="E219" i="4" s="1"/>
  <c r="E541" i="4" s="1"/>
  <c r="F122" i="4"/>
  <c r="F7" i="4" s="1"/>
  <c r="G413" i="4"/>
  <c r="G8" i="4"/>
  <c r="G7" i="4" s="1"/>
  <c r="H543" i="4"/>
  <c r="Q133" i="4"/>
  <c r="G151" i="4"/>
  <c r="M247" i="4"/>
  <c r="M220" i="4" s="1"/>
  <c r="M219" i="4" s="1"/>
  <c r="M541" i="4" s="1"/>
  <c r="M543" i="4" s="1"/>
  <c r="N162" i="4"/>
  <c r="G162" i="4" s="1"/>
  <c r="J133" i="4"/>
  <c r="J6" i="4" s="1"/>
  <c r="J210" i="4" s="1"/>
  <c r="E6" i="4"/>
  <c r="E210" i="4" s="1"/>
  <c r="I7" i="4"/>
  <c r="L547" i="4" l="1"/>
  <c r="O543" i="4"/>
  <c r="N210" i="4"/>
  <c r="N219" i="4"/>
  <c r="N541" i="4" s="1"/>
  <c r="I6" i="4"/>
  <c r="I210" i="4" s="1"/>
  <c r="I547" i="4" s="1"/>
  <c r="E535" i="18"/>
  <c r="E540" i="18"/>
  <c r="L211" i="18"/>
  <c r="E541" i="18"/>
  <c r="L524" i="18"/>
  <c r="E534" i="18"/>
  <c r="E534" i="13"/>
  <c r="E535" i="13"/>
  <c r="L524" i="13"/>
  <c r="E541" i="13"/>
  <c r="E540" i="13"/>
  <c r="L211" i="13"/>
  <c r="E535" i="10"/>
  <c r="E540" i="10"/>
  <c r="L211" i="10"/>
  <c r="E541" i="10"/>
  <c r="L524" i="10"/>
  <c r="E534" i="10"/>
  <c r="Q6" i="4"/>
  <c r="Q210" i="4" s="1"/>
  <c r="P543" i="4"/>
  <c r="P547" i="4"/>
  <c r="G133" i="4"/>
  <c r="G6" i="4" s="1"/>
  <c r="G210" i="4" s="1"/>
  <c r="M547" i="4"/>
  <c r="J543" i="4"/>
  <c r="J547" i="4"/>
  <c r="O547" i="4"/>
  <c r="G220" i="4"/>
  <c r="G219" i="4" s="1"/>
  <c r="G541" i="4" s="1"/>
  <c r="F6" i="4"/>
  <c r="F210" i="4" s="1"/>
  <c r="K6" i="4"/>
  <c r="K210" i="4" s="1"/>
  <c r="F219" i="4"/>
  <c r="F541" i="4" s="1"/>
  <c r="R219" i="4"/>
  <c r="N547" i="4" l="1"/>
  <c r="F543" i="4"/>
  <c r="F547" i="4"/>
  <c r="K543" i="4"/>
  <c r="K547" i="4"/>
</calcChain>
</file>

<file path=xl/comments1.xml><?xml version="1.0" encoding="utf-8"?>
<comments xmlns="http://schemas.openxmlformats.org/spreadsheetml/2006/main">
  <authors>
    <author>adriana.petrovic</author>
  </authors>
  <commentList>
    <comment ref="M313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</t>
        </r>
      </text>
    </comment>
  </commentList>
</comments>
</file>

<file path=xl/comments2.xml><?xml version="1.0" encoding="utf-8"?>
<comments xmlns="http://schemas.openxmlformats.org/spreadsheetml/2006/main">
  <authors>
    <author>adriana.petrovic</author>
  </authors>
  <commentList>
    <comment ref="M313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</t>
        </r>
      </text>
    </comment>
  </commentList>
</comments>
</file>

<file path=xl/comments3.xml><?xml version="1.0" encoding="utf-8"?>
<comments xmlns="http://schemas.openxmlformats.org/spreadsheetml/2006/main">
  <authors>
    <author>adriana.petrovic</author>
  </authors>
  <commentList>
    <comment ref="M285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22.06.2023.-346
</t>
        </r>
      </text>
    </comment>
    <comment ref="M313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
22.06.2023. -60, +942
</t>
        </r>
      </text>
    </comment>
    <comment ref="P444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 +372</t>
        </r>
      </text>
    </comment>
  </commentList>
</comments>
</file>

<file path=xl/comments4.xml><?xml version="1.0" encoding="utf-8"?>
<comments xmlns="http://schemas.openxmlformats.org/spreadsheetml/2006/main">
  <authors>
    <author>adriana.petrovic</author>
  </authors>
  <commentList>
    <comment ref="M285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22.06.2023.-346
27.07.2023.-24
</t>
        </r>
      </text>
    </comment>
    <comment ref="M313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
22.06.2023. -60, +942
</t>
        </r>
      </text>
    </comment>
    <comment ref="P444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 +372</t>
        </r>
      </text>
    </comment>
  </commentList>
</comments>
</file>

<file path=xl/comments5.xml><?xml version="1.0" encoding="utf-8"?>
<comments xmlns="http://schemas.openxmlformats.org/spreadsheetml/2006/main">
  <authors>
    <author>adriana.petrovic</author>
  </authors>
  <commentList>
    <comment ref="M285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22.06.2023.-346
27.07.2023.-24
</t>
        </r>
      </text>
    </comment>
    <comment ref="M313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
22.06.2023. -60, +942
</t>
        </r>
      </text>
    </comment>
    <comment ref="P444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 +372</t>
        </r>
      </text>
    </comment>
  </commentList>
</comments>
</file>

<file path=xl/comments6.xml><?xml version="1.0" encoding="utf-8"?>
<comments xmlns="http://schemas.openxmlformats.org/spreadsheetml/2006/main">
  <authors>
    <author>adriana.petrovic</author>
  </authors>
  <commentList>
    <comment ref="M285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22.06.2023.-346
27.07.2023.-24
</t>
        </r>
      </text>
    </comment>
    <comment ref="M313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
22.06.2023. -60, +942
</t>
        </r>
      </text>
    </comment>
    <comment ref="P444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 +372</t>
        </r>
      </text>
    </comment>
  </commentList>
</comments>
</file>

<file path=xl/comments7.xml><?xml version="1.0" encoding="utf-8"?>
<comments xmlns="http://schemas.openxmlformats.org/spreadsheetml/2006/main">
  <authors>
    <author>adriana.petrovic</author>
  </authors>
  <commentList>
    <comment ref="M285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22.06.2023.-346
27.07.2023.-24
</t>
        </r>
      </text>
    </comment>
    <comment ref="M313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
22.06.2023. -60, +942
</t>
        </r>
      </text>
    </comment>
    <comment ref="P444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 +372</t>
        </r>
      </text>
    </comment>
  </commentList>
</comments>
</file>

<file path=xl/comments8.xml><?xml version="1.0" encoding="utf-8"?>
<comments xmlns="http://schemas.openxmlformats.org/spreadsheetml/2006/main">
  <authors>
    <author>adriana.petrovic</author>
  </authors>
  <commentList>
    <comment ref="I70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22.06.2023.-346
27.07.2023.-24
</t>
        </r>
      </text>
    </comment>
    <comment ref="I95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
22.06.2023. -60, +942
</t>
        </r>
      </text>
    </comment>
    <comment ref="J121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 +372</t>
        </r>
      </text>
    </comment>
  </commentList>
</comments>
</file>

<file path=xl/comments9.xml><?xml version="1.0" encoding="utf-8"?>
<comments xmlns="http://schemas.openxmlformats.org/spreadsheetml/2006/main">
  <authors>
    <author>adriana.petrovic</author>
  </authors>
  <commentList>
    <comment ref="M286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22.06.2023.-346
27.07.2023.-24
</t>
        </r>
      </text>
    </comment>
    <comment ref="S286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22.06.2023.-346
27.07.2023.-24
</t>
        </r>
      </text>
    </comment>
    <comment ref="M314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
22.06.2023. -60, +942
</t>
        </r>
      </text>
    </comment>
    <comment ref="S314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27.04.2023. +84 žuto
22.06.2023. -60, +942
</t>
        </r>
      </text>
    </comment>
    <comment ref="P445" authorId="0" shapeId="0">
      <text>
        <r>
          <rPr>
            <b/>
            <sz val="9"/>
            <color indexed="81"/>
            <rFont val="Tahoma"/>
            <family val="2"/>
          </rPr>
          <t>adriana.petrovic:</t>
        </r>
        <r>
          <rPr>
            <sz val="9"/>
            <color indexed="81"/>
            <rFont val="Tahoma"/>
            <family val="2"/>
          </rPr>
          <t xml:space="preserve">
22.06.2023. +372</t>
        </r>
      </text>
    </comment>
    <comment ref="M547" authorId="0" shapeId="0">
      <text>
        <r>
          <rPr>
            <b/>
            <sz val="9"/>
            <color indexed="81"/>
            <rFont val="Tahoma"/>
            <charset val="1"/>
          </rPr>
          <t>adriana.petrovic:</t>
        </r>
        <r>
          <rPr>
            <sz val="9"/>
            <color indexed="81"/>
            <rFont val="Tahoma"/>
            <charset val="1"/>
          </rPr>
          <t xml:space="preserve">
mt:55.702+15.340-2539-2475+659(osig)+665(povraćaj spec)</t>
        </r>
      </text>
    </comment>
    <comment ref="S547" authorId="0" shapeId="0">
      <text>
        <r>
          <rPr>
            <b/>
            <sz val="9"/>
            <color indexed="81"/>
            <rFont val="Tahoma"/>
            <charset val="1"/>
          </rPr>
          <t>adriana.petrovic:</t>
        </r>
        <r>
          <rPr>
            <sz val="9"/>
            <color indexed="81"/>
            <rFont val="Tahoma"/>
            <charset val="1"/>
          </rPr>
          <t xml:space="preserve">
mt:55.702+15.340-1583+2500(part)+659(osig)+665(povraćaj spec)</t>
        </r>
      </text>
    </comment>
  </commentList>
</comments>
</file>

<file path=xl/sharedStrings.xml><?xml version="1.0" encoding="utf-8"?>
<sst xmlns="http://schemas.openxmlformats.org/spreadsheetml/2006/main" count="26386" uniqueCount="575">
  <si>
    <t>Ознака ОП</t>
  </si>
  <si>
    <t>Број конта</t>
  </si>
  <si>
    <t>Опис</t>
  </si>
  <si>
    <t>Износ планираних прихода и примања</t>
  </si>
  <si>
    <t>Износ остварених прихода и примања</t>
  </si>
  <si>
    <t>Укупно                        (од 6 до 11)</t>
  </si>
  <si>
    <t>Приходи и примања из буџета</t>
  </si>
  <si>
    <t>Из донација и помоћи</t>
  </si>
  <si>
    <t>Из осталих извора</t>
  </si>
  <si>
    <t>Републике</t>
  </si>
  <si>
    <t>Аутономне покрајине</t>
  </si>
  <si>
    <t>Општине / 
града</t>
  </si>
  <si>
    <t>ООСО</t>
  </si>
  <si>
    <t>ТЕКУЋИ ПРИХОДИ И ПРИМАЊА ОД ПРОДАЈЕ НЕФИНАНСИЈСКЕ ИМОВИНЕ (5002 + 5106)</t>
  </si>
  <si>
    <t>ТЕКУЋИ ПРИХОДИ (5003 + 5047 + 5057 + 5069 + 5094 + 5099 + 5103)</t>
  </si>
  <si>
    <t>ПОРЕЗИ (5004 + 5008 + 5010 + 5017 + 5023 + 5030 + 5033 + 5040)</t>
  </si>
  <si>
    <t>ПОРЕЗ НА ДОХОДАК, ДОБИТ И КАПИТАЛНЕ ДОБИТКЕ (од 5005 до 5007)</t>
  </si>
  <si>
    <t>Порези на доходак и капиталнe добиткe које плаћају физичка лица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</si>
  <si>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</si>
  <si>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</si>
  <si>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</si>
  <si>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</si>
  <si>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</si>
  <si>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</si>
  <si>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</si>
  <si>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</si>
  <si>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</si>
  <si>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</si>
  <si>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</si>
  <si>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Порези на добит и капиталне добитке које плаћају предузећа и друга правна лица</t>
  </si>
  <si>
    <t>Порези на доходак, добит и капиталне добитке који се не могу разврстати између физичких и правних лица</t>
  </si>
  <si>
    <t>ПОРЕЗ НА ФОНД ЗАРАДА (5009)</t>
  </si>
  <si>
    <t>Порез на фонд зарада</t>
  </si>
  <si>
    <t>ПОРЕЗ НА ИМОВИНУ (од 5011 до 5016)</t>
  </si>
  <si>
    <t>Периодични порези на непокретности</t>
  </si>
  <si>
    <t>Периодични порези на нето имовину</t>
  </si>
  <si>
    <t>Порези на заоставштину, наслеђе и поклон</t>
  </si>
  <si>
    <t>Порези на финансијске и капиталне трансакције</t>
  </si>
  <si>
    <t>Други једнократни порези на имовину</t>
  </si>
  <si>
    <t>Други периодични порези на имовину</t>
  </si>
  <si>
    <t>ПОРЕЗ НА ДОБРА И УСЛУГЕ (од 5018 до 5022)</t>
  </si>
  <si>
    <t>Општи порези на добра и услуге</t>
  </si>
  <si>
    <t>Добит фискалних монопола</t>
  </si>
  <si>
    <t>Порези на појединачне услуге</t>
  </si>
  <si>
    <t>Порези, таксе и накнаде на употребу добара, на дозволу да се добра употребљавају или делатности обављају</t>
  </si>
  <si>
    <t>Други порези на добра и услуге</t>
  </si>
  <si>
    <t>ПОРЕЗ НА МЕЂУНАРОДНУ ТРГОВИНУ И ТРАНСАКЦИЈЕ (од 5024 до 5029)</t>
  </si>
  <si>
    <t>Царине и друге увозне дажбине</t>
  </si>
  <si>
    <t>Порези на извоз</t>
  </si>
  <si>
    <t>Добит извозних или увозних монопола</t>
  </si>
  <si>
    <t>Добит по основу разлике између куповног и продајног девизног курса</t>
  </si>
  <si>
    <t>Порези на продају или куповину девиза</t>
  </si>
  <si>
    <t>Други порези на међународну трговину и трансакције</t>
  </si>
  <si>
    <t>ДРУГИ ПОРЕЗИ (5031 + 5032)</t>
  </si>
  <si>
    <t>Други порези које искључиво плаћају предузећа, односно предузетници</t>
  </si>
  <si>
    <t>Други порези које плаћају остала лица или који се не могу идентификовати</t>
  </si>
  <si>
    <t>АКЦИЗЕ (од 5034 до 5039)</t>
  </si>
  <si>
    <t>Акцизе на деривате нафте</t>
  </si>
  <si>
    <t>Акцизе на дуванске прерађевине</t>
  </si>
  <si>
    <t>Акцизе на алкохолна пића</t>
  </si>
  <si>
    <t>Акцизе на освежавајућа безалкохолна пића</t>
  </si>
  <si>
    <t>Акциза на кафу</t>
  </si>
  <si>
    <t>Друге акцизе</t>
  </si>
  <si>
    <t>ЈЕДНОКРАТНИ ПОРЕЗ НА ЕКСТРА ПРОФИТ И ЕКСТРА ИМОВИНУ СТЕЧЕНУ КОРИШЋЕЊЕМ ПОСЕБНИХ ПОГОДНОСТИ (од 5041 до 5046)</t>
  </si>
  <si>
    <t>Порез на доходак, добит и капиталну добит на терет физичких лица</t>
  </si>
  <si>
    <t>Порез на доходак, добит и капиталну добит на терет предузећа и осталих правних лица</t>
  </si>
  <si>
    <t>Порез на доходак, добит и капиталну добит нераспоредив између физичких и правних лица</t>
  </si>
  <si>
    <t>Остали једнократни порези на имовину</t>
  </si>
  <si>
    <t>Остали порези које плаћају искључиво предузећа и предузетници</t>
  </si>
  <si>
    <t>Остали порези које плаћају друга или неидентификована лица</t>
  </si>
  <si>
    <t>СОЦИЈАЛНИ ДОПРИНОСИ (5048 + 5053)</t>
  </si>
  <si>
    <t>ДОПРИНОСИ ЗА СОЦИЈАЛНО ОСИГУРАЊЕ (од 5049 до 5052)</t>
  </si>
  <si>
    <t>Доприноси за социјално осигурање на терет запослених</t>
  </si>
  <si>
    <t>Доприноси за социјално осигурање на терет послодавца</t>
  </si>
  <si>
    <t>Доприноси за социјално осигурање лица која обављају самосталну делатност и незапослених лица</t>
  </si>
  <si>
    <t>Доприноси за социјално осигурање који се не могу разврстати</t>
  </si>
  <si>
    <t>ОСТАЛИ СОЦИЈАЛНИ ДОПРИНОСИ (од 5054 до 5056)</t>
  </si>
  <si>
    <t>Социјални доприноси на терет осигураника</t>
  </si>
  <si>
    <t>Социјални доприноси на терет послодаваца</t>
  </si>
  <si>
    <t>Импутирани социјални доприноси</t>
  </si>
  <si>
    <t>ДОНАЦИЈЕ, ПОМОЋИ И ТРАНСФЕРИ (5058 + 5061 + 5066)</t>
  </si>
  <si>
    <t>ДОНАЦИЈЕ ОД ИНОСТРАНИХ ДРЖАВА (5059 + 5060)</t>
  </si>
  <si>
    <t>Текуће донације од иностраних држава</t>
  </si>
  <si>
    <t>Капиталне донације од иностраних држава</t>
  </si>
  <si>
    <t>ДОНАЦИЈЕ И ПОМОЋИ ОД МЕЂУНАРОДНИХ ОРГАНИЗАЦИЈА (од 5062 до 5065)</t>
  </si>
  <si>
    <t>Текуће донације од међународних организација</t>
  </si>
  <si>
    <t>Капиталне донације од међународних организација</t>
  </si>
  <si>
    <t>Текуће помоћи од ЕУ</t>
  </si>
  <si>
    <t>Капиталне помоћи од ЕУ</t>
  </si>
  <si>
    <t>ТРАНСФЕРИ ОД ДРУГИХ НИВОА ВЛАСТИ (5067 + 5068)</t>
  </si>
  <si>
    <t>Текући трансфери од других нивоа власти</t>
  </si>
  <si>
    <t>Капитални трансфери од других нивоа власти</t>
  </si>
  <si>
    <t>ДРУГИ ПРИХОДИ (5070 + 5077 + 5082 + 5089 + 5092)</t>
  </si>
  <si>
    <t>ПРИХОДИ ОД ИМОВИНЕ (од 5071 до 5076)</t>
  </si>
  <si>
    <t>Камате</t>
  </si>
  <si>
    <t>Дивиденде</t>
  </si>
  <si>
    <t>Повлачење прихода од квази корпорација</t>
  </si>
  <si>
    <t>Приход од имовине који припада имаоцима полиса осигурања</t>
  </si>
  <si>
    <t>Закуп непроизведене имовине</t>
  </si>
  <si>
    <t>Финансијске промене на финансијским лизинзима</t>
  </si>
  <si>
    <t>ПРИХОДИ ОД ПРОДАЈЕ ДОБАРА И УСЛУГА (од 5078 до 5081)</t>
  </si>
  <si>
    <t>Приходи од продаје добара и услуга или закупа од стране тржишних организација</t>
  </si>
  <si>
    <t>Таксе и накнаде</t>
  </si>
  <si>
    <t>Споредне продаје добара и услуга које врше државне нетржишне јединице</t>
  </si>
  <si>
    <t>Импутиране продаје добара и услуга</t>
  </si>
  <si>
    <t>НОВЧАНЕ КАЗНЕ И ОДУЗЕТА ИМОВИНСКА КОРИСТ (од 5083 до 5088)</t>
  </si>
  <si>
    <t>Приходи од новчаних казни за кривична дела</t>
  </si>
  <si>
    <t>Приходи од новчаних казни за привредне преступе</t>
  </si>
  <si>
    <t>Приходи од новчаних казни за прекршаје</t>
  </si>
  <si>
    <t>Приходи од пенала</t>
  </si>
  <si>
    <t>Приходи од одузете имовинске користи</t>
  </si>
  <si>
    <t>Остале новчане казне, пенали и приходи од одузете имовинске користи</t>
  </si>
  <si>
    <t>ДОБРОВОЉНИ ТРАНСФЕРИ ОД ФИЗИЧКИХ И ПРАВНИХ ЛИЦА (5090 + 5091)</t>
  </si>
  <si>
    <t>Текући добровољни трансфери од физичких и правних лица</t>
  </si>
  <si>
    <t>Капитални добровољни трансфери од физичких и правних лица</t>
  </si>
  <si>
    <t>МЕШОВИТИ И НЕОДРЕЂЕНИ ПРИХОДИ (5093)</t>
  </si>
  <si>
    <t>Мешовити и неодређени приходи</t>
  </si>
  <si>
    <t>МЕМОРАНДУМСКЕ СТАВКЕ ЗА РЕФУНДАЦИЈУ РАСХОДА (5095 + 5097)</t>
  </si>
  <si>
    <t>МЕМОРАНДУМСКЕ СТАВКЕ ЗА РЕФУНДАЦИЈУ РАСХОДА (5096)</t>
  </si>
  <si>
    <t>Меморандумске ставке за рефундацију расхода</t>
  </si>
  <si>
    <t>МЕМОРАНДУМСКЕ СТАВКЕ ЗА РЕФУНДАЦИЈУ РАСХОДА ИЗ ПРЕТХОДНЕ ГОДИНЕ (5098)</t>
  </si>
  <si>
    <t>Меморандумске ставке за рефундацију расхода из претходне године</t>
  </si>
  <si>
    <t>ТРАНСФЕРИ ИЗМЕЂУ БУЏЕТСКИХ КОРИСНИКА НА ИСТОМ НИВОУ (5100)</t>
  </si>
  <si>
    <t>ТРАНСФЕРИ ИЗМЕЂУ БУЏЕТСКИХ КОРИСНИКА НА ИСТОМ НИВОУ (5101 + 5102)</t>
  </si>
  <si>
    <t>Трансфери између буџетских корисника на истом нивоу</t>
  </si>
  <si>
    <t>Трансфери између организација обавезног социјалног осигурања</t>
  </si>
  <si>
    <t>ПРИХОДИ ИЗ БУЏЕТА (5104)</t>
  </si>
  <si>
    <t>ПРИХОДИ ИЗ БУЏЕТА (5105)</t>
  </si>
  <si>
    <t>Приходи из буџета</t>
  </si>
  <si>
    <t>ПРИМАЊА ОД ПРОДАЈЕ НЕФИНАНСИЈСКЕ ИМОВИНЕ (5107 + 5114 + 5121 + 5124)</t>
  </si>
  <si>
    <t>ПРИМАЊА ОД ПРОДАЈЕ ОСНОВНИХ СРЕДСТАВА (5108 + 5110 + 5112)</t>
  </si>
  <si>
    <t>ПРИМАЊА ОД ПРОДАЈЕ НЕПОКРЕТНОСТИ (5109)</t>
  </si>
  <si>
    <t>Примања од продаје непокретности</t>
  </si>
  <si>
    <t>ПРИМАЊА ОД ПРОДАЈЕ ПОКРЕТНЕ ИМОВИНЕ (5111)</t>
  </si>
  <si>
    <t>Примања од продаје покретне имовине</t>
  </si>
  <si>
    <t>ПРИМАЊА ОД ПРОДАЈЕ ОСТАЛИХ ОСНОВНИХ СРЕДСТАВА (5113)</t>
  </si>
  <si>
    <t>Примања од продаје осталих основних средстава</t>
  </si>
  <si>
    <t>ПРИМАЊА ОД ПРОДАЈЕ ЗАЛИХА (5115 + 5117 + 5119)</t>
  </si>
  <si>
    <t>ПРИМАЊА ОД ПРОДАЈЕ РОБНИХ РЕЗЕРВИ (5116)</t>
  </si>
  <si>
    <t>Примања од продаје робних резерви</t>
  </si>
  <si>
    <t>ПРИМАЊА ОД ПРОДАЈЕ ЗАЛИХА  ПРОИЗВОДЊЕ (5118)</t>
  </si>
  <si>
    <t>Примања од продаје залиха производње</t>
  </si>
  <si>
    <t>ПРИМАЊА ОД ПРОДАЈЕ РОБЕ ЗА ДАЉУ ПРОДАЈУ (5120)</t>
  </si>
  <si>
    <t>Примања од продаје робе за даљу продају</t>
  </si>
  <si>
    <t>ПРИМАЊА ОД ПРОДАЈЕ ДРАГОЦЕНОСТИ (5122)</t>
  </si>
  <si>
    <t>ПРИМАЊА ОД ПРОДАЈЕ ДРАГОЦЕНОСТИ (5123)</t>
  </si>
  <si>
    <t>Примања од продаје драгоцености</t>
  </si>
  <si>
    <t>ПРИМАЊА ОД ПРОДАЈЕ ПРИРОДНЕ ИМОВИНЕ (5125 + 5127 + 5129)</t>
  </si>
  <si>
    <t>ПРИМАЊА ОД ПРОДАЈЕ ЗЕМЉИШТА (5126)</t>
  </si>
  <si>
    <t>Примања од продаје земљишта</t>
  </si>
  <si>
    <t>ПРИМАЊА ОД ПРОДАЈЕ ПОДЗЕМНИХ БЛАГА (5128)</t>
  </si>
  <si>
    <t>Примања од продаје подземних блага</t>
  </si>
  <si>
    <t>ПРИМАЊА ОД ПРОДАЈЕ ШУМА И ВОДА (5130)</t>
  </si>
  <si>
    <t>Примања од продаје шума и вода</t>
  </si>
  <si>
    <t>ПРИМАЊА ОД ЗАДУЖИВАЊА И ПРОДАЈЕ ФИНАНСИЈСКЕ ИМОВИНЕ (5132 + 5151)</t>
  </si>
  <si>
    <t>ПРИМАЊА ОД ЗАДУЖИВАЊА (5133 + 5143)</t>
  </si>
  <si>
    <t>ПРИМАЊА ОД ДОМАЋИХ ЗАДУЖИВАЊА (од 5134 до 5142)</t>
  </si>
  <si>
    <t>Примања од емитовања домаћих хартија од вредности, изузев акција</t>
  </si>
  <si>
    <t>Примања од задуживања од осталих нивоа власти</t>
  </si>
  <si>
    <t>Примања од задуживања од јавних финансијских институција у земљи</t>
  </si>
  <si>
    <t>Примања од задуживања од пословних банака у земљи</t>
  </si>
  <si>
    <t>Примања од задуживања код осталих поверилаца у земљи</t>
  </si>
  <si>
    <t>Примања од задуживања од домаћинстава у земљи</t>
  </si>
  <si>
    <t>Примања од домаћих финансијских деривата</t>
  </si>
  <si>
    <t>Примања од домаћих меница</t>
  </si>
  <si>
    <t>Исправка унутрашњег дуга</t>
  </si>
  <si>
    <t>ПРИМАЊА ОД ИНОСТРАНОГ ЗАДУЖИВАЊА (од 5144 до 5150)</t>
  </si>
  <si>
    <t>Примања од емитовања хартија од вредности, изузев акција, на иностраном финансијском тржишту</t>
  </si>
  <si>
    <t>Примања од задуживања од иностраних држава</t>
  </si>
  <si>
    <t>Примања од задуживања од мултилатералних институција</t>
  </si>
  <si>
    <t>Примања од задуживања од иностраних пословних банака</t>
  </si>
  <si>
    <t>Примања од задуживања од осталих иностраних поверилаца</t>
  </si>
  <si>
    <t>Примања од иностраних финансијских деривата</t>
  </si>
  <si>
    <t>Исправка спољног дуга</t>
  </si>
  <si>
    <t>ПРИМАЊА ОД ПРОДАЈЕ ФИНАНСИЈСКЕ ИМОВИНЕ (5152 + 5162)</t>
  </si>
  <si>
    <t xml:space="preserve">ПРИМАЊА ОД ПРОДАЈЕ ДОМАЋЕ ФИНАНСИЈСКЕ ИМОВИНЕ (од 5153 до 5161) </t>
  </si>
  <si>
    <t>Примања од продаје домаћих хартија од вредности, изузев акција</t>
  </si>
  <si>
    <t>Примања од отплате кредита датих осталим нивоима власти</t>
  </si>
  <si>
    <t>Примања од отплате кредита датих домаћим јавним финансијским институцијама</t>
  </si>
  <si>
    <t>Примања од отплате кредита домаћим пословним банкама</t>
  </si>
  <si>
    <t>Примања од отплате кредита датих домаћим јавним нефинансијским институцијама</t>
  </si>
  <si>
    <t>Примања од отплате кредита датих физичким лицима и домаћинствима у земљи</t>
  </si>
  <si>
    <t>Примања од отплате кредита датих удружењима грађана у земљи</t>
  </si>
  <si>
    <t>Примања од отплате кредита датих нефинансијским приватним предузећима у земљи</t>
  </si>
  <si>
    <t>Примања од продаје домаћих акција и осталог капитала</t>
  </si>
  <si>
    <t>ПРИМАЊА ОД ПРОДАЈЕ СТРАНЕ ФИНАНСИЈСКЕ ИМОВИНЕ (од 5163 до 5170)</t>
  </si>
  <si>
    <t>Примања од продаје страних хартија од вредности, изузев акција</t>
  </si>
  <si>
    <t>Примања од отплате кредита датих страним владама</t>
  </si>
  <si>
    <t>Примања од отплате кредита датих међународним организацијама</t>
  </si>
  <si>
    <t>Примања од отплате кредита датих страним пословним банкама</t>
  </si>
  <si>
    <t>Примања од отплате кредита датих страним нефинансијским институцијама</t>
  </si>
  <si>
    <t>Примања од отплате кредита датих страним невладиним организацијама</t>
  </si>
  <si>
    <t>Примања од продаје страних акција и осталог капитала</t>
  </si>
  <si>
    <t>Примања од продаје стране валуте</t>
  </si>
  <si>
    <t>УКУПНИ ПРИХОДИ И ПРИМАЊА (5001 + 5131)</t>
  </si>
  <si>
    <t>II. УКУПНИ РАСХОДИ И ИЗДАЦИ</t>
  </si>
  <si>
    <t>(У хиљадама динара)</t>
  </si>
  <si>
    <t xml:space="preserve">Износ одобрених апропријација </t>
  </si>
  <si>
    <t>Износ извршених расхода и издатака</t>
  </si>
  <si>
    <t>Укупно           (од 6 до 11)</t>
  </si>
  <si>
    <t>Расходи и издаци на терет буџета</t>
  </si>
  <si>
    <t xml:space="preserve">Републике </t>
  </si>
  <si>
    <t>ТЕКУЋИ РАСХОДИ И ИЗДАЦИ ЗА НЕФИНАНСИЈСКЕ ИМОВИНЕ (5173 + 5341)</t>
  </si>
  <si>
    <t>ТЕКУЋИ РАСХОДИ (5174 + 5196 + 5241 + 5256 + 5280 + 5293 + 5309 + 5324)</t>
  </si>
  <si>
    <t>РАСХОДИ ЗА ЗАПОСЛЕНЕ (5175 + 5177 + 5181 + 5183 + 5188 + 5190 + 5192 + 5194)</t>
  </si>
  <si>
    <t>ПЛАТЕ, ДОДАЦИ И НАКНАДЕ ЗАПОСЛЕНИХ (ЗАРАДЕ) (5176)</t>
  </si>
  <si>
    <t>Плате, додаци и накнаде запослених</t>
  </si>
  <si>
    <t>СОЦИЈАЛНИ ДОПРИНОСИ НА ТЕРЕТ ПОСЛОДАВЦА (од 5178 до 5180)</t>
  </si>
  <si>
    <t>Допринос за пензијско и инвалидско осигурање</t>
  </si>
  <si>
    <t>Допринос за здравствено осигурање</t>
  </si>
  <si>
    <t>Допринос за незапосленост</t>
  </si>
  <si>
    <t>НАКНАДЕ У НАТУРИ (5182)</t>
  </si>
  <si>
    <t>Накнаде у натури</t>
  </si>
  <si>
    <t>СОЦИЈАЛНА ДАВАЊА ЗАПОСЛЕНИМА (од 5184 до 5187)</t>
  </si>
  <si>
    <t>Исплата накнада за време одсуствовања с посла на терет фондова</t>
  </si>
  <si>
    <t>Расходи за образовање деце запослених</t>
  </si>
  <si>
    <t>Отпремнине и помоћи</t>
  </si>
  <si>
    <t>Износ одобрених апропријација</t>
  </si>
  <si>
    <t>Помоћ у медицинском лечењу запосленог или чланова уже породице и друге помоћи запосленом</t>
  </si>
  <si>
    <t>НАКНАДА ТРОШКОВА ЗА ЗАПОСЛЕНЕ (5189)</t>
  </si>
  <si>
    <t>Накнаде трошкова за запослене</t>
  </si>
  <si>
    <t>НАГРАДЕ ЗАПОСЛЕНИМА И ОСТАЛИ ПОСЕБНИ РАСХОДИ (5191)</t>
  </si>
  <si>
    <t>Награде запосленима и остали посебни расходи</t>
  </si>
  <si>
    <t>ПОСЛАНИЧКИ ДОДАТАК (5193)</t>
  </si>
  <si>
    <t>Посланички додатак</t>
  </si>
  <si>
    <t>СУДИЈСКИ ДОДАТАК (5195)</t>
  </si>
  <si>
    <t>Судијски додатак</t>
  </si>
  <si>
    <t xml:space="preserve">КОРИШЋЕЊЕ УСЛУГА И РОБА (5197 + 5205 + 5211 + 5220 + 5228 + 5231) </t>
  </si>
  <si>
    <t>СТАЛНИ ТРОШКОВИ (од 5198 до 5204)</t>
  </si>
  <si>
    <t>Трошкови платног промета и банкарских услуга</t>
  </si>
  <si>
    <t>Енергетске услуге</t>
  </si>
  <si>
    <t>Комуналне услуге</t>
  </si>
  <si>
    <t>Услуге комуникација</t>
  </si>
  <si>
    <t>Трошкови осигурања</t>
  </si>
  <si>
    <t>Закуп имовине и опреме</t>
  </si>
  <si>
    <t>Остали трошкови</t>
  </si>
  <si>
    <t>ТРОШКОВИ ПУТОВАЊА (од 5206 до 5210)</t>
  </si>
  <si>
    <t>Трошкови службених путовања у земљи</t>
  </si>
  <si>
    <t>Трошкови службених путовања у иностранство</t>
  </si>
  <si>
    <t>Трошкови путовања у оквиру редовног рада</t>
  </si>
  <si>
    <t>Трошкови путовања ученика</t>
  </si>
  <si>
    <t>Остали трошкови транспорта</t>
  </si>
  <si>
    <t>УСЛУГЕ ПО УГОВОРУ (од 5212 до 5219)</t>
  </si>
  <si>
    <t>Административне услуге</t>
  </si>
  <si>
    <t>Компјутерске услуге</t>
  </si>
  <si>
    <t>Услуге образовања и усавршавања запослених</t>
  </si>
  <si>
    <t>Услуге информисања</t>
  </si>
  <si>
    <t>Стручне услуге</t>
  </si>
  <si>
    <t>Услуге за домаћинство и угоститељство</t>
  </si>
  <si>
    <t>Репрезентација</t>
  </si>
  <si>
    <t>Остале опште услуге</t>
  </si>
  <si>
    <t>СПЕЦИЈАЛИЗОВАНЕ УСЛУГЕ (од 5221 до 5227)</t>
  </si>
  <si>
    <t>Пољопривредне услуге</t>
  </si>
  <si>
    <t>Услуге образовања, културе и спорта</t>
  </si>
  <si>
    <t>Медицинске услуге</t>
  </si>
  <si>
    <t>Услуге одржавања аутопутева</t>
  </si>
  <si>
    <t>Услуге одржавања националних паркова и природних површина</t>
  </si>
  <si>
    <t>Услуге очувања животне средине, науке и геодетске услуге</t>
  </si>
  <si>
    <t>Остале специјализоване услуге</t>
  </si>
  <si>
    <t>ТЕКУЋЕ ПОПРАВКЕ И ОДРЖАВАЊЕ (5229 + 5230)</t>
  </si>
  <si>
    <t>Текуће поправке и одржавање зграда и објеката</t>
  </si>
  <si>
    <t>Текуће поправке и одржавање опреме</t>
  </si>
  <si>
    <t>МАТЕРИЈАЛ (од 5232 до 5240)</t>
  </si>
  <si>
    <t>Административни материјал</t>
  </si>
  <si>
    <t>Материјали за пољопривреду</t>
  </si>
  <si>
    <t>Материјали за образовање и усавршавање запослених</t>
  </si>
  <si>
    <t>Материјали за саобраћај</t>
  </si>
  <si>
    <t>Материјали за очување животне средине и науку</t>
  </si>
  <si>
    <t>Материјали за образовање, културу и спорт</t>
  </si>
  <si>
    <t>Медицински и лабораторијски материјали</t>
  </si>
  <si>
    <t>Материјали за посебне намене</t>
  </si>
  <si>
    <t>АМОРТИЗАЦИЈА И УПОТРЕБА СРЕДСТАВА ЗА РАД (5242 + 5246 + 5248 + 5250 + 5254)</t>
  </si>
  <si>
    <t>АМОРТИЗАЦИЈА НЕКРЕТНИНА И ОПРЕМЕ (од 5243 до 5245)</t>
  </si>
  <si>
    <t>Амортизација зграда и грађевинскиx објеката</t>
  </si>
  <si>
    <t>Амортизација опреме</t>
  </si>
  <si>
    <t>Амортизација осталих некретнина и опреме</t>
  </si>
  <si>
    <t>АМОРТИЗАЦИЈА КУЛТИВИСАНЕ ИМОВИНЕ (5247)</t>
  </si>
  <si>
    <t>Амортизација култивисане опреме</t>
  </si>
  <si>
    <t>УПОТРЕБА ДРАГОЦЕНОСТИ (5249)</t>
  </si>
  <si>
    <t>Употреба драгоцености</t>
  </si>
  <si>
    <t>УПОТРЕБА ПРИРОДНЕ ИМОВИНЕ (од 5251 до 5253)</t>
  </si>
  <si>
    <t>Употреба земљишта</t>
  </si>
  <si>
    <t>Употреба подземног блага</t>
  </si>
  <si>
    <t>Употреба шума и вода</t>
  </si>
  <si>
    <t>АМОРТИЗАЦИЈА НЕМАТЕРИЈАЛНЕ ИМОВИНЕ (5255)</t>
  </si>
  <si>
    <t>Амортизација нематеријалне имовине</t>
  </si>
  <si>
    <t>ОТПЛАТА КАМАТА И ПРАТЕЋИ ТРОШКОВИ ЗАДУЖИВАЊА (5257 + 5267 + 5274 + 5276)</t>
  </si>
  <si>
    <t>ОТПЛАТЕ ДОМАЋИХ КАМАТА (од 5258 до 5266)</t>
  </si>
  <si>
    <t>Отплата камата на домаће хартије од вредности</t>
  </si>
  <si>
    <t>Отплата камата осталим нивоима власти</t>
  </si>
  <si>
    <t>Отплата камата домаћим јавним финансијским институцијама</t>
  </si>
  <si>
    <t>Отплата камата домаћим пословним банкама</t>
  </si>
  <si>
    <t>Отплата камата осталим домаћим кредиторима</t>
  </si>
  <si>
    <t>Отплата камата домаћинствима у земљи</t>
  </si>
  <si>
    <t>Отплата камата на домаће финансијске деривате</t>
  </si>
  <si>
    <t>Отплата камата на домаће менице</t>
  </si>
  <si>
    <t>ОТПЛАТА СТРАНИХ КАМАТА (од 5268 до 5273)</t>
  </si>
  <si>
    <t>Отплата камата на хартије од вредности емитоване на иностраном финансијском тржишту</t>
  </si>
  <si>
    <t>Отплата камата страним владама</t>
  </si>
  <si>
    <t>Отплата камата мултилатералним институцијама</t>
  </si>
  <si>
    <t>Отплата камата страним пословним банкама</t>
  </si>
  <si>
    <t>Отплата камата осталим страним кредиторима</t>
  </si>
  <si>
    <t>Отплата камата на стране финансијске деривате</t>
  </si>
  <si>
    <t>ОТПЛАТА КАМАТА ПО ГАРАНЦИЈАМА (5275)</t>
  </si>
  <si>
    <t>Отплата камата по гаранцијама</t>
  </si>
  <si>
    <t>ПРАТЕЋИ ТРОШКОВИ ЗАДУЖИВАЊА (од 5277 до 5279)</t>
  </si>
  <si>
    <t>Негативне курсне разлике</t>
  </si>
  <si>
    <t>Казне за кашњење</t>
  </si>
  <si>
    <t>Остали пратећи трошкови задуживања</t>
  </si>
  <si>
    <t>СУБВЕНЦИЈЕ (5281 + 5284 + 5287 + 5290)</t>
  </si>
  <si>
    <t>СУБВЕНЦИЈЕ ЈАВНИМ НЕФИНАНСИЈСКИМ ПРЕДУЗЕЋИМА И ОРГАНИЗАЦИЈАМА (5282 + 5283)</t>
  </si>
  <si>
    <t>Текуће субвенције јавним нефинансијским предузећима и организацијама</t>
  </si>
  <si>
    <t>Капиталне субвенције јавним нефинансијским предузећима и организацијама</t>
  </si>
  <si>
    <t>СУБВЕНЦИЈЕ ПРИВАТНИМ ФИНАНСИЈСКИМ ИНСТИТУЦИЈАМА (5285 + 5286)</t>
  </si>
  <si>
    <t>Текуће субвенције приватним финансијским институцијама</t>
  </si>
  <si>
    <t>Капиталне субвенције приватним финансијским институцијама</t>
  </si>
  <si>
    <t>СУБВЕНЦИЈЕ ЈАВНИМ ФИНАНСИЈСКИМ ИНСТИТУЦИЈАМА (5288 + 5289)</t>
  </si>
  <si>
    <t>Текуће субвенције јавним финансијским институцијама</t>
  </si>
  <si>
    <t>Капиталне субвенције јавним финансијским институцијама</t>
  </si>
  <si>
    <t>СУБВЕНЦИЈЕ ПРИВАТНИМ ПРЕДУЗЕЋИМА (5291 + 5292)</t>
  </si>
  <si>
    <t>Текуће субвенције приватним предузећима</t>
  </si>
  <si>
    <t>Капиталне субвенције приватним предузећима</t>
  </si>
  <si>
    <t>ДОНАЦИЈЕ, ДОТАЦИЈЕ И ТРАНСФЕРИ (5294 + 5297 + 5300 + 5303 + 5306)</t>
  </si>
  <si>
    <t>ДОНАЦИЈЕ СТРАНИМ ВЛАДАМА (5295 + 5296)</t>
  </si>
  <si>
    <t>Текуће донације страним владама</t>
  </si>
  <si>
    <t>Капиталне донације страним владама</t>
  </si>
  <si>
    <t>ДОТАЦИЈЕ МЕЂУНАРОДНИМ ОРГАНИЗАЦИЈАМА (5298 + 5299)</t>
  </si>
  <si>
    <t>Текуће дотације међународним организацијама</t>
  </si>
  <si>
    <t>Капиталне дотације међународним организацијама</t>
  </si>
  <si>
    <t>ТРАНСФЕРИ ОСТАЛИМ НИВОИМА ВЛАСТИ (5301 + 5302)</t>
  </si>
  <si>
    <t>Текући трансфери осталим нивоима власти</t>
  </si>
  <si>
    <t>Капитални трансфери осталим нивоима власти</t>
  </si>
  <si>
    <t>ДОТАЦИЈЕ ОРГАНИЗАЦИЈАМА ОБАВЕЗНОГ СОЦИЈАЛНОГ ОСИГУРАЊА (5304 + 5305)</t>
  </si>
  <si>
    <t>Текуће дотације организацијама обавезног социјалног осигурања</t>
  </si>
  <si>
    <t>Капиталне дотације организацијама обавезног социјалног осигурања</t>
  </si>
  <si>
    <t>ОСТАЛЕ ДОТАЦИЈЕ И ТРАНСФЕРИ (5307 + 5308)</t>
  </si>
  <si>
    <t>Остале текуће дотације и трансфери</t>
  </si>
  <si>
    <t>Остале капиталне дотације и трансфери</t>
  </si>
  <si>
    <t>СОЦИЈАЛНО ОСИГУРАЊЕ И СОЦИЈАЛНА ЗАШТИТА (5310 + 5314)</t>
  </si>
  <si>
    <t>ПРАВА ИЗ СОЦИЈАЛНОГ ОСИГУРАЊА (ОРГАНИЗАЦИЈЕ ОБАВЕЗНОГ СОЦИЈАЛНОГ ОСИГУРАЊА) (од 5311 до 5313)</t>
  </si>
  <si>
    <t>Права из социјалног осигурања која се исплаћују непосредно домаћинствима</t>
  </si>
  <si>
    <t>Права из социјалног осигурања која се исплаћују непосредно пружаоцима услуга</t>
  </si>
  <si>
    <t>Трансфери другим организацијама обавезног социјалног осигурања за доприносе за осигурање</t>
  </si>
  <si>
    <t>НАКНАДЕ ЗА СОЦИЈАЛНУ ЗАШТИТУ ИЗ БУЏЕТА (од 5315 до 5323)</t>
  </si>
  <si>
    <t>Накнаде из буџета у случају болести и инвалидности</t>
  </si>
  <si>
    <t>Накнаде из буџета за породиљско одсуство</t>
  </si>
  <si>
    <t>Накнаде из буџета за децу и породицу</t>
  </si>
  <si>
    <t>Накнаде из буџета за случај незапослености</t>
  </si>
  <si>
    <t>Старосне и породичне пензије из буџета</t>
  </si>
  <si>
    <t>Накнаде из буџета у случају смрти</t>
  </si>
  <si>
    <t>Накнаде из буџета за образовање, културу, науку и спорт</t>
  </si>
  <si>
    <t>Накнаде из буџета за становање и живот</t>
  </si>
  <si>
    <t>Остале накнаде из буџета</t>
  </si>
  <si>
    <t>ОСТАЛИ РАСХОДИ (5325 + 5328 + 5332 + 5334 + 5337 + 5339)</t>
  </si>
  <si>
    <t>ДОТАЦИЈЕ НЕВЛАДИНИМ ОРГАНИЗАЦИЈАМА (5326 + 5327)</t>
  </si>
  <si>
    <t>Дотације непрофитним организацијама које пружају помоћ домаћинствима</t>
  </si>
  <si>
    <t>Дотације осталим непрофитним институцијама</t>
  </si>
  <si>
    <t>ПОРЕЗИ, ОБАВЕЗНЕ ТАКСЕ, КАЗНЕ, ПЕНАЛИ И КАМАТЕ (од 5329 до 5331)</t>
  </si>
  <si>
    <t>Остали порези</t>
  </si>
  <si>
    <t>Обавезне таксе</t>
  </si>
  <si>
    <t>Новчане казне, пенали и камате</t>
  </si>
  <si>
    <t>НОВЧАНЕ КАЗНЕ И ПЕНАЛИ ПО РЕШЕЊУ СУДОВА (5333)</t>
  </si>
  <si>
    <t>Новчане казне и пенали по решењу судова</t>
  </si>
  <si>
    <t>НАКНАДА ШТЕТЕ ЗА ПОВРЕДЕ ИЛИ ШТЕТУ НАСТАЛУ УСЛЕД ЕЛЕМЕНТАРНИХ НЕПОГОДА ИЛИ ДРУГИХ ПРИРОДНИХ УЗРОКА (5335 + 5336)</t>
  </si>
  <si>
    <t>Накнада штете за повреде или штету насталу услед елементарних непогода</t>
  </si>
  <si>
    <t>Накнада штете од дивљачи</t>
  </si>
  <si>
    <t>НАКНАДА ШТЕТЕ ЗА ПОВРЕДЕ ИЛИ ШТЕТУ НАНЕТУ ОД СТРАНЕ ДРЖАВНИХ ОРГАНА (5338)</t>
  </si>
  <si>
    <t>Накнада штете за повреде или штету нанетих од стране државних органа</t>
  </si>
  <si>
    <t>РАСХОДИ КОЈИ СЕ ФИНАНСИРАЈУ ИЗ СРЕДСТАВА ЗА РЕАЛИЗАЦИЈУ НАЦИОНАЛНОГ ИНВЕСТИЦИОНОГ ПЛАНА (5340)</t>
  </si>
  <si>
    <t>Расходи који се финансирају из средстава за реализацију националног инвестиционог плана</t>
  </si>
  <si>
    <t>ИЗДАЦИ ЗА НЕФИНАНСИЈСКУ ИМОВИНУ (5342 + 5364 + 5373 + 5376 + 5384)</t>
  </si>
  <si>
    <t>ОСНОВНА СРЕДСТВА (5343 + 5348 + 5358 + 5360 + 5362)</t>
  </si>
  <si>
    <t>ЗГРАДЕ И ГРАЂЕВИНСКИ ОБЈЕКТИ (од 5344 до 5347)</t>
  </si>
  <si>
    <t>Куповина зграда и објеката</t>
  </si>
  <si>
    <t>Изградња зграда и објеката</t>
  </si>
  <si>
    <t>Капитално одржавање зграда и објеката</t>
  </si>
  <si>
    <t>Пројектно планирање</t>
  </si>
  <si>
    <t>МАШИНЕ И ОПРЕМА (од 5349 до 5357)</t>
  </si>
  <si>
    <t>Опрема за саобраћај</t>
  </si>
  <si>
    <t>Административна опрема</t>
  </si>
  <si>
    <t>Опрема за пољопривреду</t>
  </si>
  <si>
    <t>Опрема за заштиту животне средине</t>
  </si>
  <si>
    <t>Медицинска и лабораторијска опрема</t>
  </si>
  <si>
    <t>Опрема за образовање, културу и спорт</t>
  </si>
  <si>
    <t>Опрема за војску</t>
  </si>
  <si>
    <t>Опрема за јавну безбедност</t>
  </si>
  <si>
    <t>Опрема за производњу, моторна, непокретна и немоторна опрема</t>
  </si>
  <si>
    <t>ОСТАЛЕ НЕКРЕТНИНЕ И ОПРЕМА (5359)</t>
  </si>
  <si>
    <t>Остале некретнине и опрема</t>
  </si>
  <si>
    <t>КУЛТИВИСАНА ИМОВИНА (5361)</t>
  </si>
  <si>
    <t>Култивисана имовина</t>
  </si>
  <si>
    <t>НЕМАТЕРИЈАЛНА ИМОВИНА (5363)</t>
  </si>
  <si>
    <t>Нематеријална имовина</t>
  </si>
  <si>
    <t>ЗАЛИХЕ (5365 + 5367 + 5371)</t>
  </si>
  <si>
    <t>РОБНЕ РЕЗЕРВЕ (5366)</t>
  </si>
  <si>
    <t>Робне резерве</t>
  </si>
  <si>
    <t>ЗАЛИХЕ ПРОИЗВОДЊЕ (од 5368 до 5370)</t>
  </si>
  <si>
    <t>Залихе материјала</t>
  </si>
  <si>
    <t>Залихе недовршене производње</t>
  </si>
  <si>
    <t>Залихе готових производа</t>
  </si>
  <si>
    <t>ЗАЛИХЕ РОБЕ ЗА ДАЉУ ПРОДАЈУ (5372)</t>
  </si>
  <si>
    <t>Залихе робе за даљу продају</t>
  </si>
  <si>
    <t>ДРАГОЦЕНОСТИ (5374)</t>
  </si>
  <si>
    <t>ДРАГОЦЕНОСТИ (5375)</t>
  </si>
  <si>
    <t>Драгоцености</t>
  </si>
  <si>
    <t>ПРИРОДНА ИМОВИНА (5377 + 5379 + 5381)</t>
  </si>
  <si>
    <t>ЗЕМЉИШТЕ (5378)</t>
  </si>
  <si>
    <t>Земљиште</t>
  </si>
  <si>
    <t>РУДНА БОГАТСТВА (5380)</t>
  </si>
  <si>
    <t>Копови</t>
  </si>
  <si>
    <t>ШУМЕ И ВОДЕ (5382 + 5383)</t>
  </si>
  <si>
    <t>Шуме</t>
  </si>
  <si>
    <t>Воде</t>
  </si>
  <si>
    <t>НЕФИНАНСИЈСКА ИМОВИНА КОЈА СЕ ФИНАНСИРА ИЗ СРЕДСТАВА ЗА РЕАЛИЗАЦИЈУ НАЦИОНАЛНОГ ИНВЕСТИЦИОНОГ ПЛАНА (5385)</t>
  </si>
  <si>
    <t>НЕФИНАНСИЈСКА ИМОВИНА КОЈА СЕ ФИНАНСИРА ИЗ СРЕДСТАВА ЗА РЕАЛИЗАЦИЈУ НАЦИОНАЛНОГ ИНВЕСТИЦИОНОГ ПЛАНА (5386)</t>
  </si>
  <si>
    <t>Нефинансијска имовина која се финансира из средстава за реализацију националног инвестиционог плана</t>
  </si>
  <si>
    <t>ИЗДАЦИ ЗА ОТПЛАТУ ГЛАВНИЦЕ И НАБАВКУ ФИНАНСИЈСКЕ ИМОВИНЕ (5388 + 5413)</t>
  </si>
  <si>
    <t>ОТПЛАТА ГЛАВНИЦЕ (5389 + 5399 + 5407 + 5409 + 5411)</t>
  </si>
  <si>
    <t>ОТПЛАТА ГЛАВНИЦЕ ДОМАЋИМ КРЕДИТОРИМА (од 5390 до 5398)</t>
  </si>
  <si>
    <t>Отплата главнице на домаће хартије од вредности, изузев акција</t>
  </si>
  <si>
    <t>Отплата главнице осталим нивоима власти</t>
  </si>
  <si>
    <t>Отплата главнице домаћим јавним финансијским институцијама</t>
  </si>
  <si>
    <t>Отплата главнице домаћим пословним банкама</t>
  </si>
  <si>
    <t>Отплата главнице осталим домаћим кредиторима</t>
  </si>
  <si>
    <t>Отплата главнице домаћинствима у земљи</t>
  </si>
  <si>
    <t>Отплата главнице на домаће финансијске деривате</t>
  </si>
  <si>
    <t>Отплата домаћих меница</t>
  </si>
  <si>
    <t>ОТПЛАТА ГЛАВНИЦЕ СТРАНИМ КРЕДИТОРИМА (од 5400 до 5406)</t>
  </si>
  <si>
    <t>Отплата главнице на хартије од вредности, изузев акција, емитоване на иностраном финансијском тржишту</t>
  </si>
  <si>
    <t>Отплата главнице страним владама</t>
  </si>
  <si>
    <t>Отплата главнице мултилатералним институцијама</t>
  </si>
  <si>
    <t>Отплате главнице страним пословним банкама</t>
  </si>
  <si>
    <t>Отплате главнице осталим страним кредиторима</t>
  </si>
  <si>
    <t>Отплата главнице на стране финансијске деривате</t>
  </si>
  <si>
    <t>ОТПЛАТА ГЛАВНИЦЕ ПО ГАРАНЦИЈАМА (5408)</t>
  </si>
  <si>
    <t>Отплата главнице по гаранцијама</t>
  </si>
  <si>
    <t>ОТПЛАТА ГЛАВНИЦЕ ЗА ФИНАНСИЈСКИ ЛИЗИНГ (5410)</t>
  </si>
  <si>
    <t>Отплата главнице за финансијски лизинг</t>
  </si>
  <si>
    <t>ОТПЛАТА ГАРАНЦИЈА ПО КОМЕРЦИЈАЛНИМ ТРАНСАКЦИЈАМА (5412)</t>
  </si>
  <si>
    <t>Отплата гаранција по комерцијалним трансакцијама</t>
  </si>
  <si>
    <t>НАБАВКА ФИНАНСИЈСКЕ ИМОВИНЕ (5414 + 5424 + 5433)</t>
  </si>
  <si>
    <t>НАБАВКА ДОМАЋЕ ФИНАНСИЈСКЕ ИМОВИНЕ (од 5415 до 5423)</t>
  </si>
  <si>
    <t>Набавка домаћих хартија од вредности, изузев акција</t>
  </si>
  <si>
    <t>Кредити осталим нивоима власти</t>
  </si>
  <si>
    <t>Кредити домаћим јавним финансијским институцијама</t>
  </si>
  <si>
    <t>Кредити домаћим пословним банкама</t>
  </si>
  <si>
    <t>Кредити домаћим нефинансијским јавним институцијама</t>
  </si>
  <si>
    <t>Кредити физичким лицима и домаћинствима у земљи</t>
  </si>
  <si>
    <t>Кредити невладиним организацијама у земљи</t>
  </si>
  <si>
    <t>Кредити домаћим нефинансијским приватним предузећима</t>
  </si>
  <si>
    <t>Набавка домаћих акција и осталог капитала</t>
  </si>
  <si>
    <t>НАБАВКА СТРАНЕ ФИНАНСИЈСКЕ ИМОВИНЕ (од 5425 до 5432)</t>
  </si>
  <si>
    <t>Набавка страних хартија од вредности, изузев акција</t>
  </si>
  <si>
    <t>Кредити страним владама</t>
  </si>
  <si>
    <t>Кредити међународним организацијама</t>
  </si>
  <si>
    <t>Кредити страним пословним банкама</t>
  </si>
  <si>
    <t>Кредити страним нефинансијским институцијама</t>
  </si>
  <si>
    <t>Кредити страним невладиним организацијама</t>
  </si>
  <si>
    <t>Набавка страних акција и осталог капитала</t>
  </si>
  <si>
    <t>Куповина стране валуте</t>
  </si>
  <si>
    <t>НАБАВКА ФИНАНСИЈСКЕ ИМОВИНЕ КОЈА СЕ ФИНАНСИРА ИЗ СРЕДСТАВА ЗА РЕАЛИЗАЦИЈУ НАЦИОНАЛНОГ ИНВЕСТИЦИОНОГ ПЛАНА (5434)</t>
  </si>
  <si>
    <t xml:space="preserve">Набавка финансијске имовине која се финансира из средстава за реализацију националног инвестиционог плана </t>
  </si>
  <si>
    <t>УКУПНИ РАСХОДИ И ИЗДАЦИ (5172 + 5387)</t>
  </si>
  <si>
    <t>mt</t>
  </si>
  <si>
    <t>Исхрана болесника</t>
  </si>
  <si>
    <t>426800/1</t>
  </si>
  <si>
    <t>Материјали за одржавање хигијене</t>
  </si>
  <si>
    <t>i</t>
  </si>
  <si>
    <t>en</t>
  </si>
  <si>
    <t>am</t>
  </si>
  <si>
    <t>426700/1</t>
  </si>
  <si>
    <t>426700/2</t>
  </si>
  <si>
    <t>426700/3</t>
  </si>
  <si>
    <t>426700/4</t>
  </si>
  <si>
    <t>426700/5</t>
  </si>
  <si>
    <t>426700/6</t>
  </si>
  <si>
    <t>Лекови са листе лекова</t>
  </si>
  <si>
    <t>426700/11</t>
  </si>
  <si>
    <t>426700/12</t>
  </si>
  <si>
    <t>426700/13</t>
  </si>
  <si>
    <t>426700/14</t>
  </si>
  <si>
    <t>Лекови у зу</t>
  </si>
  <si>
    <t>Цитостатици са листе лекова</t>
  </si>
  <si>
    <t>Лекови за хемофилију</t>
  </si>
  <si>
    <t xml:space="preserve">Лекови са Листе Ц </t>
  </si>
  <si>
    <t>Крв и лабиилни продукти од крви</t>
  </si>
  <si>
    <t xml:space="preserve">Санитетски и медицински потрошни материјал </t>
  </si>
  <si>
    <t>426700/31</t>
  </si>
  <si>
    <t>426700/32</t>
  </si>
  <si>
    <t>С.М. Који се набавља у поступку ЦЈН</t>
  </si>
  <si>
    <t>С.М. Који набавља здравствена установа</t>
  </si>
  <si>
    <t>426700/41</t>
  </si>
  <si>
    <t>426700/42</t>
  </si>
  <si>
    <t>Уградни материјал</t>
  </si>
  <si>
    <t>Имплантати у ортопедији (ендопротезе)</t>
  </si>
  <si>
    <t>Остали уградни материјал у ортопедији</t>
  </si>
  <si>
    <t>426700/43</t>
  </si>
  <si>
    <t xml:space="preserve">Остали уградни материјал </t>
  </si>
  <si>
    <t>Сочива</t>
  </si>
  <si>
    <t>Остало</t>
  </si>
  <si>
    <t>426700/43-1</t>
  </si>
  <si>
    <t>426700/43-2</t>
  </si>
  <si>
    <t>Материјал за дијализу и лекови за дијализу</t>
  </si>
  <si>
    <t>Лекови ван листе лекова</t>
  </si>
  <si>
    <t>rfzo</t>
  </si>
  <si>
    <t>?!</t>
  </si>
  <si>
    <t>+</t>
  </si>
  <si>
    <t>I УКУПНИ ПРИХОДИ И ПРИМАЊА</t>
  </si>
  <si>
    <t>Приходи од закупа од стране тржишних организација</t>
  </si>
  <si>
    <t>УКУПНИ ПРИХОДИ И ПРИМАЊА- УКУПНИ РАСХОДИ И ИЗДАЦИ</t>
  </si>
  <si>
    <t>Укупно                        (од 5 до 8)</t>
  </si>
  <si>
    <t>Укупно           (од 5 до 8)</t>
  </si>
  <si>
    <t>Износ планираних расхода и издатака</t>
  </si>
  <si>
    <t>ИЗВЕШТАЈ О ИЗВРШЕЊУ БУЏЕТА</t>
  </si>
  <si>
    <t>I. УКУПНИ ПРИХОДИ И ПРИМАЊА</t>
  </si>
  <si>
    <t>Материјали за одржавање хигијене и угоститељство</t>
  </si>
  <si>
    <t>III. УТВРЂИВАЊЕ РЕЗУЛТАТА</t>
  </si>
  <si>
    <t>Планирани приходи и примања / расходи и издаци</t>
  </si>
  <si>
    <t>Остварени приходи и и примања / расходи и издаци</t>
  </si>
  <si>
    <t>Из буџета</t>
  </si>
  <si>
    <t>ТЕКУЋИ ПРИХОДИ И ПРИМАЊА ОД ПРОДАЈЕ НЕФИНАНСИЈСКЕ ИМОВИНЕ (5001)</t>
  </si>
  <si>
    <t>ТЕКУЋИ РАСХОДИ И ИЗДАЦИ ЗА НЕФИНАНСИЈСКУ ИМОВИНУ (5172)</t>
  </si>
  <si>
    <t>Вишак прихода и примања – буџетски суфицит (5436 – 5437) &gt; 0</t>
  </si>
  <si>
    <t>Мањак прихода и примања – буџетски дефицит (5437 – 5436) &gt; 0</t>
  </si>
  <si>
    <t>ПРИМАЊА ОД ЗАДУЖИВАЊА И ПРОДАЈЕ ФИНАНСИЈСКЕ ИМОВИНЕ (5131)</t>
  </si>
  <si>
    <t>ИЗДАЦИ ЗА ОТПЛАТУ ГЛАВНИЦЕ И НАБАВКУ ФИНАНСИЈСКЕ ИМОВИНЕ (5387)</t>
  </si>
  <si>
    <t>ВИШАК ПРИМАЊА (5440 – 5441) &gt; 0</t>
  </si>
  <si>
    <t>МАЊАК ПРИМАЊА (5441 – 5440) &gt; 0</t>
  </si>
  <si>
    <t>ВИШАК НОВЧАНИХ ПРИЛИВА (5171 - 5435) &gt; 0</t>
  </si>
  <si>
    <t>МАЊАК НОВЧАНИХ ПРИЛИВА (5435 - 5171) &gt; 0</t>
  </si>
  <si>
    <t xml:space="preserve">%извршења </t>
  </si>
  <si>
    <t>(5/4)</t>
  </si>
  <si>
    <t>ТЕКУЋИ ПРИХОДИ ( 5069 + 5099 + 5103)</t>
  </si>
  <si>
    <t>ДОБРОВОЉНИ ТРАНСФЕРИ ОД ФИЗИЧКИХ И ПРАВНИХ ЛИЦА (5090 )</t>
  </si>
  <si>
    <t xml:space="preserve">ПРИМАЊА ОД ПРОДАЈЕ НЕФИНАНСИЈСКЕ ИМОВИНЕ (5107 </t>
  </si>
  <si>
    <t>ПРИМАЊА ОД ПРОДАЈЕ ОСНОВНИХ СРЕДСТАВА (5110 )</t>
  </si>
  <si>
    <t>УКУПНИ ПРИХОДИ И ПРИМАЊА (5001)</t>
  </si>
  <si>
    <t>у периоду од 01.01.2022. - 31.03.2022. године</t>
  </si>
  <si>
    <t>*</t>
  </si>
  <si>
    <t>izmeniti</t>
  </si>
  <si>
    <t>*1504</t>
  </si>
  <si>
    <t>у периоду од 01.01.2022. - 30.06.2022. године</t>
  </si>
  <si>
    <t>višak od amortizacije 140. (am inicijalni podatak 297, naknadni 157) raspoređen 40 na 424900 + 100 na 425200 na sp</t>
  </si>
  <si>
    <t>nedostaju 2.380.00 dinara</t>
  </si>
  <si>
    <t>у периоду од 01.01.2022. - 30.09.2022. године</t>
  </si>
  <si>
    <t>у периоду од 01.01.2022. - 31.12.2022. године</t>
  </si>
  <si>
    <t>Потраживања од РФЗО по кон.обрачуну 2021.</t>
  </si>
  <si>
    <t>Укупно</t>
  </si>
  <si>
    <t>%извршења</t>
  </si>
  <si>
    <t>Укупно                        (од 8 до 11)</t>
  </si>
  <si>
    <t>Општине /
градаОпштине /
градаОпштине /
градаОпштине /
градаОпштине /
градаОпштине /
градаОпштине /
градаОпштине /
градаОпштине /
градаОпштине /
градаОпштине /
градаОпштине /
градаОпштине /
града</t>
  </si>
  <si>
    <t>6 =4+5</t>
  </si>
  <si>
    <t>(7/6)</t>
  </si>
  <si>
    <t>Укупно           (од 8до 11)</t>
  </si>
  <si>
    <t>Општине /
града</t>
  </si>
  <si>
    <t>Za ukupni iznos navedenih stavki koje se umanjuju a koji iznosi 2.160.000,00 dinara uvećava se pozicija 426800/1- Materijali za održavanje higijene.</t>
  </si>
  <si>
    <t>140 oslobođeno</t>
  </si>
  <si>
    <t>522 hilj oslobođeno, 72 angažovano. 522-72=450 hilj oslobođ</t>
  </si>
  <si>
    <t xml:space="preserve">Износ планираних расхода и издатака </t>
  </si>
  <si>
    <t>Општине / града</t>
  </si>
  <si>
    <t>Пот. од РФЗО по кон.обрачуну 2022. и друга потр.</t>
  </si>
  <si>
    <t>Потр.од РФЗО по кон.обрачуну 2022. и друга потр.</t>
  </si>
  <si>
    <t>у периоду од 01.01.2023. - 31.03.2023. године</t>
  </si>
  <si>
    <t>realizac</t>
  </si>
  <si>
    <t>-311-590=279 inic planirani deficit 311+ oslobođena sr 590 (450+140) daju ukupan suficit 279</t>
  </si>
  <si>
    <t>264+311=575</t>
  </si>
  <si>
    <t>у периоду од 01.01.2023. - 30.06.2023. године</t>
  </si>
  <si>
    <t>279-372-12-4+373=264-13=251-256=-5</t>
  </si>
  <si>
    <t>posle 6. izmene rezultat je def -5. Do inicijalno planiranog deficita ima još 306 hilj. Mogu se angažovati sopstvena sredstva tog iznosa.</t>
  </si>
  <si>
    <t>у периоду од 01.01.2023. - 30.09.2023. године</t>
  </si>
  <si>
    <r>
      <t>-</t>
    </r>
    <r>
      <rPr>
        <sz val="7"/>
        <rFont val="Times New Roman"/>
        <family val="1"/>
      </rPr>
      <t xml:space="preserve">          </t>
    </r>
    <r>
      <rPr>
        <sz val="13"/>
        <rFont val="Calibri"/>
        <family val="2"/>
      </rPr>
      <t>Sitnog inventara za kuhinju u iznosu od 815 hilj. dinara (426900 – Materijal za posebne namene),</t>
    </r>
  </si>
  <si>
    <r>
      <t>-</t>
    </r>
    <r>
      <rPr>
        <sz val="7"/>
        <rFont val="Times New Roman"/>
        <family val="1"/>
      </rPr>
      <t xml:space="preserve">          </t>
    </r>
    <r>
      <rPr>
        <sz val="13"/>
        <rFont val="Calibri"/>
        <family val="2"/>
      </rPr>
      <t>Posteljno rublje u iznosu od 2.151 hilj. dinara (426900 – Materijal za posebne namene),</t>
    </r>
  </si>
  <si>
    <r>
      <t>-</t>
    </r>
    <r>
      <rPr>
        <sz val="7"/>
        <rFont val="Times New Roman"/>
        <family val="1"/>
      </rPr>
      <t xml:space="preserve">          </t>
    </r>
    <r>
      <rPr>
        <sz val="13"/>
        <rFont val="Calibri"/>
        <family val="2"/>
      </rPr>
      <t>Zaštitne opreme u iznosu od 1.164 hilj. dinara (426100- Administrativni materijal).</t>
    </r>
  </si>
  <si>
    <t>РЕБАЛАНСИРАНИ ФИНАНСИЈСКИ ПЛАН ЗА 2023. ГОДИНУ</t>
  </si>
  <si>
    <r>
      <t xml:space="preserve">             </t>
    </r>
    <r>
      <rPr>
        <sz val="13"/>
        <rFont val="Calibri"/>
        <family val="2"/>
      </rPr>
      <t>šef odeljenja za ekonomsko finasijske poslove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</si>
</sst>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#"/>
  </numFmts>
  <fonts count="57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  <charset val="238"/>
    </font>
    <font>
      <sz val="10"/>
      <name val="Arial"/>
      <family val="2"/>
    </font>
    <font>
      <sz val="10"/>
      <name val="Times New Roman"/>
      <family val="1"/>
      <charset val="238"/>
    </font>
    <font>
      <sz val="10"/>
      <name val="Times New Roman"/>
      <family val="1"/>
    </font>
    <font>
      <b/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b/>
      <sz val="10"/>
      <name val="Times New Roman"/>
      <family val="1"/>
    </font>
    <font>
      <i/>
      <sz val="10"/>
      <name val="Times New Roman"/>
      <family val="1"/>
    </font>
    <font>
      <i/>
      <sz val="9"/>
      <name val="Times New Roman"/>
      <family val="1"/>
    </font>
    <font>
      <sz val="10"/>
      <color theme="1"/>
      <name val="Times New Roman"/>
      <family val="1"/>
      <charset val="238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9"/>
      <name val="Times New Roman"/>
      <family val="1"/>
      <charset val="238"/>
    </font>
    <font>
      <b/>
      <i/>
      <sz val="10"/>
      <name val="Times New Roman"/>
      <family val="1"/>
      <charset val="238"/>
    </font>
    <font>
      <i/>
      <sz val="11"/>
      <name val="Calibri"/>
      <family val="2"/>
      <scheme val="minor"/>
    </font>
    <font>
      <b/>
      <i/>
      <sz val="1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rgb="FF7030A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</font>
    <font>
      <b/>
      <i/>
      <sz val="10"/>
      <color theme="1"/>
      <name val="Times New Roman"/>
      <family val="1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9"/>
      <color theme="1"/>
      <name val="Times New Roman"/>
      <family val="1"/>
    </font>
    <font>
      <i/>
      <sz val="10"/>
      <color theme="1"/>
      <name val="Times New Roman"/>
      <family val="1"/>
    </font>
    <font>
      <sz val="22"/>
      <color theme="1"/>
      <name val="Calibri"/>
      <family val="2"/>
      <scheme val="minor"/>
    </font>
    <font>
      <b/>
      <i/>
      <sz val="10"/>
      <color theme="1"/>
      <name val="Times New Roman"/>
      <family val="1"/>
      <charset val="238"/>
    </font>
    <font>
      <i/>
      <sz val="11"/>
      <color theme="1"/>
      <name val="Calibri"/>
      <family val="2"/>
      <scheme val="minor"/>
    </font>
    <font>
      <sz val="10"/>
      <color rgb="FF00B050"/>
      <name val="Times New Roman"/>
      <family val="1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11"/>
      <color rgb="FF000000"/>
      <name val="Calibri"/>
      <family val="2"/>
    </font>
    <font>
      <b/>
      <sz val="20"/>
      <name val="Calibri"/>
      <family val="2"/>
      <scheme val="minor"/>
    </font>
    <font>
      <b/>
      <sz val="18"/>
      <name val="Calibri"/>
      <family val="2"/>
      <scheme val="minor"/>
    </font>
    <font>
      <sz val="22"/>
      <name val="Calibri"/>
      <family val="2"/>
      <scheme val="minor"/>
    </font>
    <font>
      <sz val="10"/>
      <color rgb="FFFF3399"/>
      <name val="Times New Roman"/>
      <family val="1"/>
    </font>
    <font>
      <sz val="10"/>
      <color rgb="FFFF3399"/>
      <name val="Times New Roman"/>
      <family val="1"/>
      <charset val="23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92D050"/>
      <name val="Times New Roman"/>
      <family val="1"/>
      <charset val="238"/>
    </font>
    <font>
      <b/>
      <sz val="13"/>
      <name val="Calibri"/>
      <family val="2"/>
    </font>
    <font>
      <b/>
      <u/>
      <sz val="13"/>
      <name val="Calibri"/>
      <family val="2"/>
    </font>
    <font>
      <sz val="13"/>
      <name val="Calibri"/>
      <family val="2"/>
    </font>
    <font>
      <sz val="7"/>
      <name val="Times New Roman"/>
      <family val="1"/>
    </font>
    <font>
      <b/>
      <sz val="11"/>
      <name val="Calibri"/>
      <family val="2"/>
    </font>
    <font>
      <sz val="14"/>
      <name val="Calibri"/>
      <family val="2"/>
      <scheme val="minor"/>
    </font>
    <font>
      <sz val="1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C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9" fillId="0" borderId="0"/>
  </cellStyleXfs>
  <cellXfs count="743">
    <xf numFmtId="0" fontId="0" fillId="0" borderId="0" xfId="0"/>
    <xf numFmtId="164" fontId="1" fillId="0" borderId="4" xfId="0" applyNumberFormat="1" applyFont="1" applyBorder="1" applyAlignment="1">
      <alignment horizontal="right" wrapText="1"/>
    </xf>
    <xf numFmtId="164" fontId="3" fillId="0" borderId="4" xfId="0" applyNumberFormat="1" applyFont="1" applyBorder="1" applyAlignment="1" applyProtection="1">
      <alignment horizontal="right" wrapText="1"/>
      <protection locked="0"/>
    </xf>
    <xf numFmtId="0" fontId="1" fillId="0" borderId="4" xfId="0" applyFont="1" applyBorder="1" applyAlignment="1">
      <alignment wrapText="1"/>
    </xf>
    <xf numFmtId="0" fontId="3" fillId="0" borderId="3" xfId="0" applyFont="1" applyBorder="1" applyAlignment="1">
      <alignment horizontal="center" wrapText="1"/>
    </xf>
    <xf numFmtId="0" fontId="3" fillId="0" borderId="4" xfId="0" applyFont="1" applyBorder="1" applyAlignment="1">
      <alignment horizontal="center" wrapText="1"/>
    </xf>
    <xf numFmtId="0" fontId="3" fillId="0" borderId="4" xfId="0" applyFont="1" applyBorder="1" applyAlignment="1">
      <alignment wrapText="1"/>
    </xf>
    <xf numFmtId="164" fontId="1" fillId="2" borderId="4" xfId="0" applyNumberFormat="1" applyFont="1" applyFill="1" applyBorder="1" applyAlignment="1">
      <alignment horizontal="right" wrapText="1"/>
    </xf>
    <xf numFmtId="164" fontId="3" fillId="2" borderId="4" xfId="0" applyNumberFormat="1" applyFont="1" applyFill="1" applyBorder="1" applyAlignment="1" applyProtection="1">
      <alignment horizontal="right" wrapText="1"/>
      <protection locked="0"/>
    </xf>
    <xf numFmtId="0" fontId="3" fillId="3" borderId="4" xfId="0" applyFont="1" applyFill="1" applyBorder="1" applyAlignment="1">
      <alignment wrapText="1"/>
    </xf>
    <xf numFmtId="0" fontId="0" fillId="3" borderId="0" xfId="0" applyFill="1"/>
    <xf numFmtId="164" fontId="3" fillId="0" borderId="0" xfId="0" applyNumberFormat="1" applyFont="1" applyFill="1" applyBorder="1" applyAlignment="1" applyProtection="1">
      <alignment horizontal="right" wrapText="1"/>
      <protection locked="0"/>
    </xf>
    <xf numFmtId="0" fontId="14" fillId="3" borderId="0" xfId="0" applyFont="1" applyFill="1"/>
    <xf numFmtId="0" fontId="5" fillId="3" borderId="0" xfId="0" applyFont="1" applyFill="1" applyAlignment="1">
      <alignment horizontal="left"/>
    </xf>
    <xf numFmtId="0" fontId="2" fillId="3" borderId="0" xfId="0" applyFont="1" applyFill="1" applyAlignment="1"/>
    <xf numFmtId="0" fontId="1" fillId="3" borderId="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49" fontId="1" fillId="3" borderId="3" xfId="0" applyNumberFormat="1" applyFont="1" applyFill="1" applyBorder="1" applyAlignment="1">
      <alignment horizontal="center"/>
    </xf>
    <xf numFmtId="0" fontId="1" fillId="3" borderId="4" xfId="0" applyFont="1" applyFill="1" applyBorder="1" applyAlignment="1">
      <alignment wrapText="1"/>
    </xf>
    <xf numFmtId="164" fontId="1" fillId="3" borderId="4" xfId="0" applyNumberFormat="1" applyFont="1" applyFill="1" applyBorder="1" applyAlignment="1">
      <alignment horizontal="right" wrapText="1"/>
    </xf>
    <xf numFmtId="164" fontId="1" fillId="3" borderId="4" xfId="0" applyNumberFormat="1" applyFont="1" applyFill="1" applyBorder="1" applyAlignment="1" applyProtection="1">
      <alignment horizontal="right" wrapText="1"/>
      <protection locked="0"/>
    </xf>
    <xf numFmtId="164" fontId="1" fillId="3" borderId="4" xfId="0" applyNumberFormat="1" applyFont="1" applyFill="1" applyBorder="1" applyAlignment="1" applyProtection="1">
      <alignment horizontal="right" wrapText="1"/>
    </xf>
    <xf numFmtId="0" fontId="3" fillId="3" borderId="3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wrapText="1"/>
    </xf>
    <xf numFmtId="164" fontId="3" fillId="3" borderId="5" xfId="0" applyNumberFormat="1" applyFont="1" applyFill="1" applyBorder="1" applyAlignment="1" applyProtection="1">
      <alignment horizontal="right" wrapText="1"/>
    </xf>
    <xf numFmtId="164" fontId="3" fillId="3" borderId="4" xfId="0" applyNumberFormat="1" applyFont="1" applyFill="1" applyBorder="1" applyAlignment="1" applyProtection="1">
      <alignment horizontal="right" wrapText="1"/>
    </xf>
    <xf numFmtId="0" fontId="1" fillId="3" borderId="5" xfId="1" applyFont="1" applyFill="1" applyBorder="1" applyAlignment="1" applyProtection="1">
      <alignment horizontal="center" wrapText="1"/>
    </xf>
    <xf numFmtId="0" fontId="1" fillId="3" borderId="9" xfId="1" applyFont="1" applyFill="1" applyBorder="1" applyAlignment="1" applyProtection="1">
      <alignment horizontal="center" wrapText="1"/>
    </xf>
    <xf numFmtId="0" fontId="1" fillId="3" borderId="4" xfId="1" applyFont="1" applyFill="1" applyBorder="1" applyAlignment="1">
      <alignment horizontal="center" wrapText="1"/>
    </xf>
    <xf numFmtId="0" fontId="1" fillId="3" borderId="8" xfId="1" applyFont="1" applyFill="1" applyBorder="1" applyAlignment="1" applyProtection="1">
      <alignment horizontal="center" wrapText="1"/>
    </xf>
    <xf numFmtId="49" fontId="3" fillId="3" borderId="3" xfId="1" applyNumberFormat="1" applyFont="1" applyFill="1" applyBorder="1" applyAlignment="1" applyProtection="1">
      <alignment horizontal="center" wrapText="1"/>
    </xf>
    <xf numFmtId="49" fontId="1" fillId="3" borderId="4" xfId="1" applyNumberFormat="1" applyFont="1" applyFill="1" applyBorder="1" applyAlignment="1" applyProtection="1">
      <alignment horizontal="center" wrapText="1"/>
    </xf>
    <xf numFmtId="49" fontId="1" fillId="3" borderId="4" xfId="1" applyNumberFormat="1" applyFont="1" applyFill="1" applyBorder="1" applyAlignment="1">
      <alignment horizontal="center" wrapText="1"/>
    </xf>
    <xf numFmtId="0" fontId="1" fillId="3" borderId="4" xfId="1" applyFont="1" applyFill="1" applyBorder="1" applyAlignment="1" applyProtection="1">
      <alignment horizontal="center" wrapText="1"/>
    </xf>
    <xf numFmtId="0" fontId="1" fillId="3" borderId="4" xfId="0" applyFont="1" applyFill="1" applyBorder="1" applyAlignment="1" applyProtection="1">
      <alignment horizontal="center" wrapText="1"/>
    </xf>
    <xf numFmtId="164" fontId="3" fillId="3" borderId="4" xfId="0" applyNumberFormat="1" applyFont="1" applyFill="1" applyBorder="1" applyAlignment="1" applyProtection="1">
      <alignment horizontal="right" wrapText="1"/>
      <protection locked="0"/>
    </xf>
    <xf numFmtId="164" fontId="3" fillId="3" borderId="4" xfId="0" applyNumberFormat="1" applyFont="1" applyFill="1" applyBorder="1" applyAlignment="1">
      <alignment horizontal="right" wrapText="1"/>
    </xf>
    <xf numFmtId="164" fontId="4" fillId="3" borderId="4" xfId="0" applyNumberFormat="1" applyFont="1" applyFill="1" applyBorder="1" applyAlignment="1" applyProtection="1">
      <alignment horizontal="right" wrapText="1"/>
      <protection locked="0"/>
    </xf>
    <xf numFmtId="0" fontId="1" fillId="3" borderId="6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0" fontId="1" fillId="3" borderId="7" xfId="0" applyFont="1" applyFill="1" applyBorder="1" applyAlignment="1">
      <alignment wrapText="1"/>
    </xf>
    <xf numFmtId="164" fontId="1" fillId="3" borderId="7" xfId="0" applyNumberFormat="1" applyFont="1" applyFill="1" applyBorder="1" applyAlignment="1">
      <alignment horizontal="right" wrapText="1"/>
    </xf>
    <xf numFmtId="0" fontId="2" fillId="3" borderId="0" xfId="0" applyFont="1" applyFill="1" applyAlignment="1">
      <alignment horizontal="center"/>
    </xf>
    <xf numFmtId="164" fontId="14" fillId="3" borderId="0" xfId="0" applyNumberFormat="1" applyFont="1" applyFill="1"/>
    <xf numFmtId="0" fontId="3" fillId="3" borderId="4" xfId="0" applyFont="1" applyFill="1" applyBorder="1" applyAlignment="1" applyProtection="1">
      <alignment horizontal="center" wrapText="1"/>
    </xf>
    <xf numFmtId="0" fontId="2" fillId="3" borderId="4" xfId="0" applyFont="1" applyFill="1" applyBorder="1" applyAlignment="1"/>
    <xf numFmtId="164" fontId="3" fillId="3" borderId="0" xfId="0" applyNumberFormat="1" applyFont="1" applyFill="1" applyBorder="1" applyAlignment="1" applyProtection="1">
      <alignment horizontal="right" wrapText="1"/>
      <protection locked="0"/>
    </xf>
    <xf numFmtId="164" fontId="8" fillId="3" borderId="4" xfId="0" applyNumberFormat="1" applyFont="1" applyFill="1" applyBorder="1" applyAlignment="1" applyProtection="1">
      <alignment horizontal="right" wrapText="1"/>
      <protection locked="0"/>
    </xf>
    <xf numFmtId="0" fontId="8" fillId="3" borderId="4" xfId="0" applyFont="1" applyFill="1" applyBorder="1" applyAlignment="1">
      <alignment horizontal="center" wrapText="1"/>
    </xf>
    <xf numFmtId="0" fontId="8" fillId="3" borderId="4" xfId="0" applyFont="1" applyFill="1" applyBorder="1" applyAlignment="1">
      <alignment wrapText="1"/>
    </xf>
    <xf numFmtId="0" fontId="3" fillId="3" borderId="4" xfId="0" applyFont="1" applyFill="1" applyBorder="1" applyAlignment="1">
      <alignment horizontal="center" vertical="center" wrapText="1"/>
    </xf>
    <xf numFmtId="0" fontId="8" fillId="3" borderId="4" xfId="0" applyFont="1" applyFill="1" applyBorder="1" applyAlignment="1" applyProtection="1">
      <alignment horizontal="center" wrapText="1"/>
    </xf>
    <xf numFmtId="0" fontId="8" fillId="3" borderId="4" xfId="0" applyFont="1" applyFill="1" applyBorder="1" applyAlignment="1">
      <alignment horizontal="center" vertical="center" wrapText="1"/>
    </xf>
    <xf numFmtId="164" fontId="8" fillId="3" borderId="4" xfId="0" applyNumberFormat="1" applyFont="1" applyFill="1" applyBorder="1" applyAlignment="1">
      <alignment horizontal="right" wrapText="1"/>
    </xf>
    <xf numFmtId="0" fontId="10" fillId="3" borderId="4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wrapText="1"/>
    </xf>
    <xf numFmtId="164" fontId="9" fillId="3" borderId="4" xfId="0" applyNumberFormat="1" applyFont="1" applyFill="1" applyBorder="1" applyAlignment="1" applyProtection="1">
      <alignment horizontal="right" wrapText="1"/>
      <protection locked="0"/>
    </xf>
    <xf numFmtId="164" fontId="9" fillId="3" borderId="4" xfId="0" applyNumberFormat="1" applyFont="1" applyFill="1" applyBorder="1" applyAlignment="1">
      <alignment horizontal="right" wrapText="1"/>
    </xf>
    <xf numFmtId="0" fontId="14" fillId="3" borderId="4" xfId="0" applyFont="1" applyFill="1" applyBorder="1"/>
    <xf numFmtId="164" fontId="15" fillId="3" borderId="0" xfId="0" applyNumberFormat="1" applyFont="1" applyFill="1"/>
    <xf numFmtId="0" fontId="1" fillId="3" borderId="0" xfId="0" applyFont="1" applyFill="1" applyBorder="1" applyAlignment="1">
      <alignment horizontal="center" wrapText="1"/>
    </xf>
    <xf numFmtId="0" fontId="3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wrapText="1"/>
    </xf>
    <xf numFmtId="164" fontId="1" fillId="3" borderId="0" xfId="0" applyNumberFormat="1" applyFont="1" applyFill="1" applyBorder="1" applyAlignment="1">
      <alignment horizontal="right" wrapText="1"/>
    </xf>
    <xf numFmtId="164" fontId="13" fillId="3" borderId="0" xfId="0" applyNumberFormat="1" applyFont="1" applyFill="1"/>
    <xf numFmtId="0" fontId="1" fillId="3" borderId="17" xfId="0" applyFont="1" applyFill="1" applyBorder="1" applyAlignment="1">
      <alignment horizontal="center" wrapText="1"/>
    </xf>
    <xf numFmtId="164" fontId="1" fillId="3" borderId="17" xfId="0" applyNumberFormat="1" applyFont="1" applyFill="1" applyBorder="1" applyAlignment="1">
      <alignment horizontal="right" wrapText="1"/>
    </xf>
    <xf numFmtId="164" fontId="1" fillId="3" borderId="17" xfId="0" applyNumberFormat="1" applyFont="1" applyFill="1" applyBorder="1" applyAlignment="1" applyProtection="1">
      <alignment horizontal="right" wrapText="1"/>
    </xf>
    <xf numFmtId="164" fontId="3" fillId="3" borderId="17" xfId="0" applyNumberFormat="1" applyFont="1" applyFill="1" applyBorder="1" applyAlignment="1" applyProtection="1">
      <alignment horizontal="right" wrapText="1"/>
    </xf>
    <xf numFmtId="49" fontId="1" fillId="3" borderId="17" xfId="1" applyNumberFormat="1" applyFont="1" applyFill="1" applyBorder="1" applyAlignment="1">
      <alignment horizontal="center" wrapText="1"/>
    </xf>
    <xf numFmtId="49" fontId="1" fillId="3" borderId="17" xfId="1" applyNumberFormat="1" applyFont="1" applyFill="1" applyBorder="1" applyAlignment="1" applyProtection="1">
      <alignment horizontal="center" wrapText="1"/>
    </xf>
    <xf numFmtId="164" fontId="3" fillId="3" borderId="17" xfId="0" applyNumberFormat="1" applyFont="1" applyFill="1" applyBorder="1" applyAlignment="1" applyProtection="1">
      <alignment horizontal="right" wrapText="1"/>
      <protection locked="0"/>
    </xf>
    <xf numFmtId="164" fontId="4" fillId="3" borderId="17" xfId="0" applyNumberFormat="1" applyFont="1" applyFill="1" applyBorder="1" applyAlignment="1" applyProtection="1">
      <alignment horizontal="right" wrapText="1"/>
      <protection locked="0"/>
    </xf>
    <xf numFmtId="164" fontId="1" fillId="3" borderId="18" xfId="0" applyNumberFormat="1" applyFont="1" applyFill="1" applyBorder="1" applyAlignment="1">
      <alignment horizontal="right" wrapText="1"/>
    </xf>
    <xf numFmtId="0" fontId="1" fillId="3" borderId="5" xfId="1" applyFont="1" applyFill="1" applyBorder="1" applyAlignment="1">
      <alignment wrapText="1"/>
    </xf>
    <xf numFmtId="0" fontId="1" fillId="0" borderId="4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6" fillId="0" borderId="0" xfId="1" applyFont="1" applyAlignment="1">
      <alignment vertical="center"/>
    </xf>
    <xf numFmtId="0" fontId="1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49" fontId="1" fillId="0" borderId="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49" fontId="3" fillId="0" borderId="3" xfId="1" applyNumberFormat="1" applyFont="1" applyBorder="1" applyAlignment="1" applyProtection="1">
      <alignment horizontal="center" vertical="center" wrapText="1"/>
    </xf>
    <xf numFmtId="49" fontId="1" fillId="0" borderId="4" xfId="1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1" fillId="0" borderId="3" xfId="0" applyFont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49" fontId="1" fillId="0" borderId="3" xfId="1" applyNumberFormat="1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49" fontId="1" fillId="0" borderId="14" xfId="1" applyNumberFormat="1" applyFont="1" applyBorder="1" applyAlignment="1">
      <alignment horizontal="center" vertical="center" wrapText="1"/>
    </xf>
    <xf numFmtId="49" fontId="1" fillId="0" borderId="14" xfId="1" applyNumberFormat="1" applyFont="1" applyBorder="1" applyAlignment="1" applyProtection="1">
      <alignment horizontal="center" vertical="center" wrapText="1"/>
    </xf>
    <xf numFmtId="164" fontId="1" fillId="0" borderId="4" xfId="0" applyNumberFormat="1" applyFont="1" applyBorder="1" applyAlignment="1">
      <alignment horizontal="right" vertical="center" wrapText="1"/>
    </xf>
    <xf numFmtId="164" fontId="1" fillId="0" borderId="14" xfId="0" applyNumberFormat="1" applyFont="1" applyBorder="1" applyAlignment="1">
      <alignment horizontal="right" vertical="center" wrapText="1"/>
    </xf>
    <xf numFmtId="164" fontId="1" fillId="0" borderId="4" xfId="0" applyNumberFormat="1" applyFont="1" applyBorder="1" applyAlignment="1" applyProtection="1">
      <alignment horizontal="right" vertical="center" wrapText="1"/>
    </xf>
    <xf numFmtId="164" fontId="1" fillId="0" borderId="14" xfId="0" applyNumberFormat="1" applyFont="1" applyBorder="1" applyAlignment="1" applyProtection="1">
      <alignment horizontal="right" vertical="center" wrapText="1"/>
    </xf>
    <xf numFmtId="164" fontId="3" fillId="0" borderId="5" xfId="0" applyNumberFormat="1" applyFont="1" applyBorder="1" applyAlignment="1" applyProtection="1">
      <alignment horizontal="right" vertical="center" wrapText="1"/>
    </xf>
    <xf numFmtId="164" fontId="3" fillId="0" borderId="28" xfId="0" applyNumberFormat="1" applyFont="1" applyBorder="1" applyAlignment="1" applyProtection="1">
      <alignment horizontal="right" vertical="center" wrapText="1"/>
    </xf>
    <xf numFmtId="164" fontId="3" fillId="0" borderId="4" xfId="0" applyNumberFormat="1" applyFont="1" applyBorder="1" applyAlignment="1" applyProtection="1">
      <alignment horizontal="right" vertical="center" wrapText="1"/>
    </xf>
    <xf numFmtId="164" fontId="3" fillId="0" borderId="14" xfId="0" applyNumberFormat="1" applyFont="1" applyBorder="1" applyAlignment="1" applyProtection="1">
      <alignment horizontal="right" vertical="center" wrapText="1"/>
    </xf>
    <xf numFmtId="164" fontId="3" fillId="0" borderId="4" xfId="0" applyNumberFormat="1" applyFont="1" applyBorder="1" applyAlignment="1" applyProtection="1">
      <alignment horizontal="right" vertical="center" wrapText="1"/>
      <protection locked="0"/>
    </xf>
    <xf numFmtId="164" fontId="3" fillId="0" borderId="4" xfId="0" applyNumberFormat="1" applyFont="1" applyBorder="1" applyAlignment="1">
      <alignment horizontal="right" vertical="center" wrapText="1"/>
    </xf>
    <xf numFmtId="164" fontId="3" fillId="0" borderId="14" xfId="0" applyNumberFormat="1" applyFont="1" applyBorder="1" applyAlignment="1" applyProtection="1">
      <alignment horizontal="right" vertical="center" wrapText="1"/>
      <protection locked="0"/>
    </xf>
    <xf numFmtId="164" fontId="4" fillId="0" borderId="4" xfId="0" applyNumberFormat="1" applyFont="1" applyBorder="1" applyAlignment="1" applyProtection="1">
      <alignment horizontal="right" vertical="center" wrapText="1"/>
      <protection locked="0"/>
    </xf>
    <xf numFmtId="164" fontId="4" fillId="0" borderId="14" xfId="0" applyNumberFormat="1" applyFont="1" applyBorder="1" applyAlignment="1" applyProtection="1">
      <alignment horizontal="right" vertical="center" wrapText="1"/>
      <protection locked="0"/>
    </xf>
    <xf numFmtId="164" fontId="1" fillId="0" borderId="7" xfId="0" applyNumberFormat="1" applyFont="1" applyBorder="1" applyAlignment="1">
      <alignment horizontal="right" vertical="center" wrapText="1"/>
    </xf>
    <xf numFmtId="164" fontId="1" fillId="0" borderId="29" xfId="0" applyNumberFormat="1" applyFont="1" applyBorder="1" applyAlignment="1">
      <alignment horizontal="right" vertical="center" wrapText="1"/>
    </xf>
    <xf numFmtId="10" fontId="0" fillId="0" borderId="0" xfId="0" applyNumberFormat="1" applyAlignment="1">
      <alignment vertical="center"/>
    </xf>
    <xf numFmtId="0" fontId="17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 vertical="center"/>
    </xf>
    <xf numFmtId="164" fontId="1" fillId="0" borderId="5" xfId="0" applyNumberFormat="1" applyFont="1" applyBorder="1" applyAlignment="1">
      <alignment horizontal="right" vertical="center" wrapText="1"/>
    </xf>
    <xf numFmtId="164" fontId="1" fillId="0" borderId="28" xfId="0" applyNumberFormat="1" applyFont="1" applyBorder="1" applyAlignment="1">
      <alignment horizontal="right" vertical="center" wrapText="1"/>
    </xf>
    <xf numFmtId="164" fontId="1" fillId="0" borderId="17" xfId="0" applyNumberFormat="1" applyFont="1" applyBorder="1" applyAlignment="1">
      <alignment horizontal="right" vertical="center" wrapText="1"/>
    </xf>
    <xf numFmtId="164" fontId="3" fillId="0" borderId="17" xfId="0" applyNumberFormat="1" applyFont="1" applyBorder="1" applyAlignment="1">
      <alignment horizontal="right" vertical="center" wrapText="1"/>
    </xf>
    <xf numFmtId="164" fontId="1" fillId="0" borderId="18" xfId="0" applyNumberFormat="1" applyFont="1" applyBorder="1" applyAlignment="1">
      <alignment horizontal="right" vertical="center" wrapText="1"/>
    </xf>
    <xf numFmtId="0" fontId="19" fillId="3" borderId="4" xfId="0" applyFont="1" applyFill="1" applyBorder="1" applyAlignment="1">
      <alignment wrapText="1"/>
    </xf>
    <xf numFmtId="164" fontId="19" fillId="3" borderId="4" xfId="0" applyNumberFormat="1" applyFont="1" applyFill="1" applyBorder="1" applyAlignment="1">
      <alignment horizontal="right" wrapText="1"/>
    </xf>
    <xf numFmtId="3" fontId="19" fillId="3" borderId="4" xfId="0" applyNumberFormat="1" applyFont="1" applyFill="1" applyBorder="1" applyAlignment="1">
      <alignment horizontal="right" wrapText="1"/>
    </xf>
    <xf numFmtId="0" fontId="20" fillId="3" borderId="0" xfId="0" applyFont="1" applyFill="1"/>
    <xf numFmtId="164" fontId="21" fillId="4" borderId="4" xfId="0" applyNumberFormat="1" applyFont="1" applyFill="1" applyBorder="1" applyAlignment="1" applyProtection="1">
      <alignment horizontal="right" wrapText="1"/>
      <protection locked="0"/>
    </xf>
    <xf numFmtId="164" fontId="4" fillId="0" borderId="4" xfId="0" applyNumberFormat="1" applyFont="1" applyBorder="1" applyAlignment="1">
      <alignment horizontal="right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49" fontId="1" fillId="0" borderId="4" xfId="1" applyNumberFormat="1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0" fontId="1" fillId="0" borderId="17" xfId="0" applyNumberFormat="1" applyFont="1" applyFill="1" applyBorder="1" applyAlignment="1">
      <alignment horizontal="right" vertical="center" wrapText="1"/>
    </xf>
    <xf numFmtId="10" fontId="1" fillId="0" borderId="18" xfId="0" applyNumberFormat="1" applyFont="1" applyFill="1" applyBorder="1" applyAlignment="1">
      <alignment horizontal="right" vertical="center" wrapText="1"/>
    </xf>
    <xf numFmtId="49" fontId="1" fillId="0" borderId="4" xfId="1" applyNumberFormat="1" applyFont="1" applyBorder="1" applyAlignment="1" applyProtection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64" fontId="11" fillId="0" borderId="4" xfId="0" applyNumberFormat="1" applyFont="1" applyBorder="1" applyAlignment="1" applyProtection="1">
      <alignment horizontal="right" vertical="center" wrapText="1"/>
      <protection locked="0"/>
    </xf>
    <xf numFmtId="164" fontId="11" fillId="0" borderId="4" xfId="0" applyNumberFormat="1" applyFont="1" applyBorder="1" applyAlignment="1">
      <alignment horizontal="right" vertical="center" wrapText="1"/>
    </xf>
    <xf numFmtId="164" fontId="11" fillId="0" borderId="14" xfId="0" applyNumberFormat="1" applyFont="1" applyBorder="1" applyAlignment="1" applyProtection="1">
      <alignment horizontal="right" vertical="center" wrapText="1"/>
      <protection locked="0"/>
    </xf>
    <xf numFmtId="10" fontId="25" fillId="0" borderId="17" xfId="0" applyNumberFormat="1" applyFont="1" applyFill="1" applyBorder="1" applyAlignment="1">
      <alignment horizontal="right" vertical="center" wrapText="1"/>
    </xf>
    <xf numFmtId="0" fontId="26" fillId="3" borderId="0" xfId="0" applyFont="1" applyFill="1" applyAlignment="1">
      <alignment horizontal="left"/>
    </xf>
    <xf numFmtId="0" fontId="27" fillId="3" borderId="0" xfId="0" applyFont="1" applyFill="1" applyAlignment="1"/>
    <xf numFmtId="0" fontId="0" fillId="3" borderId="0" xfId="0" applyFont="1" applyFill="1"/>
    <xf numFmtId="0" fontId="25" fillId="3" borderId="5" xfId="1" applyFont="1" applyFill="1" applyBorder="1" applyAlignment="1">
      <alignment wrapText="1"/>
    </xf>
    <xf numFmtId="0" fontId="25" fillId="3" borderId="4" xfId="0" applyFont="1" applyFill="1" applyBorder="1" applyAlignment="1">
      <alignment horizontal="center" wrapText="1"/>
    </xf>
    <xf numFmtId="0" fontId="25" fillId="3" borderId="3" xfId="0" applyFont="1" applyFill="1" applyBorder="1" applyAlignment="1">
      <alignment horizontal="center" wrapText="1"/>
    </xf>
    <xf numFmtId="0" fontId="25" fillId="3" borderId="17" xfId="0" applyFont="1" applyFill="1" applyBorder="1" applyAlignment="1">
      <alignment horizontal="center" wrapText="1"/>
    </xf>
    <xf numFmtId="49" fontId="25" fillId="3" borderId="3" xfId="0" applyNumberFormat="1" applyFont="1" applyFill="1" applyBorder="1" applyAlignment="1">
      <alignment horizontal="center"/>
    </xf>
    <xf numFmtId="0" fontId="25" fillId="3" borderId="4" xfId="0" applyFont="1" applyFill="1" applyBorder="1" applyAlignment="1">
      <alignment wrapText="1"/>
    </xf>
    <xf numFmtId="164" fontId="25" fillId="3" borderId="4" xfId="0" applyNumberFormat="1" applyFont="1" applyFill="1" applyBorder="1" applyAlignment="1">
      <alignment horizontal="right" wrapText="1"/>
    </xf>
    <xf numFmtId="164" fontId="25" fillId="3" borderId="17" xfId="0" applyNumberFormat="1" applyFont="1" applyFill="1" applyBorder="1" applyAlignment="1">
      <alignment horizontal="right" wrapText="1"/>
    </xf>
    <xf numFmtId="164" fontId="25" fillId="3" borderId="4" xfId="0" applyNumberFormat="1" applyFont="1" applyFill="1" applyBorder="1" applyAlignment="1" applyProtection="1">
      <alignment horizontal="right" wrapText="1"/>
      <protection locked="0"/>
    </xf>
    <xf numFmtId="164" fontId="25" fillId="3" borderId="4" xfId="0" applyNumberFormat="1" applyFont="1" applyFill="1" applyBorder="1" applyAlignment="1" applyProtection="1">
      <alignment horizontal="right" wrapText="1"/>
    </xf>
    <xf numFmtId="164" fontId="25" fillId="3" borderId="17" xfId="0" applyNumberFormat="1" applyFont="1" applyFill="1" applyBorder="1" applyAlignment="1" applyProtection="1">
      <alignment horizontal="right" wrapText="1"/>
    </xf>
    <xf numFmtId="0" fontId="11" fillId="3" borderId="3" xfId="0" applyFont="1" applyFill="1" applyBorder="1" applyAlignment="1">
      <alignment horizontal="center" wrapText="1"/>
    </xf>
    <xf numFmtId="0" fontId="11" fillId="3" borderId="4" xfId="0" applyFont="1" applyFill="1" applyBorder="1" applyAlignment="1">
      <alignment horizontal="center" wrapText="1"/>
    </xf>
    <xf numFmtId="0" fontId="11" fillId="3" borderId="4" xfId="0" applyFont="1" applyFill="1" applyBorder="1" applyAlignment="1">
      <alignment wrapText="1"/>
    </xf>
    <xf numFmtId="0" fontId="11" fillId="3" borderId="5" xfId="0" applyFont="1" applyFill="1" applyBorder="1" applyAlignment="1">
      <alignment wrapText="1"/>
    </xf>
    <xf numFmtId="164" fontId="11" fillId="3" borderId="5" xfId="0" applyNumberFormat="1" applyFont="1" applyFill="1" applyBorder="1" applyAlignment="1" applyProtection="1">
      <alignment horizontal="right" wrapText="1"/>
    </xf>
    <xf numFmtId="164" fontId="11" fillId="3" borderId="4" xfId="0" applyNumberFormat="1" applyFont="1" applyFill="1" applyBorder="1" applyAlignment="1" applyProtection="1">
      <alignment horizontal="right" wrapText="1"/>
    </xf>
    <xf numFmtId="164" fontId="11" fillId="3" borderId="17" xfId="0" applyNumberFormat="1" applyFont="1" applyFill="1" applyBorder="1" applyAlignment="1" applyProtection="1">
      <alignment horizontal="right" wrapText="1"/>
    </xf>
    <xf numFmtId="0" fontId="25" fillId="3" borderId="5" xfId="1" applyFont="1" applyFill="1" applyBorder="1" applyAlignment="1" applyProtection="1">
      <alignment horizontal="center" wrapText="1"/>
    </xf>
    <xf numFmtId="0" fontId="25" fillId="3" borderId="9" xfId="1" applyFont="1" applyFill="1" applyBorder="1" applyAlignment="1" applyProtection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25" fillId="3" borderId="8" xfId="1" applyFont="1" applyFill="1" applyBorder="1" applyAlignment="1" applyProtection="1">
      <alignment horizontal="center" wrapText="1"/>
    </xf>
    <xf numFmtId="49" fontId="11" fillId="3" borderId="3" xfId="1" applyNumberFormat="1" applyFont="1" applyFill="1" applyBorder="1" applyAlignment="1" applyProtection="1">
      <alignment horizontal="center" wrapText="1"/>
    </xf>
    <xf numFmtId="49" fontId="25" fillId="3" borderId="4" xfId="1" applyNumberFormat="1" applyFont="1" applyFill="1" applyBorder="1" applyAlignment="1" applyProtection="1">
      <alignment horizontal="center" wrapText="1"/>
    </xf>
    <xf numFmtId="49" fontId="25" fillId="3" borderId="4" xfId="1" applyNumberFormat="1" applyFont="1" applyFill="1" applyBorder="1" applyAlignment="1">
      <alignment horizontal="center" wrapText="1"/>
    </xf>
    <xf numFmtId="49" fontId="25" fillId="3" borderId="17" xfId="1" applyNumberFormat="1" applyFont="1" applyFill="1" applyBorder="1" applyAlignment="1">
      <alignment horizontal="center" wrapText="1"/>
    </xf>
    <xf numFmtId="0" fontId="25" fillId="3" borderId="4" xfId="1" applyFont="1" applyFill="1" applyBorder="1" applyAlignment="1" applyProtection="1">
      <alignment horizontal="center" wrapText="1"/>
    </xf>
    <xf numFmtId="0" fontId="25" fillId="3" borderId="4" xfId="0" applyFont="1" applyFill="1" applyBorder="1" applyAlignment="1" applyProtection="1">
      <alignment horizontal="center" wrapText="1"/>
    </xf>
    <xf numFmtId="49" fontId="25" fillId="3" borderId="17" xfId="1" applyNumberFormat="1" applyFont="1" applyFill="1" applyBorder="1" applyAlignment="1" applyProtection="1">
      <alignment horizontal="center" wrapText="1"/>
    </xf>
    <xf numFmtId="164" fontId="11" fillId="3" borderId="4" xfId="0" applyNumberFormat="1" applyFont="1" applyFill="1" applyBorder="1" applyAlignment="1" applyProtection="1">
      <alignment horizontal="right" wrapText="1"/>
      <protection locked="0"/>
    </xf>
    <xf numFmtId="164" fontId="11" fillId="3" borderId="4" xfId="0" applyNumberFormat="1" applyFont="1" applyFill="1" applyBorder="1" applyAlignment="1">
      <alignment horizontal="right" wrapText="1"/>
    </xf>
    <xf numFmtId="164" fontId="11" fillId="3" borderId="17" xfId="0" applyNumberFormat="1" applyFont="1" applyFill="1" applyBorder="1" applyAlignment="1" applyProtection="1">
      <alignment horizontal="right" wrapText="1"/>
      <protection locked="0"/>
    </xf>
    <xf numFmtId="164" fontId="23" fillId="3" borderId="4" xfId="0" applyNumberFormat="1" applyFont="1" applyFill="1" applyBorder="1" applyAlignment="1" applyProtection="1">
      <alignment horizontal="right" wrapText="1"/>
      <protection locked="0"/>
    </xf>
    <xf numFmtId="164" fontId="23" fillId="3" borderId="17" xfId="0" applyNumberFormat="1" applyFont="1" applyFill="1" applyBorder="1" applyAlignment="1" applyProtection="1">
      <alignment horizontal="right" wrapText="1"/>
      <protection locked="0"/>
    </xf>
    <xf numFmtId="164" fontId="22" fillId="3" borderId="4" xfId="0" applyNumberFormat="1" applyFont="1" applyFill="1" applyBorder="1" applyAlignment="1" applyProtection="1">
      <alignment horizontal="right" wrapText="1"/>
      <protection locked="0"/>
    </xf>
    <xf numFmtId="164" fontId="28" fillId="3" borderId="4" xfId="0" applyNumberFormat="1" applyFont="1" applyFill="1" applyBorder="1" applyAlignment="1" applyProtection="1">
      <alignment horizontal="right" wrapText="1"/>
      <protection locked="0"/>
    </xf>
    <xf numFmtId="0" fontId="29" fillId="3" borderId="0" xfId="0" applyFont="1" applyFill="1"/>
    <xf numFmtId="164" fontId="23" fillId="3" borderId="4" xfId="0" applyNumberFormat="1" applyFont="1" applyFill="1" applyBorder="1" applyAlignment="1">
      <alignment horizontal="right" wrapText="1"/>
    </xf>
    <xf numFmtId="0" fontId="25" fillId="3" borderId="6" xfId="0" applyFont="1" applyFill="1" applyBorder="1" applyAlignment="1">
      <alignment horizontal="center" wrapText="1"/>
    </xf>
    <xf numFmtId="0" fontId="11" fillId="3" borderId="7" xfId="0" applyFont="1" applyFill="1" applyBorder="1" applyAlignment="1">
      <alignment horizontal="center" wrapText="1"/>
    </xf>
    <xf numFmtId="0" fontId="25" fillId="3" borderId="7" xfId="0" applyFont="1" applyFill="1" applyBorder="1" applyAlignment="1">
      <alignment wrapText="1"/>
    </xf>
    <xf numFmtId="164" fontId="25" fillId="3" borderId="7" xfId="0" applyNumberFormat="1" applyFont="1" applyFill="1" applyBorder="1" applyAlignment="1">
      <alignment horizontal="right" wrapText="1"/>
    </xf>
    <xf numFmtId="164" fontId="25" fillId="3" borderId="18" xfId="0" applyNumberFormat="1" applyFont="1" applyFill="1" applyBorder="1" applyAlignment="1">
      <alignment horizontal="right" wrapText="1"/>
    </xf>
    <xf numFmtId="0" fontId="25" fillId="3" borderId="0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wrapText="1"/>
    </xf>
    <xf numFmtId="0" fontId="25" fillId="3" borderId="0" xfId="0" applyFont="1" applyFill="1" applyBorder="1" applyAlignment="1">
      <alignment wrapText="1"/>
    </xf>
    <xf numFmtId="164" fontId="25" fillId="3" borderId="0" xfId="0" applyNumberFormat="1" applyFont="1" applyFill="1" applyBorder="1" applyAlignment="1">
      <alignment horizontal="right" wrapText="1"/>
    </xf>
    <xf numFmtId="0" fontId="27" fillId="3" borderId="0" xfId="0" applyFont="1" applyFill="1" applyAlignment="1">
      <alignment horizontal="center"/>
    </xf>
    <xf numFmtId="164" fontId="0" fillId="3" borderId="0" xfId="0" applyNumberFormat="1" applyFont="1" applyFill="1"/>
    <xf numFmtId="0" fontId="11" fillId="3" borderId="4" xfId="0" applyFont="1" applyFill="1" applyBorder="1" applyAlignment="1" applyProtection="1">
      <alignment horizontal="center" wrapText="1"/>
    </xf>
    <xf numFmtId="0" fontId="27" fillId="3" borderId="4" xfId="0" applyFont="1" applyFill="1" applyBorder="1" applyAlignment="1"/>
    <xf numFmtId="164" fontId="11" fillId="3" borderId="0" xfId="0" applyNumberFormat="1" applyFont="1" applyFill="1" applyBorder="1" applyAlignment="1" applyProtection="1">
      <alignment horizontal="right" wrapText="1"/>
      <protection locked="0"/>
    </xf>
    <xf numFmtId="0" fontId="30" fillId="3" borderId="0" xfId="0" applyFont="1" applyFill="1"/>
    <xf numFmtId="0" fontId="22" fillId="3" borderId="4" xfId="0" applyFont="1" applyFill="1" applyBorder="1" applyAlignment="1">
      <alignment horizontal="center" wrapText="1"/>
    </xf>
    <xf numFmtId="0" fontId="22" fillId="3" borderId="4" xfId="0" applyFont="1" applyFill="1" applyBorder="1" applyAlignment="1">
      <alignment wrapText="1"/>
    </xf>
    <xf numFmtId="0" fontId="11" fillId="3" borderId="4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 applyProtection="1">
      <alignment horizontal="center" wrapText="1"/>
    </xf>
    <xf numFmtId="0" fontId="22" fillId="3" borderId="4" xfId="0" applyFont="1" applyFill="1" applyBorder="1" applyAlignment="1">
      <alignment horizontal="center" vertical="center" wrapText="1"/>
    </xf>
    <xf numFmtId="164" fontId="22" fillId="3" borderId="4" xfId="0" applyNumberFormat="1" applyFont="1" applyFill="1" applyBorder="1" applyAlignment="1">
      <alignment horizontal="right" wrapText="1"/>
    </xf>
    <xf numFmtId="0" fontId="31" fillId="3" borderId="4" xfId="0" applyFont="1" applyFill="1" applyBorder="1" applyAlignment="1">
      <alignment horizontal="center" wrapText="1"/>
    </xf>
    <xf numFmtId="0" fontId="32" fillId="3" borderId="4" xfId="0" applyFont="1" applyFill="1" applyBorder="1" applyAlignment="1">
      <alignment wrapText="1"/>
    </xf>
    <xf numFmtId="164" fontId="32" fillId="3" borderId="4" xfId="0" applyNumberFormat="1" applyFont="1" applyFill="1" applyBorder="1" applyAlignment="1" applyProtection="1">
      <alignment horizontal="right" wrapText="1"/>
      <protection locked="0"/>
    </xf>
    <xf numFmtId="164" fontId="32" fillId="3" borderId="4" xfId="0" applyNumberFormat="1" applyFont="1" applyFill="1" applyBorder="1" applyAlignment="1">
      <alignment horizontal="right" wrapText="1"/>
    </xf>
    <xf numFmtId="0" fontId="0" fillId="3" borderId="4" xfId="0" applyFont="1" applyFill="1" applyBorder="1"/>
    <xf numFmtId="0" fontId="33" fillId="3" borderId="0" xfId="0" applyFont="1" applyFill="1"/>
    <xf numFmtId="164" fontId="12" fillId="3" borderId="0" xfId="0" applyNumberFormat="1" applyFont="1" applyFill="1"/>
    <xf numFmtId="0" fontId="34" fillId="3" borderId="4" xfId="0" applyFont="1" applyFill="1" applyBorder="1" applyAlignment="1">
      <alignment wrapText="1"/>
    </xf>
    <xf numFmtId="164" fontId="34" fillId="3" borderId="4" xfId="0" applyNumberFormat="1" applyFont="1" applyFill="1" applyBorder="1" applyAlignment="1">
      <alignment horizontal="right" wrapText="1"/>
    </xf>
    <xf numFmtId="3" fontId="34" fillId="3" borderId="4" xfId="0" applyNumberFormat="1" applyFont="1" applyFill="1" applyBorder="1" applyAlignment="1">
      <alignment horizontal="right" wrapText="1"/>
    </xf>
    <xf numFmtId="0" fontId="35" fillId="3" borderId="0" xfId="0" applyFont="1" applyFill="1"/>
    <xf numFmtId="49" fontId="1" fillId="0" borderId="4" xfId="1" applyNumberFormat="1" applyFont="1" applyBorder="1" applyAlignment="1" applyProtection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0" fontId="6" fillId="0" borderId="17" xfId="0" applyNumberFormat="1" applyFont="1" applyFill="1" applyBorder="1" applyAlignment="1">
      <alignment horizontal="right" vertical="center" wrapText="1"/>
    </xf>
    <xf numFmtId="164" fontId="7" fillId="0" borderId="4" xfId="0" applyNumberFormat="1" applyFont="1" applyBorder="1" applyAlignment="1" applyProtection="1">
      <alignment horizontal="right" vertical="center" wrapText="1"/>
      <protection locked="0"/>
    </xf>
    <xf numFmtId="49" fontId="6" fillId="0" borderId="4" xfId="1" applyNumberFormat="1" applyFont="1" applyBorder="1" applyAlignment="1" applyProtection="1">
      <alignment horizontal="center" vertical="center" wrapText="1"/>
    </xf>
    <xf numFmtId="164" fontId="6" fillId="0" borderId="4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 wrapText="1"/>
    </xf>
    <xf numFmtId="0" fontId="25" fillId="3" borderId="4" xfId="0" applyFont="1" applyFill="1" applyBorder="1" applyAlignment="1">
      <alignment horizontal="center" wrapText="1"/>
    </xf>
    <xf numFmtId="0" fontId="25" fillId="3" borderId="17" xfId="0" applyFont="1" applyFill="1" applyBorder="1" applyAlignment="1">
      <alignment horizontal="center" wrapText="1"/>
    </xf>
    <xf numFmtId="0" fontId="25" fillId="3" borderId="5" xfId="1" applyFont="1" applyFill="1" applyBorder="1" applyAlignment="1" applyProtection="1">
      <alignment horizontal="center" wrapText="1"/>
    </xf>
    <xf numFmtId="0" fontId="25" fillId="3" borderId="9" xfId="1" applyFont="1" applyFill="1" applyBorder="1" applyAlignment="1" applyProtection="1">
      <alignment horizontal="center" wrapText="1"/>
    </xf>
    <xf numFmtId="0" fontId="25" fillId="3" borderId="8" xfId="1" applyFont="1" applyFill="1" applyBorder="1" applyAlignment="1" applyProtection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25" fillId="3" borderId="3" xfId="0" applyFont="1" applyFill="1" applyBorder="1" applyAlignment="1">
      <alignment horizontal="center" wrapText="1"/>
    </xf>
    <xf numFmtId="49" fontId="25" fillId="3" borderId="4" xfId="1" applyNumberFormat="1" applyFont="1" applyFill="1" applyBorder="1" applyAlignment="1" applyProtection="1">
      <alignment horizontal="center" wrapText="1"/>
    </xf>
    <xf numFmtId="0" fontId="25" fillId="3" borderId="4" xfId="1" applyFont="1" applyFill="1" applyBorder="1" applyAlignment="1" applyProtection="1">
      <alignment horizontal="center" wrapText="1"/>
    </xf>
    <xf numFmtId="0" fontId="25" fillId="3" borderId="4" xfId="0" applyFont="1" applyFill="1" applyBorder="1" applyAlignment="1" applyProtection="1">
      <alignment horizontal="center" wrapText="1"/>
    </xf>
    <xf numFmtId="0" fontId="27" fillId="3" borderId="4" xfId="0" applyFont="1" applyFill="1" applyBorder="1" applyAlignment="1"/>
    <xf numFmtId="0" fontId="14" fillId="0" borderId="0" xfId="0" applyFont="1"/>
    <xf numFmtId="0" fontId="3" fillId="0" borderId="5" xfId="0" applyFont="1" applyBorder="1" applyAlignment="1">
      <alignment vertical="center" wrapText="1"/>
    </xf>
    <xf numFmtId="164" fontId="1" fillId="0" borderId="4" xfId="0" applyNumberFormat="1" applyFont="1" applyBorder="1" applyAlignment="1">
      <alignment vertical="center" wrapText="1"/>
    </xf>
    <xf numFmtId="164" fontId="3" fillId="0" borderId="4" xfId="0" applyNumberFormat="1" applyFont="1" applyBorder="1" applyAlignment="1">
      <alignment vertical="center" wrapText="1"/>
    </xf>
    <xf numFmtId="164" fontId="1" fillId="0" borderId="7" xfId="0" applyNumberFormat="1" applyFont="1" applyBorder="1" applyAlignment="1">
      <alignment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49" fontId="1" fillId="0" borderId="4" xfId="1" applyNumberFormat="1" applyFont="1" applyBorder="1" applyAlignment="1" applyProtection="1">
      <alignment horizontal="center" vertical="center" wrapText="1"/>
    </xf>
    <xf numFmtId="0" fontId="1" fillId="0" borderId="4" xfId="1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3" fontId="1" fillId="0" borderId="4" xfId="0" applyNumberFormat="1" applyFont="1" applyBorder="1" applyAlignment="1">
      <alignment vertical="center" wrapText="1"/>
    </xf>
    <xf numFmtId="3" fontId="3" fillId="0" borderId="4" xfId="0" applyNumberFormat="1" applyFont="1" applyBorder="1" applyAlignment="1">
      <alignment vertical="center" wrapText="1"/>
    </xf>
    <xf numFmtId="3" fontId="1" fillId="0" borderId="4" xfId="0" applyNumberFormat="1" applyFont="1" applyBorder="1" applyAlignment="1">
      <alignment horizontal="right" vertical="center" wrapText="1"/>
    </xf>
    <xf numFmtId="3" fontId="1" fillId="0" borderId="4" xfId="1" applyNumberFormat="1" applyFont="1" applyBorder="1" applyAlignment="1" applyProtection="1">
      <alignment horizontal="center" vertical="center" wrapText="1"/>
    </xf>
    <xf numFmtId="3" fontId="1" fillId="0" borderId="7" xfId="0" applyNumberFormat="1" applyFont="1" applyBorder="1" applyAlignment="1">
      <alignment vertical="center" wrapText="1"/>
    </xf>
    <xf numFmtId="164" fontId="6" fillId="0" borderId="14" xfId="0" applyNumberFormat="1" applyFont="1" applyBorder="1" applyAlignment="1">
      <alignment horizontal="right" vertical="center" wrapText="1"/>
    </xf>
    <xf numFmtId="164" fontId="7" fillId="0" borderId="14" xfId="0" applyNumberFormat="1" applyFont="1" applyBorder="1" applyAlignment="1" applyProtection="1">
      <alignment horizontal="right" vertical="center" wrapText="1"/>
      <protection locked="0"/>
    </xf>
    <xf numFmtId="0" fontId="40" fillId="0" borderId="33" xfId="2" applyFont="1" applyBorder="1" applyAlignment="1">
      <alignment horizontal="center" vertical="center" wrapText="1"/>
    </xf>
    <xf numFmtId="0" fontId="40" fillId="0" borderId="34" xfId="2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3" fillId="0" borderId="36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40" fillId="0" borderId="42" xfId="2" applyFont="1" applyBorder="1" applyAlignment="1">
      <alignment horizontal="center" vertical="center" wrapText="1"/>
    </xf>
    <xf numFmtId="49" fontId="1" fillId="0" borderId="36" xfId="0" applyNumberFormat="1" applyFont="1" applyBorder="1" applyAlignment="1">
      <alignment horizontal="center" vertical="center"/>
    </xf>
    <xf numFmtId="49" fontId="3" fillId="0" borderId="36" xfId="1" applyNumberFormat="1" applyFont="1" applyBorder="1" applyAlignment="1" applyProtection="1">
      <alignment horizontal="center" vertical="center" wrapText="1"/>
    </xf>
    <xf numFmtId="0" fontId="40" fillId="0" borderId="41" xfId="2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1" fillId="0" borderId="36" xfId="0" applyFont="1" applyBorder="1" applyAlignment="1" applyProtection="1">
      <alignment horizontal="center" vertical="center" wrapText="1"/>
    </xf>
    <xf numFmtId="0" fontId="3" fillId="0" borderId="36" xfId="0" applyFont="1" applyBorder="1" applyAlignment="1" applyProtection="1">
      <alignment horizontal="center" vertical="center" wrapText="1"/>
    </xf>
    <xf numFmtId="49" fontId="1" fillId="0" borderId="36" xfId="1" applyNumberFormat="1" applyFont="1" applyBorder="1" applyAlignment="1" applyProtection="1">
      <alignment horizontal="center" vertical="center" wrapText="1"/>
    </xf>
    <xf numFmtId="0" fontId="1" fillId="0" borderId="37" xfId="0" applyFont="1" applyBorder="1" applyAlignment="1" applyProtection="1">
      <alignment horizontal="center" vertical="center" wrapText="1"/>
    </xf>
    <xf numFmtId="164" fontId="3" fillId="0" borderId="4" xfId="0" applyNumberFormat="1" applyFont="1" applyFill="1" applyBorder="1" applyAlignment="1" applyProtection="1">
      <alignment horizontal="right" wrapText="1"/>
      <protection locked="0"/>
    </xf>
    <xf numFmtId="164" fontId="4" fillId="0" borderId="4" xfId="0" applyNumberFormat="1" applyFont="1" applyFill="1" applyBorder="1" applyAlignment="1" applyProtection="1">
      <alignment horizontal="right" wrapText="1"/>
      <protection locked="0"/>
    </xf>
    <xf numFmtId="0" fontId="5" fillId="0" borderId="0" xfId="0" applyFont="1" applyFill="1" applyAlignment="1">
      <alignment horizontal="left"/>
    </xf>
    <xf numFmtId="0" fontId="2" fillId="0" borderId="0" xfId="0" applyFont="1" applyFill="1" applyAlignment="1"/>
    <xf numFmtId="0" fontId="14" fillId="0" borderId="0" xfId="0" applyFont="1" applyFill="1"/>
    <xf numFmtId="0" fontId="1" fillId="0" borderId="5" xfId="1" applyFont="1" applyFill="1" applyBorder="1" applyAlignment="1">
      <alignment wrapText="1"/>
    </xf>
    <xf numFmtId="0" fontId="1" fillId="0" borderId="4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17" xfId="0" applyFont="1" applyFill="1" applyBorder="1" applyAlignment="1">
      <alignment horizontal="center" wrapText="1"/>
    </xf>
    <xf numFmtId="49" fontId="1" fillId="0" borderId="3" xfId="0" applyNumberFormat="1" applyFont="1" applyFill="1" applyBorder="1" applyAlignment="1">
      <alignment horizontal="center"/>
    </xf>
    <xf numFmtId="0" fontId="1" fillId="0" borderId="4" xfId="0" applyFont="1" applyFill="1" applyBorder="1" applyAlignment="1">
      <alignment wrapText="1"/>
    </xf>
    <xf numFmtId="164" fontId="1" fillId="0" borderId="4" xfId="0" applyNumberFormat="1" applyFont="1" applyFill="1" applyBorder="1" applyAlignment="1">
      <alignment horizontal="right" wrapText="1"/>
    </xf>
    <xf numFmtId="164" fontId="1" fillId="0" borderId="17" xfId="0" applyNumberFormat="1" applyFont="1" applyFill="1" applyBorder="1" applyAlignment="1">
      <alignment horizontal="right" wrapText="1"/>
    </xf>
    <xf numFmtId="164" fontId="1" fillId="0" borderId="4" xfId="0" applyNumberFormat="1" applyFont="1" applyFill="1" applyBorder="1" applyAlignment="1" applyProtection="1">
      <alignment horizontal="right" wrapText="1"/>
      <protection locked="0"/>
    </xf>
    <xf numFmtId="164" fontId="1" fillId="0" borderId="4" xfId="0" applyNumberFormat="1" applyFont="1" applyFill="1" applyBorder="1" applyAlignment="1" applyProtection="1">
      <alignment horizontal="right" wrapText="1"/>
    </xf>
    <xf numFmtId="164" fontId="1" fillId="0" borderId="17" xfId="0" applyNumberFormat="1" applyFont="1" applyFill="1" applyBorder="1" applyAlignment="1" applyProtection="1">
      <alignment horizontal="right" wrapText="1"/>
    </xf>
    <xf numFmtId="0" fontId="3" fillId="0" borderId="3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wrapText="1"/>
    </xf>
    <xf numFmtId="0" fontId="3" fillId="0" borderId="5" xfId="0" applyFont="1" applyFill="1" applyBorder="1" applyAlignment="1">
      <alignment wrapText="1"/>
    </xf>
    <xf numFmtId="164" fontId="3" fillId="0" borderId="5" xfId="0" applyNumberFormat="1" applyFont="1" applyFill="1" applyBorder="1" applyAlignment="1" applyProtection="1">
      <alignment horizontal="right" wrapText="1"/>
    </xf>
    <xf numFmtId="164" fontId="3" fillId="0" borderId="4" xfId="0" applyNumberFormat="1" applyFont="1" applyFill="1" applyBorder="1" applyAlignment="1" applyProtection="1">
      <alignment horizontal="right" wrapText="1"/>
    </xf>
    <xf numFmtId="164" fontId="3" fillId="0" borderId="17" xfId="0" applyNumberFormat="1" applyFont="1" applyFill="1" applyBorder="1" applyAlignment="1" applyProtection="1">
      <alignment horizontal="right" wrapText="1"/>
    </xf>
    <xf numFmtId="0" fontId="1" fillId="0" borderId="5" xfId="1" applyFont="1" applyFill="1" applyBorder="1" applyAlignment="1" applyProtection="1">
      <alignment horizontal="center" wrapText="1"/>
    </xf>
    <xf numFmtId="0" fontId="1" fillId="0" borderId="9" xfId="1" applyFont="1" applyFill="1" applyBorder="1" applyAlignment="1" applyProtection="1">
      <alignment horizontal="center" wrapText="1"/>
    </xf>
    <xf numFmtId="0" fontId="1" fillId="0" borderId="4" xfId="1" applyFont="1" applyFill="1" applyBorder="1" applyAlignment="1">
      <alignment horizontal="center" wrapText="1"/>
    </xf>
    <xf numFmtId="0" fontId="1" fillId="0" borderId="8" xfId="1" applyFont="1" applyFill="1" applyBorder="1" applyAlignment="1" applyProtection="1">
      <alignment horizontal="center" wrapText="1"/>
    </xf>
    <xf numFmtId="49" fontId="3" fillId="0" borderId="3" xfId="1" applyNumberFormat="1" applyFont="1" applyFill="1" applyBorder="1" applyAlignment="1" applyProtection="1">
      <alignment horizontal="center" wrapText="1"/>
    </xf>
    <xf numFmtId="49" fontId="1" fillId="0" borderId="4" xfId="1" applyNumberFormat="1" applyFont="1" applyFill="1" applyBorder="1" applyAlignment="1" applyProtection="1">
      <alignment horizontal="center" wrapText="1"/>
    </xf>
    <xf numFmtId="49" fontId="1" fillId="0" borderId="4" xfId="1" applyNumberFormat="1" applyFont="1" applyFill="1" applyBorder="1" applyAlignment="1">
      <alignment horizontal="center" wrapText="1"/>
    </xf>
    <xf numFmtId="49" fontId="1" fillId="0" borderId="17" xfId="1" applyNumberFormat="1" applyFont="1" applyFill="1" applyBorder="1" applyAlignment="1">
      <alignment horizontal="center" wrapText="1"/>
    </xf>
    <xf numFmtId="0" fontId="1" fillId="0" borderId="4" xfId="1" applyFont="1" applyFill="1" applyBorder="1" applyAlignment="1" applyProtection="1">
      <alignment horizontal="center" wrapText="1"/>
    </xf>
    <xf numFmtId="0" fontId="1" fillId="0" borderId="4" xfId="0" applyFont="1" applyFill="1" applyBorder="1" applyAlignment="1" applyProtection="1">
      <alignment horizontal="center" wrapText="1"/>
    </xf>
    <xf numFmtId="49" fontId="1" fillId="0" borderId="17" xfId="1" applyNumberFormat="1" applyFont="1" applyFill="1" applyBorder="1" applyAlignment="1" applyProtection="1">
      <alignment horizontal="center" wrapText="1"/>
    </xf>
    <xf numFmtId="164" fontId="3" fillId="0" borderId="4" xfId="0" applyNumberFormat="1" applyFont="1" applyFill="1" applyBorder="1" applyAlignment="1">
      <alignment horizontal="right" wrapText="1"/>
    </xf>
    <xf numFmtId="164" fontId="3" fillId="0" borderId="17" xfId="0" applyNumberFormat="1" applyFont="1" applyFill="1" applyBorder="1" applyAlignment="1" applyProtection="1">
      <alignment horizontal="right" wrapText="1"/>
      <protection locked="0"/>
    </xf>
    <xf numFmtId="164" fontId="4" fillId="0" borderId="17" xfId="0" applyNumberFormat="1" applyFont="1" applyFill="1" applyBorder="1" applyAlignment="1" applyProtection="1">
      <alignment horizontal="right" wrapText="1"/>
      <protection locked="0"/>
    </xf>
    <xf numFmtId="164" fontId="8" fillId="0" borderId="4" xfId="0" applyNumberFormat="1" applyFont="1" applyFill="1" applyBorder="1" applyAlignment="1" applyProtection="1">
      <alignment horizontal="right" wrapText="1"/>
      <protection locked="0"/>
    </xf>
    <xf numFmtId="164" fontId="21" fillId="0" borderId="4" xfId="0" applyNumberFormat="1" applyFont="1" applyFill="1" applyBorder="1" applyAlignment="1" applyProtection="1">
      <alignment horizontal="right" wrapText="1"/>
      <protection locked="0"/>
    </xf>
    <xf numFmtId="0" fontId="1" fillId="0" borderId="6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wrapText="1"/>
    </xf>
    <xf numFmtId="164" fontId="1" fillId="0" borderId="7" xfId="0" applyNumberFormat="1" applyFont="1" applyFill="1" applyBorder="1" applyAlignment="1">
      <alignment horizontal="right" wrapText="1"/>
    </xf>
    <xf numFmtId="164" fontId="1" fillId="0" borderId="18" xfId="0" applyNumberFormat="1" applyFont="1" applyFill="1" applyBorder="1" applyAlignment="1">
      <alignment horizontal="right" wrapText="1"/>
    </xf>
    <xf numFmtId="0" fontId="1" fillId="0" borderId="0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wrapText="1"/>
    </xf>
    <xf numFmtId="164" fontId="1" fillId="0" borderId="0" xfId="0" applyNumberFormat="1" applyFont="1" applyFill="1" applyBorder="1" applyAlignment="1">
      <alignment horizontal="right" wrapText="1"/>
    </xf>
    <xf numFmtId="0" fontId="2" fillId="0" borderId="0" xfId="0" applyFont="1" applyFill="1" applyAlignment="1">
      <alignment horizontal="center"/>
    </xf>
    <xf numFmtId="164" fontId="14" fillId="0" borderId="0" xfId="0" applyNumberFormat="1" applyFont="1" applyFill="1"/>
    <xf numFmtId="0" fontId="3" fillId="0" borderId="4" xfId="0" applyFont="1" applyFill="1" applyBorder="1" applyAlignment="1" applyProtection="1">
      <alignment horizontal="center" wrapText="1"/>
    </xf>
    <xf numFmtId="0" fontId="2" fillId="0" borderId="4" xfId="0" applyFont="1" applyFill="1" applyBorder="1" applyAlignment="1"/>
    <xf numFmtId="0" fontId="8" fillId="0" borderId="4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wrapText="1"/>
    </xf>
    <xf numFmtId="0" fontId="3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 applyProtection="1">
      <alignment horizontal="center" wrapText="1"/>
    </xf>
    <xf numFmtId="0" fontId="8" fillId="0" borderId="4" xfId="0" applyFont="1" applyFill="1" applyBorder="1" applyAlignment="1">
      <alignment horizontal="center" vertical="center" wrapText="1"/>
    </xf>
    <xf numFmtId="164" fontId="8" fillId="0" borderId="4" xfId="0" applyNumberFormat="1" applyFont="1" applyFill="1" applyBorder="1" applyAlignment="1">
      <alignment horizontal="right" wrapText="1"/>
    </xf>
    <xf numFmtId="0" fontId="10" fillId="0" borderId="4" xfId="0" applyFont="1" applyFill="1" applyBorder="1" applyAlignment="1">
      <alignment horizontal="center" wrapText="1"/>
    </xf>
    <xf numFmtId="0" fontId="9" fillId="0" borderId="4" xfId="0" applyFont="1" applyFill="1" applyBorder="1" applyAlignment="1">
      <alignment wrapText="1"/>
    </xf>
    <xf numFmtId="164" fontId="9" fillId="0" borderId="4" xfId="0" applyNumberFormat="1" applyFont="1" applyFill="1" applyBorder="1" applyAlignment="1" applyProtection="1">
      <alignment horizontal="right" wrapText="1"/>
      <protection locked="0"/>
    </xf>
    <xf numFmtId="164" fontId="9" fillId="0" borderId="4" xfId="0" applyNumberFormat="1" applyFont="1" applyFill="1" applyBorder="1" applyAlignment="1">
      <alignment horizontal="right" wrapText="1"/>
    </xf>
    <xf numFmtId="0" fontId="14" fillId="0" borderId="4" xfId="0" applyFont="1" applyFill="1" applyBorder="1"/>
    <xf numFmtId="164" fontId="4" fillId="0" borderId="4" xfId="0" applyNumberFormat="1" applyFont="1" applyFill="1" applyBorder="1" applyAlignment="1">
      <alignment horizontal="right" wrapText="1"/>
    </xf>
    <xf numFmtId="164" fontId="15" fillId="0" borderId="0" xfId="0" applyNumberFormat="1" applyFont="1" applyFill="1"/>
    <xf numFmtId="0" fontId="19" fillId="0" borderId="4" xfId="0" applyFont="1" applyFill="1" applyBorder="1" applyAlignment="1">
      <alignment wrapText="1"/>
    </xf>
    <xf numFmtId="164" fontId="19" fillId="0" borderId="4" xfId="0" applyNumberFormat="1" applyFont="1" applyFill="1" applyBorder="1" applyAlignment="1">
      <alignment horizontal="right" wrapText="1"/>
    </xf>
    <xf numFmtId="3" fontId="19" fillId="0" borderId="4" xfId="0" applyNumberFormat="1" applyFont="1" applyFill="1" applyBorder="1" applyAlignment="1">
      <alignment horizontal="right" wrapText="1"/>
    </xf>
    <xf numFmtId="0" fontId="20" fillId="0" borderId="0" xfId="0" applyFont="1" applyFill="1"/>
    <xf numFmtId="0" fontId="42" fillId="0" borderId="0" xfId="0" applyFont="1" applyFill="1"/>
    <xf numFmtId="0" fontId="43" fillId="0" borderId="0" xfId="0" applyFont="1" applyFill="1"/>
    <xf numFmtId="0" fontId="44" fillId="0" borderId="0" xfId="0" applyFont="1" applyFill="1"/>
    <xf numFmtId="0" fontId="42" fillId="0" borderId="4" xfId="0" applyFont="1" applyFill="1" applyBorder="1"/>
    <xf numFmtId="0" fontId="14" fillId="0" borderId="0" xfId="0" applyFont="1" applyAlignment="1">
      <alignment vertical="center"/>
    </xf>
    <xf numFmtId="164" fontId="4" fillId="3" borderId="4" xfId="0" applyNumberFormat="1" applyFont="1" applyFill="1" applyBorder="1" applyAlignment="1" applyProtection="1">
      <alignment horizontal="right" vertical="center" wrapText="1"/>
      <protection locked="0"/>
    </xf>
    <xf numFmtId="164" fontId="21" fillId="3" borderId="4" xfId="0" applyNumberFormat="1" applyFont="1" applyFill="1" applyBorder="1" applyAlignment="1" applyProtection="1">
      <alignment horizontal="right" wrapText="1"/>
      <protection locked="0"/>
    </xf>
    <xf numFmtId="0" fontId="1" fillId="3" borderId="4" xfId="1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5" xfId="1" applyFont="1" applyFill="1" applyBorder="1" applyAlignment="1" applyProtection="1">
      <alignment horizontal="center" wrapText="1"/>
    </xf>
    <xf numFmtId="0" fontId="1" fillId="3" borderId="9" xfId="1" applyFont="1" applyFill="1" applyBorder="1" applyAlignment="1" applyProtection="1">
      <alignment horizontal="center" wrapText="1"/>
    </xf>
    <xf numFmtId="0" fontId="1" fillId="3" borderId="8" xfId="1" applyFont="1" applyFill="1" applyBorder="1" applyAlignment="1" applyProtection="1">
      <alignment horizontal="center" wrapText="1"/>
    </xf>
    <xf numFmtId="49" fontId="1" fillId="3" borderId="4" xfId="1" applyNumberFormat="1" applyFont="1" applyFill="1" applyBorder="1" applyAlignment="1" applyProtection="1">
      <alignment horizontal="center" wrapText="1"/>
    </xf>
    <xf numFmtId="0" fontId="1" fillId="3" borderId="4" xfId="1" applyFont="1" applyFill="1" applyBorder="1" applyAlignment="1" applyProtection="1">
      <alignment horizontal="center" wrapText="1"/>
    </xf>
    <xf numFmtId="0" fontId="1" fillId="3" borderId="4" xfId="0" applyFont="1" applyFill="1" applyBorder="1" applyAlignment="1" applyProtection="1">
      <alignment horizontal="center" wrapText="1"/>
    </xf>
    <xf numFmtId="0" fontId="2" fillId="3" borderId="4" xfId="0" applyFont="1" applyFill="1" applyBorder="1" applyAlignment="1"/>
    <xf numFmtId="0" fontId="1" fillId="3" borderId="14" xfId="0" applyFont="1" applyFill="1" applyBorder="1" applyAlignment="1">
      <alignment horizontal="center" wrapText="1"/>
    </xf>
    <xf numFmtId="0" fontId="1" fillId="3" borderId="16" xfId="0" applyFont="1" applyFill="1" applyBorder="1" applyAlignment="1">
      <alignment horizontal="center" wrapText="1"/>
    </xf>
    <xf numFmtId="0" fontId="2" fillId="3" borderId="0" xfId="0" applyFont="1" applyFill="1" applyBorder="1" applyAlignment="1"/>
    <xf numFmtId="164" fontId="1" fillId="3" borderId="14" xfId="0" applyNumberFormat="1" applyFont="1" applyFill="1" applyBorder="1" applyAlignment="1">
      <alignment horizontal="right" wrapText="1"/>
    </xf>
    <xf numFmtId="164" fontId="1" fillId="3" borderId="16" xfId="0" applyNumberFormat="1" applyFont="1" applyFill="1" applyBorder="1" applyAlignment="1">
      <alignment horizontal="right" wrapText="1"/>
    </xf>
    <xf numFmtId="164" fontId="1" fillId="3" borderId="14" xfId="0" applyNumberFormat="1" applyFont="1" applyFill="1" applyBorder="1" applyAlignment="1" applyProtection="1">
      <alignment horizontal="right" wrapText="1"/>
    </xf>
    <xf numFmtId="164" fontId="1" fillId="3" borderId="0" xfId="0" applyNumberFormat="1" applyFont="1" applyFill="1" applyBorder="1" applyAlignment="1" applyProtection="1">
      <alignment horizontal="right" wrapText="1"/>
    </xf>
    <xf numFmtId="164" fontId="1" fillId="3" borderId="16" xfId="0" applyNumberFormat="1" applyFont="1" applyFill="1" applyBorder="1" applyAlignment="1" applyProtection="1">
      <alignment horizontal="right" wrapText="1"/>
    </xf>
    <xf numFmtId="164" fontId="3" fillId="3" borderId="14" xfId="0" applyNumberFormat="1" applyFont="1" applyFill="1" applyBorder="1" applyAlignment="1" applyProtection="1">
      <alignment horizontal="right" wrapText="1"/>
    </xf>
    <xf numFmtId="164" fontId="3" fillId="3" borderId="0" xfId="0" applyNumberFormat="1" applyFont="1" applyFill="1" applyBorder="1" applyAlignment="1" applyProtection="1">
      <alignment horizontal="right" wrapText="1"/>
    </xf>
    <xf numFmtId="164" fontId="3" fillId="3" borderId="16" xfId="0" applyNumberFormat="1" applyFont="1" applyFill="1" applyBorder="1" applyAlignment="1" applyProtection="1">
      <alignment horizontal="right" wrapText="1"/>
    </xf>
    <xf numFmtId="49" fontId="1" fillId="3" borderId="14" xfId="1" applyNumberFormat="1" applyFont="1" applyFill="1" applyBorder="1" applyAlignment="1">
      <alignment horizontal="center" wrapText="1"/>
    </xf>
    <xf numFmtId="49" fontId="1" fillId="3" borderId="0" xfId="1" applyNumberFormat="1" applyFont="1" applyFill="1" applyBorder="1" applyAlignment="1">
      <alignment horizontal="center" wrapText="1"/>
    </xf>
    <xf numFmtId="49" fontId="1" fillId="3" borderId="16" xfId="1" applyNumberFormat="1" applyFont="1" applyFill="1" applyBorder="1" applyAlignment="1">
      <alignment horizontal="center" wrapText="1"/>
    </xf>
    <xf numFmtId="0" fontId="1" fillId="3" borderId="0" xfId="0" applyFont="1" applyFill="1" applyBorder="1" applyAlignment="1" applyProtection="1">
      <alignment horizontal="center" wrapText="1"/>
    </xf>
    <xf numFmtId="0" fontId="1" fillId="3" borderId="16" xfId="0" applyFont="1" applyFill="1" applyBorder="1" applyAlignment="1" applyProtection="1">
      <alignment horizontal="center" wrapText="1"/>
    </xf>
    <xf numFmtId="49" fontId="1" fillId="3" borderId="14" xfId="1" applyNumberFormat="1" applyFont="1" applyFill="1" applyBorder="1" applyAlignment="1" applyProtection="1">
      <alignment horizontal="center" wrapText="1"/>
    </xf>
    <xf numFmtId="49" fontId="1" fillId="3" borderId="0" xfId="1" applyNumberFormat="1" applyFont="1" applyFill="1" applyBorder="1" applyAlignment="1" applyProtection="1">
      <alignment horizontal="center" wrapText="1"/>
    </xf>
    <xf numFmtId="49" fontId="1" fillId="3" borderId="16" xfId="1" applyNumberFormat="1" applyFont="1" applyFill="1" applyBorder="1" applyAlignment="1" applyProtection="1">
      <alignment horizontal="center" wrapText="1"/>
    </xf>
    <xf numFmtId="164" fontId="3" fillId="3" borderId="14" xfId="0" applyNumberFormat="1" applyFont="1" applyFill="1" applyBorder="1" applyAlignment="1" applyProtection="1">
      <alignment horizontal="right" wrapText="1"/>
      <protection locked="0"/>
    </xf>
    <xf numFmtId="164" fontId="3" fillId="3" borderId="16" xfId="0" applyNumberFormat="1" applyFont="1" applyFill="1" applyBorder="1" applyAlignment="1" applyProtection="1">
      <alignment horizontal="right" wrapText="1"/>
      <protection locked="0"/>
    </xf>
    <xf numFmtId="164" fontId="4" fillId="3" borderId="14" xfId="0" applyNumberFormat="1" applyFont="1" applyFill="1" applyBorder="1" applyAlignment="1" applyProtection="1">
      <alignment horizontal="right" wrapText="1"/>
      <protection locked="0"/>
    </xf>
    <xf numFmtId="164" fontId="4" fillId="3" borderId="0" xfId="0" applyNumberFormat="1" applyFont="1" applyFill="1" applyBorder="1" applyAlignment="1" applyProtection="1">
      <alignment horizontal="right" wrapText="1"/>
      <protection locked="0"/>
    </xf>
    <xf numFmtId="164" fontId="4" fillId="3" borderId="16" xfId="0" applyNumberFormat="1" applyFont="1" applyFill="1" applyBorder="1" applyAlignment="1" applyProtection="1">
      <alignment horizontal="right" wrapText="1"/>
      <protection locked="0"/>
    </xf>
    <xf numFmtId="0" fontId="14" fillId="3" borderId="0" xfId="0" applyFont="1" applyFill="1" applyBorder="1"/>
    <xf numFmtId="0" fontId="42" fillId="3" borderId="0" xfId="0" applyFont="1" applyFill="1"/>
    <xf numFmtId="164" fontId="4" fillId="3" borderId="4" xfId="0" applyNumberFormat="1" applyFont="1" applyFill="1" applyBorder="1" applyAlignment="1">
      <alignment horizontal="right" wrapText="1"/>
    </xf>
    <xf numFmtId="164" fontId="1" fillId="3" borderId="29" xfId="0" applyNumberFormat="1" applyFont="1" applyFill="1" applyBorder="1" applyAlignment="1">
      <alignment horizontal="right" wrapText="1"/>
    </xf>
    <xf numFmtId="164" fontId="1" fillId="3" borderId="45" xfId="0" applyNumberFormat="1" applyFont="1" applyFill="1" applyBorder="1" applyAlignment="1">
      <alignment horizontal="right" wrapText="1"/>
    </xf>
    <xf numFmtId="10" fontId="14" fillId="3" borderId="0" xfId="0" applyNumberFormat="1" applyFont="1" applyFill="1"/>
    <xf numFmtId="0" fontId="43" fillId="3" borderId="0" xfId="0" applyFont="1" applyFill="1"/>
    <xf numFmtId="164" fontId="8" fillId="3" borderId="16" xfId="0" applyNumberFormat="1" applyFont="1" applyFill="1" applyBorder="1" applyAlignment="1" applyProtection="1">
      <alignment horizontal="right" wrapText="1"/>
      <protection locked="0"/>
    </xf>
    <xf numFmtId="164" fontId="8" fillId="3" borderId="14" xfId="0" applyNumberFormat="1" applyFont="1" applyFill="1" applyBorder="1" applyAlignment="1" applyProtection="1">
      <alignment horizontal="right" wrapText="1"/>
      <protection locked="0"/>
    </xf>
    <xf numFmtId="164" fontId="8" fillId="3" borderId="0" xfId="0" applyNumberFormat="1" applyFont="1" applyFill="1" applyBorder="1" applyAlignment="1" applyProtection="1">
      <alignment horizontal="right" wrapText="1"/>
      <protection locked="0"/>
    </xf>
    <xf numFmtId="164" fontId="9" fillId="3" borderId="14" xfId="0" applyNumberFormat="1" applyFont="1" applyFill="1" applyBorder="1" applyAlignment="1" applyProtection="1">
      <alignment horizontal="right" wrapText="1"/>
      <protection locked="0"/>
    </xf>
    <xf numFmtId="164" fontId="9" fillId="3" borderId="0" xfId="0" applyNumberFormat="1" applyFont="1" applyFill="1" applyBorder="1" applyAlignment="1" applyProtection="1">
      <alignment horizontal="right" wrapText="1"/>
      <protection locked="0"/>
    </xf>
    <xf numFmtId="164" fontId="9" fillId="3" borderId="16" xfId="0" applyNumberFormat="1" applyFont="1" applyFill="1" applyBorder="1" applyAlignment="1" applyProtection="1">
      <alignment horizontal="right" wrapText="1"/>
      <protection locked="0"/>
    </xf>
    <xf numFmtId="0" fontId="44" fillId="3" borderId="0" xfId="0" applyFont="1" applyFill="1"/>
    <xf numFmtId="164" fontId="14" fillId="3" borderId="0" xfId="0" applyNumberFormat="1" applyFont="1" applyFill="1" applyBorder="1"/>
    <xf numFmtId="0" fontId="20" fillId="3" borderId="0" xfId="0" applyFont="1" applyFill="1" applyBorder="1"/>
    <xf numFmtId="3" fontId="19" fillId="3" borderId="16" xfId="0" applyNumberFormat="1" applyFont="1" applyFill="1" applyBorder="1" applyAlignment="1">
      <alignment horizontal="right" wrapText="1"/>
    </xf>
    <xf numFmtId="3" fontId="19" fillId="3" borderId="0" xfId="0" applyNumberFormat="1" applyFont="1" applyFill="1" applyBorder="1" applyAlignment="1">
      <alignment horizontal="right" wrapText="1"/>
    </xf>
    <xf numFmtId="49" fontId="20" fillId="3" borderId="0" xfId="0" applyNumberFormat="1" applyFont="1" applyFill="1"/>
    <xf numFmtId="0" fontId="50" fillId="3" borderId="0" xfId="0" applyFont="1" applyFill="1" applyAlignment="1">
      <alignment horizontal="center"/>
    </xf>
    <xf numFmtId="0" fontId="51" fillId="3" borderId="0" xfId="0" applyFont="1" applyFill="1" applyAlignment="1">
      <alignment horizontal="center"/>
    </xf>
    <xf numFmtId="0" fontId="52" fillId="3" borderId="0" xfId="0" applyFont="1" applyFill="1" applyAlignment="1">
      <alignment horizontal="left" indent="5"/>
    </xf>
    <xf numFmtId="0" fontId="52" fillId="3" borderId="0" xfId="0" applyFont="1" applyFill="1" applyAlignment="1">
      <alignment horizontal="left" indent="13"/>
    </xf>
    <xf numFmtId="0" fontId="52" fillId="3" borderId="0" xfId="0" applyFont="1" applyFill="1"/>
    <xf numFmtId="0" fontId="16" fillId="3" borderId="0" xfId="1" applyFont="1" applyFill="1" applyAlignment="1">
      <alignment vertical="center"/>
    </xf>
    <xf numFmtId="0" fontId="17" fillId="3" borderId="0" xfId="0" applyFont="1" applyFill="1" applyAlignment="1">
      <alignment horizontal="left" vertical="center"/>
    </xf>
    <xf numFmtId="0" fontId="18" fillId="3" borderId="0" xfId="0" applyFont="1" applyFill="1" applyAlignment="1">
      <alignment horizontal="left" vertical="center"/>
    </xf>
    <xf numFmtId="0" fontId="5" fillId="3" borderId="0" xfId="0" applyFont="1" applyFill="1" applyAlignment="1">
      <alignment horizontal="left" vertical="center"/>
    </xf>
    <xf numFmtId="49" fontId="1" fillId="3" borderId="36" xfId="0" applyNumberFormat="1" applyFont="1" applyFill="1" applyBorder="1" applyAlignment="1">
      <alignment horizontal="center" vertical="center"/>
    </xf>
    <xf numFmtId="0" fontId="1" fillId="3" borderId="4" xfId="0" applyFont="1" applyFill="1" applyBorder="1" applyAlignment="1">
      <alignment vertical="center" wrapText="1"/>
    </xf>
    <xf numFmtId="164" fontId="1" fillId="3" borderId="4" xfId="0" applyNumberFormat="1" applyFont="1" applyFill="1" applyBorder="1" applyAlignment="1">
      <alignment horizontal="right" vertical="center" wrapText="1"/>
    </xf>
    <xf numFmtId="164" fontId="1" fillId="3" borderId="14" xfId="0" applyNumberFormat="1" applyFont="1" applyFill="1" applyBorder="1" applyAlignment="1">
      <alignment horizontal="right" vertical="center" wrapText="1"/>
    </xf>
    <xf numFmtId="10" fontId="1" fillId="3" borderId="17" xfId="0" applyNumberFormat="1" applyFont="1" applyFill="1" applyBorder="1" applyAlignment="1">
      <alignment horizontal="right" vertical="center" wrapText="1"/>
    </xf>
    <xf numFmtId="164" fontId="1" fillId="3" borderId="4" xfId="0" applyNumberFormat="1" applyFont="1" applyFill="1" applyBorder="1" applyAlignment="1" applyProtection="1">
      <alignment horizontal="right" vertical="center" wrapText="1"/>
    </xf>
    <xf numFmtId="164" fontId="1" fillId="3" borderId="14" xfId="0" applyNumberFormat="1" applyFont="1" applyFill="1" applyBorder="1" applyAlignment="1" applyProtection="1">
      <alignment horizontal="right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vertical="center" wrapText="1"/>
    </xf>
    <xf numFmtId="0" fontId="3" fillId="3" borderId="5" xfId="0" applyFont="1" applyFill="1" applyBorder="1" applyAlignment="1">
      <alignment vertical="center" wrapText="1"/>
    </xf>
    <xf numFmtId="164" fontId="3" fillId="3" borderId="5" xfId="0" applyNumberFormat="1" applyFont="1" applyFill="1" applyBorder="1" applyAlignment="1" applyProtection="1">
      <alignment horizontal="right" vertical="center" wrapText="1"/>
    </xf>
    <xf numFmtId="164" fontId="3" fillId="3" borderId="28" xfId="0" applyNumberFormat="1" applyFont="1" applyFill="1" applyBorder="1" applyAlignment="1" applyProtection="1">
      <alignment horizontal="right" vertical="center" wrapText="1"/>
    </xf>
    <xf numFmtId="49" fontId="3" fillId="3" borderId="36" xfId="1" applyNumberFormat="1" applyFont="1" applyFill="1" applyBorder="1" applyAlignment="1" applyProtection="1">
      <alignment horizontal="center" vertical="center" wrapText="1"/>
    </xf>
    <xf numFmtId="49" fontId="1" fillId="3" borderId="4" xfId="1" applyNumberFormat="1" applyFont="1" applyFill="1" applyBorder="1" applyAlignment="1" applyProtection="1">
      <alignment horizontal="center" vertical="center" wrapText="1"/>
    </xf>
    <xf numFmtId="49" fontId="1" fillId="3" borderId="4" xfId="1" applyNumberFormat="1" applyFont="1" applyFill="1" applyBorder="1" applyAlignment="1">
      <alignment horizontal="center" vertical="center" wrapText="1"/>
    </xf>
    <xf numFmtId="49" fontId="1" fillId="3" borderId="14" xfId="1" applyNumberFormat="1" applyFont="1" applyFill="1" applyBorder="1" applyAlignment="1">
      <alignment horizontal="center" vertical="center" wrapText="1"/>
    </xf>
    <xf numFmtId="164" fontId="3" fillId="3" borderId="4" xfId="0" applyNumberFormat="1" applyFont="1" applyFill="1" applyBorder="1" applyAlignment="1" applyProtection="1">
      <alignment horizontal="right" vertical="center" wrapText="1"/>
    </xf>
    <xf numFmtId="164" fontId="3" fillId="3" borderId="14" xfId="0" applyNumberFormat="1" applyFont="1" applyFill="1" applyBorder="1" applyAlignment="1" applyProtection="1">
      <alignment horizontal="right" vertical="center" wrapText="1"/>
    </xf>
    <xf numFmtId="49" fontId="1" fillId="3" borderId="14" xfId="1" applyNumberFormat="1" applyFont="1" applyFill="1" applyBorder="1" applyAlignment="1" applyProtection="1">
      <alignment horizontal="center" vertical="center" wrapText="1"/>
    </xf>
    <xf numFmtId="164" fontId="3" fillId="3" borderId="4" xfId="0" applyNumberFormat="1" applyFont="1" applyFill="1" applyBorder="1" applyAlignment="1" applyProtection="1">
      <alignment horizontal="right" vertical="center" wrapText="1"/>
      <protection locked="0"/>
    </xf>
    <xf numFmtId="164" fontId="3" fillId="3" borderId="4" xfId="0" applyNumberFormat="1" applyFont="1" applyFill="1" applyBorder="1" applyAlignment="1">
      <alignment horizontal="right" vertical="center" wrapText="1"/>
    </xf>
    <xf numFmtId="164" fontId="3" fillId="3" borderId="14" xfId="0" applyNumberFormat="1" applyFont="1" applyFill="1" applyBorder="1" applyAlignment="1" applyProtection="1">
      <alignment horizontal="right" vertical="center" wrapText="1"/>
      <protection locked="0"/>
    </xf>
    <xf numFmtId="164" fontId="4" fillId="3" borderId="14" xfId="0" applyNumberFormat="1" applyFont="1" applyFill="1" applyBorder="1" applyAlignment="1" applyProtection="1">
      <alignment horizontal="right" vertical="center" wrapText="1"/>
      <protection locked="0"/>
    </xf>
    <xf numFmtId="3" fontId="8" fillId="3" borderId="4" xfId="0" applyNumberFormat="1" applyFont="1" applyFill="1" applyBorder="1" applyAlignment="1" applyProtection="1">
      <alignment horizontal="right" vertical="center" wrapText="1"/>
      <protection locked="0"/>
    </xf>
    <xf numFmtId="3" fontId="3" fillId="3" borderId="4" xfId="0" applyNumberFormat="1" applyFont="1" applyFill="1" applyBorder="1" applyAlignment="1" applyProtection="1">
      <alignment horizontal="right" vertical="center" wrapText="1"/>
      <protection locked="0"/>
    </xf>
    <xf numFmtId="3" fontId="1" fillId="3" borderId="4" xfId="0" applyNumberFormat="1" applyFont="1" applyFill="1" applyBorder="1" applyAlignment="1">
      <alignment vertical="center" wrapText="1"/>
    </xf>
    <xf numFmtId="0" fontId="1" fillId="3" borderId="37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 wrapText="1"/>
    </xf>
    <xf numFmtId="164" fontId="1" fillId="3" borderId="7" xfId="0" applyNumberFormat="1" applyFont="1" applyFill="1" applyBorder="1" applyAlignment="1">
      <alignment horizontal="right" vertical="center" wrapText="1"/>
    </xf>
    <xf numFmtId="164" fontId="1" fillId="3" borderId="29" xfId="0" applyNumberFormat="1" applyFont="1" applyFill="1" applyBorder="1" applyAlignment="1">
      <alignment horizontal="right" vertical="center" wrapText="1"/>
    </xf>
    <xf numFmtId="10" fontId="1" fillId="3" borderId="18" xfId="0" applyNumberFormat="1" applyFont="1" applyFill="1" applyBorder="1" applyAlignment="1">
      <alignment horizontal="right" vertical="center" wrapText="1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0" fontId="1" fillId="3" borderId="36" xfId="0" applyFont="1" applyFill="1" applyBorder="1" applyAlignment="1" applyProtection="1">
      <alignment horizontal="center" vertical="center" wrapText="1"/>
    </xf>
    <xf numFmtId="0" fontId="3" fillId="3" borderId="36" xfId="0" applyFont="1" applyFill="1" applyBorder="1" applyAlignment="1" applyProtection="1">
      <alignment horizontal="center" vertical="center" wrapText="1"/>
    </xf>
    <xf numFmtId="3" fontId="3" fillId="3" borderId="4" xfId="0" applyNumberFormat="1" applyFont="1" applyFill="1" applyBorder="1" applyAlignment="1">
      <alignment vertical="center" wrapText="1"/>
    </xf>
    <xf numFmtId="164" fontId="4" fillId="3" borderId="4" xfId="0" applyNumberFormat="1" applyFont="1" applyFill="1" applyBorder="1" applyAlignment="1">
      <alignment horizontal="right" vertical="center" wrapText="1"/>
    </xf>
    <xf numFmtId="3" fontId="1" fillId="3" borderId="4" xfId="0" applyNumberFormat="1" applyFont="1" applyFill="1" applyBorder="1" applyAlignment="1">
      <alignment horizontal="right" vertical="center" wrapText="1"/>
    </xf>
    <xf numFmtId="3" fontId="1" fillId="3" borderId="4" xfId="1" applyNumberFormat="1" applyFont="1" applyFill="1" applyBorder="1" applyAlignment="1" applyProtection="1">
      <alignment horizontal="center" vertical="center" wrapText="1"/>
    </xf>
    <xf numFmtId="49" fontId="1" fillId="3" borderId="36" xfId="1" applyNumberFormat="1" applyFont="1" applyFill="1" applyBorder="1" applyAlignment="1" applyProtection="1">
      <alignment horizontal="center" vertical="center" wrapText="1"/>
    </xf>
    <xf numFmtId="164" fontId="1" fillId="3" borderId="5" xfId="0" applyNumberFormat="1" applyFont="1" applyFill="1" applyBorder="1" applyAlignment="1">
      <alignment horizontal="right" vertical="center" wrapText="1"/>
    </xf>
    <xf numFmtId="164" fontId="1" fillId="3" borderId="28" xfId="0" applyNumberFormat="1" applyFont="1" applyFill="1" applyBorder="1" applyAlignment="1">
      <alignment horizontal="right" vertical="center" wrapText="1"/>
    </xf>
    <xf numFmtId="0" fontId="14" fillId="3" borderId="0" xfId="0" applyFont="1" applyFill="1" applyAlignment="1">
      <alignment vertical="center"/>
    </xf>
    <xf numFmtId="0" fontId="1" fillId="3" borderId="37" xfId="0" applyFont="1" applyFill="1" applyBorder="1" applyAlignment="1" applyProtection="1">
      <alignment horizontal="center" vertical="center" wrapText="1"/>
    </xf>
    <xf numFmtId="3" fontId="1" fillId="3" borderId="7" xfId="0" applyNumberFormat="1" applyFont="1" applyFill="1" applyBorder="1" applyAlignment="1">
      <alignment vertical="center" wrapText="1"/>
    </xf>
    <xf numFmtId="164" fontId="1" fillId="3" borderId="4" xfId="0" applyNumberFormat="1" applyFont="1" applyFill="1" applyBorder="1" applyAlignment="1">
      <alignment vertical="center" wrapText="1"/>
    </xf>
    <xf numFmtId="164" fontId="1" fillId="3" borderId="17" xfId="0" applyNumberFormat="1" applyFont="1" applyFill="1" applyBorder="1" applyAlignment="1">
      <alignment horizontal="right" vertical="center" wrapText="1"/>
    </xf>
    <xf numFmtId="164" fontId="3" fillId="3" borderId="4" xfId="0" applyNumberFormat="1" applyFont="1" applyFill="1" applyBorder="1" applyAlignment="1">
      <alignment vertical="center" wrapText="1"/>
    </xf>
    <xf numFmtId="164" fontId="3" fillId="3" borderId="17" xfId="0" applyNumberFormat="1" applyFont="1" applyFill="1" applyBorder="1" applyAlignment="1">
      <alignment horizontal="right" vertical="center" wrapText="1"/>
    </xf>
    <xf numFmtId="0" fontId="1" fillId="3" borderId="6" xfId="0" applyFont="1" applyFill="1" applyBorder="1" applyAlignment="1">
      <alignment horizontal="center" vertical="center" wrapText="1"/>
    </xf>
    <xf numFmtId="164" fontId="1" fillId="3" borderId="7" xfId="0" applyNumberFormat="1" applyFont="1" applyFill="1" applyBorder="1" applyAlignment="1">
      <alignment vertical="center" wrapText="1"/>
    </xf>
    <xf numFmtId="164" fontId="1" fillId="3" borderId="18" xfId="0" applyNumberFormat="1" applyFont="1" applyFill="1" applyBorder="1" applyAlignment="1">
      <alignment horizontal="right" vertical="center" wrapText="1"/>
    </xf>
    <xf numFmtId="10" fontId="14" fillId="3" borderId="0" xfId="0" applyNumberFormat="1" applyFont="1" applyFill="1" applyAlignment="1">
      <alignment vertical="center"/>
    </xf>
    <xf numFmtId="0" fontId="14" fillId="3" borderId="0" xfId="0" applyFont="1" applyFill="1" applyAlignment="1">
      <alignment horizontal="center" vertical="center"/>
    </xf>
    <xf numFmtId="0" fontId="14" fillId="3" borderId="0" xfId="0" applyFont="1" applyFill="1" applyAlignment="1">
      <alignment horizontal="right" vertical="center"/>
    </xf>
    <xf numFmtId="0" fontId="8" fillId="3" borderId="42" xfId="2" applyFont="1" applyFill="1" applyBorder="1" applyAlignment="1">
      <alignment horizontal="center" vertical="center" wrapText="1"/>
    </xf>
    <xf numFmtId="0" fontId="1" fillId="3" borderId="8" xfId="0" applyFont="1" applyFill="1" applyBorder="1" applyAlignment="1">
      <alignment horizontal="center" wrapText="1"/>
    </xf>
    <xf numFmtId="0" fontId="1" fillId="3" borderId="4" xfId="1" applyFont="1" applyFill="1" applyBorder="1" applyAlignment="1" applyProtection="1">
      <alignment horizontal="center" wrapText="1"/>
    </xf>
    <xf numFmtId="49" fontId="1" fillId="3" borderId="4" xfId="1" applyNumberFormat="1" applyFont="1" applyFill="1" applyBorder="1" applyAlignment="1" applyProtection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2" fillId="3" borderId="4" xfId="0" applyFont="1" applyFill="1" applyBorder="1" applyAlignment="1"/>
    <xf numFmtId="0" fontId="1" fillId="3" borderId="17" xfId="0" applyFont="1" applyFill="1" applyBorder="1" applyAlignment="1">
      <alignment horizontal="center" wrapText="1"/>
    </xf>
    <xf numFmtId="0" fontId="1" fillId="3" borderId="4" xfId="1" applyFont="1" applyFill="1" applyBorder="1" applyAlignment="1">
      <alignment horizontal="center" wrapText="1"/>
    </xf>
    <xf numFmtId="0" fontId="1" fillId="3" borderId="4" xfId="0" applyFont="1" applyFill="1" applyBorder="1" applyAlignment="1" applyProtection="1">
      <alignment horizontal="center" wrapText="1"/>
    </xf>
    <xf numFmtId="0" fontId="1" fillId="3" borderId="5" xfId="1" applyFont="1" applyFill="1" applyBorder="1" applyAlignment="1" applyProtection="1">
      <alignment horizontal="center" wrapText="1"/>
    </xf>
    <xf numFmtId="0" fontId="1" fillId="3" borderId="9" xfId="1" applyFont="1" applyFill="1" applyBorder="1" applyAlignment="1" applyProtection="1">
      <alignment horizontal="center" wrapText="1"/>
    </xf>
    <xf numFmtId="0" fontId="1" fillId="3" borderId="8" xfId="1" applyFont="1" applyFill="1" applyBorder="1" applyAlignment="1" applyProtection="1">
      <alignment horizontal="center" wrapText="1"/>
    </xf>
    <xf numFmtId="0" fontId="1" fillId="3" borderId="3" xfId="0" applyFont="1" applyFill="1" applyBorder="1" applyAlignment="1">
      <alignment horizontal="center" wrapText="1"/>
    </xf>
    <xf numFmtId="49" fontId="1" fillId="0" borderId="4" xfId="1" applyNumberFormat="1" applyFont="1" applyBorder="1" applyAlignment="1" applyProtection="1">
      <alignment horizontal="center" vertical="center" wrapText="1"/>
    </xf>
    <xf numFmtId="0" fontId="1" fillId="0" borderId="4" xfId="1" applyFont="1" applyBorder="1" applyAlignment="1" applyProtection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49" fontId="1" fillId="0" borderId="3" xfId="1" applyNumberFormat="1" applyFont="1" applyBorder="1" applyAlignment="1" applyProtection="1">
      <alignment horizontal="center" vertical="center" wrapText="1"/>
    </xf>
    <xf numFmtId="0" fontId="1" fillId="0" borderId="4" xfId="1" applyFont="1" applyFill="1" applyBorder="1" applyAlignment="1" applyProtection="1">
      <alignment horizontal="center" wrapText="1"/>
    </xf>
    <xf numFmtId="49" fontId="1" fillId="0" borderId="4" xfId="1" applyNumberFormat="1" applyFont="1" applyFill="1" applyBorder="1" applyAlignment="1" applyProtection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2" fillId="0" borderId="4" xfId="0" applyFont="1" applyFill="1" applyBorder="1" applyAlignment="1"/>
    <xf numFmtId="0" fontId="1" fillId="0" borderId="17" xfId="0" applyFont="1" applyFill="1" applyBorder="1" applyAlignment="1">
      <alignment horizontal="center" wrapText="1"/>
    </xf>
    <xf numFmtId="0" fontId="1" fillId="0" borderId="4" xfId="1" applyFont="1" applyFill="1" applyBorder="1" applyAlignment="1">
      <alignment horizontal="center" wrapText="1"/>
    </xf>
    <xf numFmtId="0" fontId="1" fillId="0" borderId="4" xfId="0" applyFont="1" applyFill="1" applyBorder="1" applyAlignment="1" applyProtection="1">
      <alignment horizontal="center" wrapText="1"/>
    </xf>
    <xf numFmtId="0" fontId="1" fillId="0" borderId="5" xfId="1" applyFont="1" applyFill="1" applyBorder="1" applyAlignment="1" applyProtection="1">
      <alignment horizontal="center" wrapText="1"/>
    </xf>
    <xf numFmtId="0" fontId="1" fillId="0" borderId="9" xfId="1" applyFont="1" applyFill="1" applyBorder="1" applyAlignment="1" applyProtection="1">
      <alignment horizontal="center" wrapText="1"/>
    </xf>
    <xf numFmtId="0" fontId="1" fillId="0" borderId="8" xfId="1" applyFont="1" applyFill="1" applyBorder="1" applyAlignment="1" applyProtection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8" fillId="3" borderId="33" xfId="2" applyFont="1" applyFill="1" applyBorder="1" applyAlignment="1">
      <alignment horizontal="center" vertical="center" wrapText="1"/>
    </xf>
    <xf numFmtId="0" fontId="8" fillId="3" borderId="34" xfId="2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49" fontId="1" fillId="3" borderId="3" xfId="1" applyNumberFormat="1" applyFont="1" applyFill="1" applyBorder="1" applyAlignment="1" applyProtection="1">
      <alignment horizontal="center" vertical="center" wrapText="1"/>
    </xf>
    <xf numFmtId="0" fontId="1" fillId="3" borderId="4" xfId="1" applyFont="1" applyFill="1" applyBorder="1" applyAlignment="1" applyProtection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 applyProtection="1">
      <alignment horizontal="center" vertical="center" wrapText="1"/>
    </xf>
    <xf numFmtId="0" fontId="8" fillId="3" borderId="41" xfId="2" applyFont="1" applyFill="1" applyBorder="1" applyAlignment="1">
      <alignment horizontal="center" vertical="center" wrapText="1"/>
    </xf>
    <xf numFmtId="164" fontId="36" fillId="3" borderId="4" xfId="0" applyNumberFormat="1" applyFont="1" applyFill="1" applyBorder="1" applyAlignment="1" applyProtection="1">
      <alignment horizontal="right" wrapText="1"/>
      <protection locked="0"/>
    </xf>
    <xf numFmtId="164" fontId="24" fillId="3" borderId="4" xfId="0" applyNumberFormat="1" applyFont="1" applyFill="1" applyBorder="1" applyAlignment="1" applyProtection="1">
      <alignment horizontal="right" wrapText="1"/>
      <protection locked="0"/>
    </xf>
    <xf numFmtId="0" fontId="51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52" fillId="0" borderId="0" xfId="0" applyFont="1" applyAlignment="1">
      <alignment horizontal="left" indent="5"/>
    </xf>
    <xf numFmtId="0" fontId="51" fillId="0" borderId="0" xfId="0" applyFont="1"/>
    <xf numFmtId="0" fontId="50" fillId="0" borderId="0" xfId="0" applyFont="1"/>
    <xf numFmtId="0" fontId="56" fillId="0" borderId="0" xfId="0" applyFont="1"/>
    <xf numFmtId="164" fontId="46" fillId="3" borderId="4" xfId="0" applyNumberFormat="1" applyFont="1" applyFill="1" applyBorder="1" applyAlignment="1" applyProtection="1">
      <alignment horizontal="right" wrapText="1"/>
      <protection locked="0"/>
    </xf>
    <xf numFmtId="164" fontId="45" fillId="3" borderId="4" xfId="0" applyNumberFormat="1" applyFont="1" applyFill="1" applyBorder="1" applyAlignment="1" applyProtection="1">
      <alignment horizontal="right" wrapText="1"/>
      <protection locked="0"/>
    </xf>
    <xf numFmtId="0" fontId="42" fillId="3" borderId="4" xfId="0" applyFont="1" applyFill="1" applyBorder="1"/>
    <xf numFmtId="10" fontId="14" fillId="0" borderId="0" xfId="0" applyNumberFormat="1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0" fontId="8" fillId="0" borderId="33" xfId="2" applyFont="1" applyBorder="1" applyAlignment="1">
      <alignment horizontal="center" vertical="center" wrapText="1"/>
    </xf>
    <xf numFmtId="0" fontId="8" fillId="0" borderId="34" xfId="2" applyFont="1" applyBorder="1" applyAlignment="1">
      <alignment horizontal="center" vertical="center" wrapText="1"/>
    </xf>
    <xf numFmtId="0" fontId="8" fillId="0" borderId="41" xfId="2" applyFont="1" applyBorder="1" applyAlignment="1">
      <alignment horizontal="center" vertical="center" wrapText="1"/>
    </xf>
    <xf numFmtId="0" fontId="8" fillId="0" borderId="42" xfId="2" applyFont="1" applyBorder="1" applyAlignment="1">
      <alignment horizontal="center" vertical="center" wrapText="1"/>
    </xf>
    <xf numFmtId="164" fontId="49" fillId="3" borderId="4" xfId="0" applyNumberFormat="1" applyFont="1" applyFill="1" applyBorder="1" applyAlignment="1" applyProtection="1">
      <alignment horizontal="right" wrapText="1"/>
      <protection locked="0"/>
    </xf>
    <xf numFmtId="0" fontId="19" fillId="3" borderId="14" xfId="0" applyFont="1" applyFill="1" applyBorder="1" applyAlignment="1">
      <alignment horizontal="center" wrapText="1"/>
    </xf>
    <xf numFmtId="0" fontId="19" fillId="3" borderId="15" xfId="0" applyFont="1" applyFill="1" applyBorder="1" applyAlignment="1">
      <alignment horizontal="center" wrapText="1"/>
    </xf>
    <xf numFmtId="0" fontId="19" fillId="3" borderId="16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center" wrapText="1"/>
    </xf>
    <xf numFmtId="0" fontId="1" fillId="3" borderId="15" xfId="0" applyFont="1" applyFill="1" applyBorder="1" applyAlignment="1">
      <alignment horizontal="center" wrapText="1"/>
    </xf>
    <xf numFmtId="0" fontId="1" fillId="3" borderId="16" xfId="0" applyFont="1" applyFill="1" applyBorder="1" applyAlignment="1">
      <alignment horizont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 wrapText="1"/>
    </xf>
    <xf numFmtId="0" fontId="1" fillId="3" borderId="4" xfId="1" applyFont="1" applyFill="1" applyBorder="1" applyAlignment="1" applyProtection="1">
      <alignment horizontal="center" wrapText="1"/>
    </xf>
    <xf numFmtId="49" fontId="1" fillId="3" borderId="4" xfId="1" applyNumberFormat="1" applyFont="1" applyFill="1" applyBorder="1" applyAlignment="1" applyProtection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2" fillId="3" borderId="4" xfId="0" applyFont="1" applyFill="1" applyBorder="1" applyAlignment="1"/>
    <xf numFmtId="0" fontId="1" fillId="3" borderId="3" xfId="1" applyFont="1" applyFill="1" applyBorder="1" applyAlignment="1" applyProtection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4" xfId="1" applyFont="1" applyFill="1" applyBorder="1" applyAlignment="1">
      <alignment horizontal="center" wrapText="1"/>
    </xf>
    <xf numFmtId="0" fontId="1" fillId="3" borderId="4" xfId="0" applyFont="1" applyFill="1" applyBorder="1" applyAlignment="1" applyProtection="1">
      <alignment horizontal="center" wrapText="1"/>
    </xf>
    <xf numFmtId="0" fontId="1" fillId="3" borderId="17" xfId="0" applyFont="1" applyFill="1" applyBorder="1" applyAlignment="1" applyProtection="1">
      <alignment horizontal="center" wrapText="1"/>
    </xf>
    <xf numFmtId="0" fontId="1" fillId="3" borderId="10" xfId="1" applyFont="1" applyFill="1" applyBorder="1" applyAlignment="1" applyProtection="1">
      <alignment horizontal="center" wrapText="1"/>
    </xf>
    <xf numFmtId="0" fontId="1" fillId="3" borderId="11" xfId="1" applyFont="1" applyFill="1" applyBorder="1" applyAlignment="1" applyProtection="1">
      <alignment horizontal="center" wrapText="1"/>
    </xf>
    <xf numFmtId="0" fontId="1" fillId="3" borderId="12" xfId="1" applyFont="1" applyFill="1" applyBorder="1" applyAlignment="1" applyProtection="1">
      <alignment horizontal="center" wrapText="1"/>
    </xf>
    <xf numFmtId="49" fontId="1" fillId="3" borderId="5" xfId="1" applyNumberFormat="1" applyFont="1" applyFill="1" applyBorder="1" applyAlignment="1" applyProtection="1">
      <alignment horizontal="center" wrapText="1"/>
    </xf>
    <xf numFmtId="49" fontId="1" fillId="3" borderId="9" xfId="1" applyNumberFormat="1" applyFont="1" applyFill="1" applyBorder="1" applyAlignment="1" applyProtection="1">
      <alignment horizontal="center" wrapText="1"/>
    </xf>
    <xf numFmtId="49" fontId="1" fillId="3" borderId="8" xfId="1" applyNumberFormat="1" applyFont="1" applyFill="1" applyBorder="1" applyAlignment="1" applyProtection="1">
      <alignment horizontal="center" wrapText="1"/>
    </xf>
    <xf numFmtId="0" fontId="1" fillId="3" borderId="5" xfId="1" applyFont="1" applyFill="1" applyBorder="1" applyAlignment="1" applyProtection="1">
      <alignment horizontal="center" wrapText="1"/>
    </xf>
    <xf numFmtId="0" fontId="1" fillId="3" borderId="9" xfId="1" applyFont="1" applyFill="1" applyBorder="1" applyAlignment="1" applyProtection="1">
      <alignment horizontal="center" wrapText="1"/>
    </xf>
    <xf numFmtId="0" fontId="1" fillId="3" borderId="8" xfId="1" applyFont="1" applyFill="1" applyBorder="1" applyAlignment="1" applyProtection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9" xfId="0" applyFont="1" applyFill="1" applyBorder="1" applyAlignment="1">
      <alignment horizontal="center" wrapText="1"/>
    </xf>
    <xf numFmtId="0" fontId="1" fillId="3" borderId="8" xfId="1" applyFont="1" applyFill="1" applyBorder="1" applyAlignment="1">
      <alignment horizontal="center" wrapText="1"/>
    </xf>
    <xf numFmtId="0" fontId="1" fillId="3" borderId="23" xfId="0" applyFont="1" applyFill="1" applyBorder="1" applyAlignment="1">
      <alignment horizontal="center" wrapText="1"/>
    </xf>
    <xf numFmtId="0" fontId="1" fillId="3" borderId="24" xfId="0" applyFont="1" applyFill="1" applyBorder="1" applyAlignment="1">
      <alignment horizontal="center" wrapText="1"/>
    </xf>
    <xf numFmtId="0" fontId="1" fillId="3" borderId="25" xfId="0" applyFont="1" applyFill="1" applyBorder="1" applyAlignment="1">
      <alignment horizontal="center" wrapText="1"/>
    </xf>
    <xf numFmtId="0" fontId="1" fillId="3" borderId="26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2" fillId="3" borderId="4" xfId="0" applyFont="1" applyFill="1" applyBorder="1" applyAlignment="1">
      <alignment horizontal="center"/>
    </xf>
    <xf numFmtId="0" fontId="1" fillId="3" borderId="19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 wrapText="1"/>
    </xf>
    <xf numFmtId="10" fontId="12" fillId="0" borderId="30" xfId="0" applyNumberFormat="1" applyFont="1" applyBorder="1" applyAlignment="1">
      <alignment horizontal="center" vertical="center" wrapText="1"/>
    </xf>
    <xf numFmtId="10" fontId="12" fillId="0" borderId="31" xfId="0" applyNumberFormat="1" applyFont="1" applyBorder="1" applyAlignment="1">
      <alignment horizontal="center" vertical="center" wrapText="1"/>
    </xf>
    <xf numFmtId="10" fontId="12" fillId="0" borderId="23" xfId="0" applyNumberFormat="1" applyFont="1" applyBorder="1" applyAlignment="1">
      <alignment horizontal="center" vertical="center" wrapText="1"/>
    </xf>
    <xf numFmtId="0" fontId="1" fillId="0" borderId="4" xfId="1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1" applyFont="1" applyBorder="1" applyAlignment="1" applyProtection="1">
      <alignment horizontal="center" vertical="center" wrapText="1"/>
    </xf>
    <xf numFmtId="49" fontId="1" fillId="0" borderId="4" xfId="1" applyNumberFormat="1" applyFont="1" applyBorder="1" applyAlignment="1" applyProtection="1">
      <alignment horizontal="center" vertical="center" wrapText="1"/>
    </xf>
    <xf numFmtId="0" fontId="1" fillId="0" borderId="4" xfId="1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horizontal="center" vertical="center" wrapText="1"/>
    </xf>
    <xf numFmtId="0" fontId="2" fillId="0" borderId="3" xfId="0" applyFont="1" applyBorder="1" applyAlignment="1">
      <alignment vertical="center"/>
    </xf>
    <xf numFmtId="0" fontId="2" fillId="0" borderId="4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1" fillId="0" borderId="2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34" fillId="3" borderId="14" xfId="0" applyFont="1" applyFill="1" applyBorder="1" applyAlignment="1">
      <alignment horizontal="center" wrapText="1"/>
    </xf>
    <xf numFmtId="0" fontId="34" fillId="3" borderId="15" xfId="0" applyFont="1" applyFill="1" applyBorder="1" applyAlignment="1">
      <alignment horizontal="center" wrapText="1"/>
    </xf>
    <xf numFmtId="0" fontId="34" fillId="3" borderId="16" xfId="0" applyFont="1" applyFill="1" applyBorder="1" applyAlignment="1">
      <alignment horizontal="center" wrapText="1"/>
    </xf>
    <xf numFmtId="0" fontId="25" fillId="3" borderId="4" xfId="1" applyFont="1" applyFill="1" applyBorder="1" applyAlignment="1" applyProtection="1">
      <alignment horizontal="center" wrapText="1"/>
    </xf>
    <xf numFmtId="49" fontId="25" fillId="3" borderId="4" xfId="1" applyNumberFormat="1" applyFont="1" applyFill="1" applyBorder="1" applyAlignment="1" applyProtection="1">
      <alignment horizontal="center" wrapText="1"/>
    </xf>
    <xf numFmtId="0" fontId="25" fillId="3" borderId="4" xfId="0" applyFont="1" applyFill="1" applyBorder="1" applyAlignment="1">
      <alignment horizontal="center" wrapText="1"/>
    </xf>
    <xf numFmtId="0" fontId="27" fillId="3" borderId="4" xfId="0" applyFont="1" applyFill="1" applyBorder="1" applyAlignment="1"/>
    <xf numFmtId="0" fontId="25" fillId="3" borderId="14" xfId="0" applyFont="1" applyFill="1" applyBorder="1" applyAlignment="1">
      <alignment horizontal="center" wrapText="1"/>
    </xf>
    <xf numFmtId="0" fontId="25" fillId="3" borderId="15" xfId="0" applyFont="1" applyFill="1" applyBorder="1" applyAlignment="1">
      <alignment horizontal="center" wrapText="1"/>
    </xf>
    <xf numFmtId="0" fontId="25" fillId="3" borderId="16" xfId="0" applyFont="1" applyFill="1" applyBorder="1" applyAlignment="1">
      <alignment horizontal="center" wrapText="1"/>
    </xf>
    <xf numFmtId="0" fontId="25" fillId="3" borderId="3" xfId="1" applyFont="1" applyFill="1" applyBorder="1" applyAlignment="1" applyProtection="1">
      <alignment horizontal="center" wrapText="1"/>
    </xf>
    <xf numFmtId="0" fontId="25" fillId="3" borderId="17" xfId="0" applyFont="1" applyFill="1" applyBorder="1" applyAlignment="1">
      <alignment horizontal="center" wrapText="1"/>
    </xf>
    <xf numFmtId="0" fontId="25" fillId="3" borderId="4" xfId="1" applyFont="1" applyFill="1" applyBorder="1" applyAlignment="1">
      <alignment horizontal="center" wrapText="1"/>
    </xf>
    <xf numFmtId="0" fontId="25" fillId="3" borderId="4" xfId="0" applyFont="1" applyFill="1" applyBorder="1" applyAlignment="1" applyProtection="1">
      <alignment horizontal="center" wrapText="1"/>
    </xf>
    <xf numFmtId="0" fontId="25" fillId="3" borderId="17" xfId="0" applyFont="1" applyFill="1" applyBorder="1" applyAlignment="1" applyProtection="1">
      <alignment horizontal="center" wrapText="1"/>
    </xf>
    <xf numFmtId="0" fontId="25" fillId="3" borderId="8" xfId="0" applyFont="1" applyFill="1" applyBorder="1" applyAlignment="1">
      <alignment horizontal="center" wrapText="1"/>
    </xf>
    <xf numFmtId="0" fontId="25" fillId="3" borderId="23" xfId="0" applyFont="1" applyFill="1" applyBorder="1" applyAlignment="1">
      <alignment horizontal="center" wrapText="1"/>
    </xf>
    <xf numFmtId="0" fontId="25" fillId="3" borderId="10" xfId="1" applyFont="1" applyFill="1" applyBorder="1" applyAlignment="1" applyProtection="1">
      <alignment horizontal="center" wrapText="1"/>
    </xf>
    <xf numFmtId="0" fontId="25" fillId="3" borderId="11" xfId="1" applyFont="1" applyFill="1" applyBorder="1" applyAlignment="1" applyProtection="1">
      <alignment horizontal="center" wrapText="1"/>
    </xf>
    <xf numFmtId="0" fontId="25" fillId="3" borderId="12" xfId="1" applyFont="1" applyFill="1" applyBorder="1" applyAlignment="1" applyProtection="1">
      <alignment horizontal="center" wrapText="1"/>
    </xf>
    <xf numFmtId="49" fontId="25" fillId="3" borderId="5" xfId="1" applyNumberFormat="1" applyFont="1" applyFill="1" applyBorder="1" applyAlignment="1" applyProtection="1">
      <alignment horizontal="center" wrapText="1"/>
    </xf>
    <xf numFmtId="49" fontId="25" fillId="3" borderId="9" xfId="1" applyNumberFormat="1" applyFont="1" applyFill="1" applyBorder="1" applyAlignment="1" applyProtection="1">
      <alignment horizontal="center" wrapText="1"/>
    </xf>
    <xf numFmtId="49" fontId="25" fillId="3" borderId="8" xfId="1" applyNumberFormat="1" applyFont="1" applyFill="1" applyBorder="1" applyAlignment="1" applyProtection="1">
      <alignment horizontal="center" wrapText="1"/>
    </xf>
    <xf numFmtId="0" fontId="25" fillId="3" borderId="5" xfId="1" applyFont="1" applyFill="1" applyBorder="1" applyAlignment="1" applyProtection="1">
      <alignment horizontal="center" wrapText="1"/>
    </xf>
    <xf numFmtId="0" fontId="25" fillId="3" borderId="9" xfId="1" applyFont="1" applyFill="1" applyBorder="1" applyAlignment="1" applyProtection="1">
      <alignment horizontal="center" wrapText="1"/>
    </xf>
    <xf numFmtId="0" fontId="25" fillId="3" borderId="8" xfId="1" applyFont="1" applyFill="1" applyBorder="1" applyAlignment="1" applyProtection="1">
      <alignment horizontal="center" wrapText="1"/>
    </xf>
    <xf numFmtId="0" fontId="25" fillId="3" borderId="5" xfId="0" applyFont="1" applyFill="1" applyBorder="1" applyAlignment="1">
      <alignment horizontal="center" wrapText="1"/>
    </xf>
    <xf numFmtId="0" fontId="25" fillId="3" borderId="9" xfId="0" applyFont="1" applyFill="1" applyBorder="1" applyAlignment="1">
      <alignment horizontal="center" wrapText="1"/>
    </xf>
    <xf numFmtId="0" fontId="25" fillId="3" borderId="1" xfId="0" applyFont="1" applyFill="1" applyBorder="1" applyAlignment="1">
      <alignment horizontal="center" wrapText="1"/>
    </xf>
    <xf numFmtId="0" fontId="25" fillId="3" borderId="3" xfId="0" applyFont="1" applyFill="1" applyBorder="1" applyAlignment="1">
      <alignment horizontal="center" wrapText="1"/>
    </xf>
    <xf numFmtId="0" fontId="25" fillId="3" borderId="2" xfId="0" applyFont="1" applyFill="1" applyBorder="1" applyAlignment="1">
      <alignment horizontal="center" wrapText="1"/>
    </xf>
    <xf numFmtId="0" fontId="27" fillId="3" borderId="4" xfId="0" applyFont="1" applyFill="1" applyBorder="1" applyAlignment="1">
      <alignment horizontal="center"/>
    </xf>
    <xf numFmtId="0" fontId="25" fillId="3" borderId="13" xfId="0" applyFont="1" applyFill="1" applyBorder="1" applyAlignment="1">
      <alignment horizontal="center" wrapText="1"/>
    </xf>
    <xf numFmtId="0" fontId="25" fillId="3" borderId="19" xfId="0" applyFont="1" applyFill="1" applyBorder="1" applyAlignment="1">
      <alignment horizontal="center" wrapText="1"/>
    </xf>
    <xf numFmtId="0" fontId="25" fillId="3" borderId="24" xfId="0" applyFont="1" applyFill="1" applyBorder="1" applyAlignment="1">
      <alignment horizontal="center" wrapText="1"/>
    </xf>
    <xf numFmtId="0" fontId="25" fillId="3" borderId="25" xfId="0" applyFont="1" applyFill="1" applyBorder="1" applyAlignment="1">
      <alignment horizontal="center" wrapText="1"/>
    </xf>
    <xf numFmtId="0" fontId="25" fillId="3" borderId="26" xfId="0" applyFont="1" applyFill="1" applyBorder="1" applyAlignment="1">
      <alignment horizontal="center" wrapText="1"/>
    </xf>
    <xf numFmtId="0" fontId="25" fillId="3" borderId="8" xfId="1" applyFont="1" applyFill="1" applyBorder="1" applyAlignment="1">
      <alignment horizontal="center" wrapText="1"/>
    </xf>
    <xf numFmtId="0" fontId="25" fillId="3" borderId="20" xfId="0" applyFont="1" applyFill="1" applyBorder="1" applyAlignment="1">
      <alignment horizontal="center" vertical="center" wrapText="1"/>
    </xf>
    <xf numFmtId="0" fontId="25" fillId="3" borderId="21" xfId="0" applyFont="1" applyFill="1" applyBorder="1" applyAlignment="1">
      <alignment horizontal="center" vertical="center" wrapText="1"/>
    </xf>
    <xf numFmtId="0" fontId="25" fillId="3" borderId="22" xfId="0" applyFont="1" applyFill="1" applyBorder="1" applyAlignment="1">
      <alignment horizontal="center" vertical="center" wrapText="1"/>
    </xf>
    <xf numFmtId="0" fontId="6" fillId="0" borderId="4" xfId="1" applyFont="1" applyBorder="1" applyAlignment="1" applyProtection="1">
      <alignment horizontal="center"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6" xfId="0" applyFont="1" applyBorder="1" applyAlignment="1">
      <alignment horizontal="center" vertical="center" wrapText="1"/>
    </xf>
    <xf numFmtId="0" fontId="40" fillId="0" borderId="38" xfId="2" applyFont="1" applyFill="1" applyBorder="1" applyAlignment="1">
      <alignment horizontal="center" vertical="center" wrapText="1"/>
    </xf>
    <xf numFmtId="0" fontId="40" fillId="0" borderId="32" xfId="2" applyFont="1" applyFill="1" applyBorder="1" applyAlignment="1">
      <alignment horizontal="center" vertical="center" wrapText="1"/>
    </xf>
    <xf numFmtId="0" fontId="40" fillId="0" borderId="39" xfId="2" applyFont="1" applyFill="1" applyBorder="1" applyAlignment="1">
      <alignment horizontal="center" vertical="center" wrapText="1"/>
    </xf>
    <xf numFmtId="0" fontId="40" fillId="0" borderId="40" xfId="2" applyFont="1" applyFill="1" applyBorder="1" applyAlignment="1">
      <alignment horizontal="center" vertical="center" wrapText="1"/>
    </xf>
    <xf numFmtId="0" fontId="40" fillId="0" borderId="33" xfId="2" applyFont="1" applyFill="1" applyBorder="1" applyAlignment="1">
      <alignment horizontal="center" vertical="center" wrapText="1"/>
    </xf>
    <xf numFmtId="0" fontId="40" fillId="0" borderId="41" xfId="2" applyFont="1" applyFill="1" applyBorder="1" applyAlignment="1">
      <alignment horizontal="center" vertical="center" wrapText="1"/>
    </xf>
    <xf numFmtId="0" fontId="1" fillId="0" borderId="36" xfId="1" applyFont="1" applyBorder="1" applyAlignment="1" applyProtection="1">
      <alignment horizontal="center" vertical="center" wrapText="1"/>
    </xf>
    <xf numFmtId="49" fontId="1" fillId="0" borderId="3" xfId="1" applyNumberFormat="1" applyFont="1" applyBorder="1" applyAlignment="1" applyProtection="1">
      <alignment horizontal="center" vertical="center" wrapText="1"/>
    </xf>
    <xf numFmtId="0" fontId="2" fillId="0" borderId="36" xfId="0" applyFont="1" applyBorder="1" applyAlignment="1">
      <alignment vertical="center"/>
    </xf>
    <xf numFmtId="0" fontId="40" fillId="0" borderId="43" xfId="2" applyFont="1" applyFill="1" applyBorder="1" applyAlignment="1">
      <alignment horizontal="center" vertical="center" wrapText="1"/>
    </xf>
    <xf numFmtId="10" fontId="41" fillId="0" borderId="40" xfId="2" applyNumberFormat="1" applyFont="1" applyFill="1" applyBorder="1" applyAlignment="1">
      <alignment horizontal="center" vertical="center" wrapText="1"/>
    </xf>
    <xf numFmtId="10" fontId="41" fillId="0" borderId="44" xfId="2" applyNumberFormat="1" applyFont="1" applyFill="1" applyBorder="1" applyAlignment="1">
      <alignment horizontal="center" vertical="center" wrapText="1"/>
    </xf>
    <xf numFmtId="0" fontId="40" fillId="0" borderId="33" xfId="1" applyFont="1" applyFill="1" applyBorder="1" applyAlignment="1">
      <alignment horizontal="center" vertical="center" wrapText="1"/>
    </xf>
    <xf numFmtId="0" fontId="40" fillId="0" borderId="34" xfId="2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wrapText="1"/>
    </xf>
    <xf numFmtId="0" fontId="19" fillId="0" borderId="15" xfId="0" applyFont="1" applyFill="1" applyBorder="1" applyAlignment="1">
      <alignment horizontal="center" wrapText="1"/>
    </xf>
    <xf numFmtId="0" fontId="19" fillId="0" borderId="16" xfId="0" applyFont="1" applyFill="1" applyBorder="1" applyAlignment="1">
      <alignment horizontal="center" wrapText="1"/>
    </xf>
    <xf numFmtId="0" fontId="1" fillId="0" borderId="4" xfId="1" applyFont="1" applyFill="1" applyBorder="1" applyAlignment="1" applyProtection="1">
      <alignment horizontal="center" wrapText="1"/>
    </xf>
    <xf numFmtId="49" fontId="1" fillId="0" borderId="4" xfId="1" applyNumberFormat="1" applyFont="1" applyFill="1" applyBorder="1" applyAlignment="1" applyProtection="1">
      <alignment horizontal="center" wrapText="1"/>
    </xf>
    <xf numFmtId="0" fontId="1" fillId="0" borderId="4" xfId="0" applyFont="1" applyFill="1" applyBorder="1" applyAlignment="1">
      <alignment horizontal="center" wrapText="1"/>
    </xf>
    <xf numFmtId="0" fontId="2" fillId="0" borderId="4" xfId="0" applyFont="1" applyFill="1" applyBorder="1" applyAlignment="1"/>
    <xf numFmtId="0" fontId="1" fillId="0" borderId="14" xfId="0" applyFont="1" applyFill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0" fontId="1" fillId="0" borderId="16" xfId="0" applyFont="1" applyFill="1" applyBorder="1" applyAlignment="1">
      <alignment horizontal="center" wrapText="1"/>
    </xf>
    <xf numFmtId="0" fontId="1" fillId="0" borderId="3" xfId="1" applyFont="1" applyFill="1" applyBorder="1" applyAlignment="1" applyProtection="1">
      <alignment horizontal="center" wrapText="1"/>
    </xf>
    <xf numFmtId="0" fontId="1" fillId="0" borderId="17" xfId="0" applyFont="1" applyFill="1" applyBorder="1" applyAlignment="1">
      <alignment horizontal="center" wrapText="1"/>
    </xf>
    <xf numFmtId="0" fontId="1" fillId="0" borderId="4" xfId="1" applyFont="1" applyFill="1" applyBorder="1" applyAlignment="1">
      <alignment horizontal="center" wrapText="1"/>
    </xf>
    <xf numFmtId="0" fontId="1" fillId="0" borderId="4" xfId="0" applyFont="1" applyFill="1" applyBorder="1" applyAlignment="1" applyProtection="1">
      <alignment horizontal="center" wrapText="1"/>
    </xf>
    <xf numFmtId="0" fontId="1" fillId="0" borderId="17" xfId="0" applyFont="1" applyFill="1" applyBorder="1" applyAlignment="1" applyProtection="1">
      <alignment horizontal="center" wrapText="1"/>
    </xf>
    <xf numFmtId="0" fontId="1" fillId="0" borderId="8" xfId="0" applyFont="1" applyFill="1" applyBorder="1" applyAlignment="1">
      <alignment horizontal="center" wrapText="1"/>
    </xf>
    <xf numFmtId="0" fontId="1" fillId="0" borderId="23" xfId="0" applyFont="1" applyFill="1" applyBorder="1" applyAlignment="1">
      <alignment horizontal="center" wrapText="1"/>
    </xf>
    <xf numFmtId="0" fontId="1" fillId="0" borderId="10" xfId="1" applyFont="1" applyFill="1" applyBorder="1" applyAlignment="1" applyProtection="1">
      <alignment horizontal="center" wrapText="1"/>
    </xf>
    <xf numFmtId="0" fontId="1" fillId="0" borderId="11" xfId="1" applyFont="1" applyFill="1" applyBorder="1" applyAlignment="1" applyProtection="1">
      <alignment horizontal="center" wrapText="1"/>
    </xf>
    <xf numFmtId="0" fontId="1" fillId="0" borderId="12" xfId="1" applyFont="1" applyFill="1" applyBorder="1" applyAlignment="1" applyProtection="1">
      <alignment horizontal="center" wrapText="1"/>
    </xf>
    <xf numFmtId="49" fontId="1" fillId="0" borderId="5" xfId="1" applyNumberFormat="1" applyFont="1" applyFill="1" applyBorder="1" applyAlignment="1" applyProtection="1">
      <alignment horizontal="center" wrapText="1"/>
    </xf>
    <xf numFmtId="49" fontId="1" fillId="0" borderId="9" xfId="1" applyNumberFormat="1" applyFont="1" applyFill="1" applyBorder="1" applyAlignment="1" applyProtection="1">
      <alignment horizontal="center" wrapText="1"/>
    </xf>
    <xf numFmtId="49" fontId="1" fillId="0" borderId="8" xfId="1" applyNumberFormat="1" applyFont="1" applyFill="1" applyBorder="1" applyAlignment="1" applyProtection="1">
      <alignment horizontal="center" wrapText="1"/>
    </xf>
    <xf numFmtId="0" fontId="1" fillId="0" borderId="5" xfId="1" applyFont="1" applyFill="1" applyBorder="1" applyAlignment="1" applyProtection="1">
      <alignment horizontal="center" wrapText="1"/>
    </xf>
    <xf numFmtId="0" fontId="1" fillId="0" borderId="9" xfId="1" applyFont="1" applyFill="1" applyBorder="1" applyAlignment="1" applyProtection="1">
      <alignment horizontal="center" wrapText="1"/>
    </xf>
    <xf numFmtId="0" fontId="1" fillId="0" borderId="8" xfId="1" applyFont="1" applyFill="1" applyBorder="1" applyAlignment="1" applyProtection="1">
      <alignment horizontal="center" wrapText="1"/>
    </xf>
    <xf numFmtId="0" fontId="1" fillId="0" borderId="5" xfId="0" applyFont="1" applyFill="1" applyBorder="1" applyAlignment="1">
      <alignment horizontal="center" wrapText="1"/>
    </xf>
    <xf numFmtId="0" fontId="1" fillId="0" borderId="9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 wrapText="1"/>
    </xf>
    <xf numFmtId="0" fontId="1" fillId="0" borderId="19" xfId="0" applyFont="1" applyFill="1" applyBorder="1" applyAlignment="1">
      <alignment horizontal="center" wrapText="1"/>
    </xf>
    <xf numFmtId="0" fontId="1" fillId="0" borderId="24" xfId="0" applyFont="1" applyFill="1" applyBorder="1" applyAlignment="1">
      <alignment horizontal="center" wrapText="1"/>
    </xf>
    <xf numFmtId="0" fontId="1" fillId="0" borderId="25" xfId="0" applyFont="1" applyFill="1" applyBorder="1" applyAlignment="1">
      <alignment horizontal="center" wrapText="1"/>
    </xf>
    <xf numFmtId="0" fontId="1" fillId="0" borderId="26" xfId="0" applyFont="1" applyFill="1" applyBorder="1" applyAlignment="1">
      <alignment horizontal="center" wrapText="1"/>
    </xf>
    <xf numFmtId="0" fontId="1" fillId="0" borderId="8" xfId="1" applyFont="1" applyFill="1" applyBorder="1" applyAlignment="1">
      <alignment horizontal="center" wrapText="1"/>
    </xf>
    <xf numFmtId="0" fontId="1" fillId="0" borderId="20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8" fillId="0" borderId="43" xfId="2" applyFont="1" applyFill="1" applyBorder="1" applyAlignment="1">
      <alignment horizontal="center" vertical="center" wrapText="1"/>
    </xf>
    <xf numFmtId="10" fontId="54" fillId="0" borderId="40" xfId="2" applyNumberFormat="1" applyFont="1" applyFill="1" applyBorder="1" applyAlignment="1">
      <alignment horizontal="center" vertical="center" wrapText="1"/>
    </xf>
    <xf numFmtId="10" fontId="54" fillId="0" borderId="44" xfId="2" applyNumberFormat="1" applyFont="1" applyFill="1" applyBorder="1" applyAlignment="1">
      <alignment horizontal="center" vertical="center" wrapText="1"/>
    </xf>
    <xf numFmtId="0" fontId="8" fillId="0" borderId="33" xfId="1" applyFont="1" applyFill="1" applyBorder="1" applyAlignment="1">
      <alignment horizontal="center" vertical="center" wrapText="1"/>
    </xf>
    <xf numFmtId="0" fontId="8" fillId="0" borderId="33" xfId="2" applyFont="1" applyFill="1" applyBorder="1" applyAlignment="1">
      <alignment horizontal="center" vertical="center" wrapText="1"/>
    </xf>
    <xf numFmtId="0" fontId="8" fillId="0" borderId="34" xfId="2" applyFont="1" applyFill="1" applyBorder="1" applyAlignment="1">
      <alignment horizontal="center" vertical="center" wrapText="1"/>
    </xf>
    <xf numFmtId="0" fontId="8" fillId="0" borderId="38" xfId="2" applyFont="1" applyFill="1" applyBorder="1" applyAlignment="1">
      <alignment horizontal="center" vertical="center" wrapText="1"/>
    </xf>
    <xf numFmtId="0" fontId="8" fillId="0" borderId="32" xfId="2" applyFont="1" applyFill="1" applyBorder="1" applyAlignment="1">
      <alignment horizontal="center" vertical="center" wrapText="1"/>
    </xf>
    <xf numFmtId="0" fontId="8" fillId="0" borderId="39" xfId="2" applyFont="1" applyFill="1" applyBorder="1" applyAlignment="1">
      <alignment horizontal="center" vertical="center" wrapText="1"/>
    </xf>
    <xf numFmtId="0" fontId="8" fillId="0" borderId="40" xfId="2" applyFont="1" applyFill="1" applyBorder="1" applyAlignment="1">
      <alignment horizontal="center" vertical="center" wrapText="1"/>
    </xf>
    <xf numFmtId="0" fontId="8" fillId="0" borderId="41" xfId="2" applyFont="1" applyFill="1" applyBorder="1" applyAlignment="1">
      <alignment horizontal="center" vertical="center" wrapText="1"/>
    </xf>
    <xf numFmtId="0" fontId="8" fillId="3" borderId="39" xfId="2" applyFont="1" applyFill="1" applyBorder="1" applyAlignment="1">
      <alignment horizontal="center" vertical="center" wrapText="1"/>
    </xf>
    <xf numFmtId="0" fontId="8" fillId="3" borderId="40" xfId="2" applyFont="1" applyFill="1" applyBorder="1" applyAlignment="1">
      <alignment horizontal="center" vertical="center" wrapText="1"/>
    </xf>
    <xf numFmtId="0" fontId="8" fillId="3" borderId="33" xfId="2" applyFont="1" applyFill="1" applyBorder="1" applyAlignment="1">
      <alignment horizontal="center" vertical="center" wrapText="1"/>
    </xf>
    <xf numFmtId="0" fontId="8" fillId="3" borderId="41" xfId="2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8" fillId="3" borderId="38" xfId="2" applyFont="1" applyFill="1" applyBorder="1" applyAlignment="1">
      <alignment horizontal="center" vertical="center" wrapText="1"/>
    </xf>
    <xf numFmtId="0" fontId="8" fillId="3" borderId="32" xfId="2" applyFont="1" applyFill="1" applyBorder="1" applyAlignment="1">
      <alignment horizontal="center" vertical="center" wrapText="1"/>
    </xf>
    <xf numFmtId="0" fontId="1" fillId="3" borderId="36" xfId="1" applyFont="1" applyFill="1" applyBorder="1" applyAlignment="1" applyProtection="1">
      <alignment horizontal="center" vertical="center" wrapText="1"/>
    </xf>
    <xf numFmtId="49" fontId="1" fillId="3" borderId="3" xfId="1" applyNumberFormat="1" applyFont="1" applyFill="1" applyBorder="1" applyAlignment="1" applyProtection="1">
      <alignment horizontal="center" vertical="center" wrapText="1"/>
    </xf>
    <xf numFmtId="0" fontId="1" fillId="3" borderId="4" xfId="1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>
      <alignment vertical="center"/>
    </xf>
    <xf numFmtId="0" fontId="2" fillId="3" borderId="14" xfId="0" applyFont="1" applyFill="1" applyBorder="1" applyAlignment="1">
      <alignment vertical="center"/>
    </xf>
    <xf numFmtId="0" fontId="1" fillId="3" borderId="1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vertical="center"/>
    </xf>
    <xf numFmtId="0" fontId="2" fillId="3" borderId="19" xfId="0" applyFont="1" applyFill="1" applyBorder="1" applyAlignment="1">
      <alignment vertical="center"/>
    </xf>
    <xf numFmtId="10" fontId="54" fillId="3" borderId="40" xfId="2" applyNumberFormat="1" applyFont="1" applyFill="1" applyBorder="1" applyAlignment="1">
      <alignment horizontal="center" vertical="center" wrapText="1"/>
    </xf>
    <xf numFmtId="10" fontId="54" fillId="3" borderId="44" xfId="2" applyNumberFormat="1" applyFont="1" applyFill="1" applyBorder="1" applyAlignment="1">
      <alignment horizontal="center" vertical="center" wrapText="1"/>
    </xf>
    <xf numFmtId="0" fontId="2" fillId="3" borderId="36" xfId="0" applyFont="1" applyFill="1" applyBorder="1" applyAlignment="1">
      <alignment vertical="center"/>
    </xf>
    <xf numFmtId="0" fontId="2" fillId="3" borderId="3" xfId="0" applyFont="1" applyFill="1" applyBorder="1" applyAlignment="1">
      <alignment vertical="center"/>
    </xf>
    <xf numFmtId="0" fontId="1" fillId="3" borderId="4" xfId="1" applyFont="1" applyFill="1" applyBorder="1" applyAlignment="1">
      <alignment horizontal="center" vertical="center" wrapText="1"/>
    </xf>
    <xf numFmtId="0" fontId="1" fillId="3" borderId="4" xfId="0" applyFont="1" applyFill="1" applyBorder="1" applyAlignment="1" applyProtection="1">
      <alignment horizontal="center" vertical="center" wrapText="1"/>
    </xf>
    <xf numFmtId="0" fontId="1" fillId="3" borderId="14" xfId="0" applyFont="1" applyFill="1" applyBorder="1" applyAlignment="1" applyProtection="1">
      <alignment horizontal="center" vertical="center" wrapText="1"/>
    </xf>
    <xf numFmtId="0" fontId="8" fillId="3" borderId="43" xfId="2" applyFont="1" applyFill="1" applyBorder="1" applyAlignment="1">
      <alignment horizontal="center" vertical="center" wrapText="1"/>
    </xf>
    <xf numFmtId="0" fontId="8" fillId="3" borderId="33" xfId="1" applyFont="1" applyFill="1" applyBorder="1" applyAlignment="1">
      <alignment horizontal="center" vertical="center" wrapText="1"/>
    </xf>
    <xf numFmtId="0" fontId="8" fillId="3" borderId="34" xfId="2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 wrapText="1"/>
    </xf>
    <xf numFmtId="0" fontId="1" fillId="3" borderId="46" xfId="0" applyFont="1" applyFill="1" applyBorder="1" applyAlignment="1">
      <alignment horizontal="center" vertical="center" wrapText="1"/>
    </xf>
    <xf numFmtId="0" fontId="1" fillId="3" borderId="47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wrapText="1"/>
    </xf>
    <xf numFmtId="0" fontId="1" fillId="3" borderId="14" xfId="0" applyFont="1" applyFill="1" applyBorder="1" applyAlignment="1" applyProtection="1">
      <alignment horizontal="center" wrapText="1"/>
    </xf>
    <xf numFmtId="0" fontId="2" fillId="3" borderId="14" xfId="0" applyFont="1" applyFill="1" applyBorder="1" applyAlignment="1"/>
    <xf numFmtId="0" fontId="55" fillId="3" borderId="0" xfId="0" applyFont="1" applyFill="1" applyAlignment="1">
      <alignment horizontal="center"/>
    </xf>
  </cellXfs>
  <cellStyles count="3">
    <cellStyle name="Excel Built-in Normal" xfId="2"/>
    <cellStyle name="Normal" xfId="0" builtinId="0"/>
    <cellStyle name="Normal_ZR_Obrasci_2005" xfId="1"/>
  </cellStyles>
  <dxfs count="0"/>
  <tableStyles count="0" defaultTableStyle="TableStyleMedium9" defaultPivotStyle="PivotStyleLight16"/>
  <colors>
    <mruColors>
      <color rgb="FFCCCCFF"/>
      <color rgb="FF66FF33"/>
      <color rgb="FFFF3399"/>
      <color rgb="FF9999FF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24</xdr:col>
          <xdr:colOff>0</xdr:colOff>
          <xdr:row>2</xdr:row>
          <xdr:rowOff>0</xdr:rowOff>
        </xdr:from>
        <xdr:to>
          <xdr:col>33</xdr:col>
          <xdr:colOff>438150</xdr:colOff>
          <xdr:row>122</xdr:row>
          <xdr:rowOff>104775</xdr:rowOff>
        </xdr:to>
        <xdr:sp macro="" textlink="">
          <xdr:nvSpPr>
            <xdr:cNvPr id="11265" name="Object 1" hidden="1">
              <a:extLst>
                <a:ext uri="{63B3BB69-23CF-44E3-9099-C40C66FF867C}">
                  <a14:compatExt spid="_x0000_s1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250</xdr:row>
          <xdr:rowOff>171450</xdr:rowOff>
        </xdr:from>
        <xdr:to>
          <xdr:col>26</xdr:col>
          <xdr:colOff>438150</xdr:colOff>
          <xdr:row>289</xdr:row>
          <xdr:rowOff>38100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250</xdr:row>
          <xdr:rowOff>171450</xdr:rowOff>
        </xdr:from>
        <xdr:to>
          <xdr:col>26</xdr:col>
          <xdr:colOff>438150</xdr:colOff>
          <xdr:row>292</xdr:row>
          <xdr:rowOff>38100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219075</xdr:colOff>
          <xdr:row>251</xdr:row>
          <xdr:rowOff>171450</xdr:rowOff>
        </xdr:from>
        <xdr:to>
          <xdr:col>36</xdr:col>
          <xdr:colOff>209550</xdr:colOff>
          <xdr:row>290</xdr:row>
          <xdr:rowOff>123825</xdr:rowOff>
        </xdr:to>
        <xdr:sp macro="" textlink="">
          <xdr:nvSpPr>
            <xdr:cNvPr id="15361" name="Object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27</xdr:col>
          <xdr:colOff>0</xdr:colOff>
          <xdr:row>251</xdr:row>
          <xdr:rowOff>0</xdr:rowOff>
        </xdr:from>
        <xdr:to>
          <xdr:col>35</xdr:col>
          <xdr:colOff>571500</xdr:colOff>
          <xdr:row>289</xdr:row>
          <xdr:rowOff>285750</xdr:rowOff>
        </xdr:to>
        <xdr:sp macro="" textlink="">
          <xdr:nvSpPr>
            <xdr:cNvPr id="15362" name="Object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3.bin"/><Relationship Id="rId6" Type="http://schemas.openxmlformats.org/officeDocument/2006/relationships/comments" Target="../comments5.xml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4.bin"/><Relationship Id="rId6" Type="http://schemas.openxmlformats.org/officeDocument/2006/relationships/comments" Target="../comments6.xml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2.docx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6.bin"/><Relationship Id="rId6" Type="http://schemas.openxmlformats.org/officeDocument/2006/relationships/comments" Target="../comments7.xml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3.docx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comments" Target="../comments9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8.bin"/><Relationship Id="rId6" Type="http://schemas.openxmlformats.org/officeDocument/2006/relationships/package" Target="../embeddings/Microsoft_Word_Document5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4.docx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9"/>
  <sheetViews>
    <sheetView topLeftCell="A247" workbookViewId="0">
      <selection activeCell="M252" sqref="M252"/>
    </sheetView>
  </sheetViews>
  <sheetFormatPr defaultRowHeight="15" x14ac:dyDescent="0.25"/>
  <cols>
    <col min="1" max="1" width="4.85546875" style="12" customWidth="1"/>
    <col min="2" max="2" width="9.140625" style="12" customWidth="1"/>
    <col min="3" max="3" width="33.140625" style="12" customWidth="1"/>
    <col min="4" max="4" width="3.28515625" style="12" customWidth="1"/>
    <col min="5" max="5" width="8.7109375" style="12" hidden="1" customWidth="1"/>
    <col min="6" max="6" width="9" style="12" customWidth="1"/>
    <col min="7" max="7" width="0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9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1" width="0" style="12" hidden="1" customWidth="1"/>
    <col min="22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15" t="s">
        <v>9</v>
      </c>
      <c r="J4" s="15" t="s">
        <v>9</v>
      </c>
      <c r="K4" s="15" t="s">
        <v>11</v>
      </c>
      <c r="L4" s="15" t="s">
        <v>11</v>
      </c>
      <c r="M4" s="15" t="s">
        <v>12</v>
      </c>
      <c r="N4" s="15" t="s">
        <v>12</v>
      </c>
      <c r="O4" s="544"/>
      <c r="P4" s="544"/>
      <c r="Q4" s="547"/>
    </row>
    <row r="5" spans="1:17" x14ac:dyDescent="0.25">
      <c r="A5" s="16">
        <v>1</v>
      </c>
      <c r="B5" s="15">
        <v>2</v>
      </c>
      <c r="C5" s="15">
        <v>3</v>
      </c>
      <c r="D5" s="15"/>
      <c r="E5" s="15">
        <v>4</v>
      </c>
      <c r="F5" s="15">
        <v>4</v>
      </c>
      <c r="G5" s="15">
        <v>4</v>
      </c>
      <c r="H5" s="15">
        <v>5</v>
      </c>
      <c r="I5" s="15">
        <v>5</v>
      </c>
      <c r="J5" s="15">
        <v>7</v>
      </c>
      <c r="K5" s="15">
        <v>6</v>
      </c>
      <c r="L5" s="15">
        <v>6</v>
      </c>
      <c r="M5" s="15">
        <v>7</v>
      </c>
      <c r="N5" s="15">
        <v>7</v>
      </c>
      <c r="O5" s="15">
        <v>10</v>
      </c>
      <c r="P5" s="15">
        <v>8</v>
      </c>
      <c r="Q5" s="66">
        <v>8</v>
      </c>
    </row>
    <row r="6" spans="1:17" ht="42" customHeight="1" x14ac:dyDescent="0.25">
      <c r="A6" s="17">
        <v>5001</v>
      </c>
      <c r="B6" s="15"/>
      <c r="C6" s="18" t="s">
        <v>13</v>
      </c>
      <c r="D6" s="18"/>
      <c r="E6" s="19">
        <f>E7+E133</f>
        <v>1500538</v>
      </c>
      <c r="F6" s="19">
        <f t="shared" ref="F6:Q6" si="0">F7+F133</f>
        <v>1478921</v>
      </c>
      <c r="G6" s="19">
        <f t="shared" si="0"/>
        <v>2872894</v>
      </c>
      <c r="H6" s="19">
        <f t="shared" si="0"/>
        <v>21200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1443921</v>
      </c>
      <c r="N6" s="19">
        <f t="shared" si="0"/>
        <v>1398192</v>
      </c>
      <c r="O6" s="19">
        <f t="shared" si="0"/>
        <v>0</v>
      </c>
      <c r="P6" s="19">
        <f t="shared" si="0"/>
        <v>12800</v>
      </c>
      <c r="Q6" s="67">
        <f t="shared" si="0"/>
        <v>12669</v>
      </c>
    </row>
    <row r="7" spans="1:17" ht="26.25" x14ac:dyDescent="0.25">
      <c r="A7" s="17">
        <v>5002</v>
      </c>
      <c r="B7" s="15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1478721</v>
      </c>
      <c r="G7" s="19">
        <f>G8+G60+G74+G86+G115+G122+G126</f>
        <v>2872710</v>
      </c>
      <c r="H7" s="19">
        <f t="shared" ref="H7:Q7" si="1">H8+H60+H74+H86+H115+H122+H126</f>
        <v>21200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1443921</v>
      </c>
      <c r="N7" s="19">
        <f t="shared" si="1"/>
        <v>1398192</v>
      </c>
      <c r="O7" s="19">
        <f t="shared" si="1"/>
        <v>0</v>
      </c>
      <c r="P7" s="19">
        <f t="shared" si="1"/>
        <v>12600</v>
      </c>
      <c r="Q7" s="67">
        <f t="shared" si="1"/>
        <v>12485</v>
      </c>
    </row>
    <row r="8" spans="1:17" ht="26.25" hidden="1" x14ac:dyDescent="0.25">
      <c r="A8" s="16">
        <v>5003</v>
      </c>
      <c r="B8" s="15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x14ac:dyDescent="0.25">
      <c r="A9" s="16">
        <v>5004</v>
      </c>
      <c r="B9" s="15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26.25" hidden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27"/>
      <c r="E11" s="560" t="s">
        <v>3</v>
      </c>
      <c r="F11" s="15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28"/>
      <c r="E12" s="561"/>
      <c r="F12" s="15"/>
      <c r="G12" s="548" t="s">
        <v>5</v>
      </c>
      <c r="H12" s="2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15"/>
      <c r="Q12" s="547" t="s">
        <v>8</v>
      </c>
    </row>
    <row r="13" spans="1:17" ht="39" hidden="1" x14ac:dyDescent="0.25">
      <c r="A13" s="553"/>
      <c r="B13" s="556"/>
      <c r="C13" s="559"/>
      <c r="D13" s="30"/>
      <c r="E13" s="541"/>
      <c r="F13" s="15"/>
      <c r="G13" s="548"/>
      <c r="H13" s="29"/>
      <c r="I13" s="15" t="s">
        <v>9</v>
      </c>
      <c r="J13" s="15" t="s">
        <v>10</v>
      </c>
      <c r="K13" s="15"/>
      <c r="L13" s="15" t="s">
        <v>11</v>
      </c>
      <c r="M13" s="15"/>
      <c r="N13" s="15" t="s">
        <v>12</v>
      </c>
      <c r="O13" s="544"/>
      <c r="P13" s="15"/>
      <c r="Q13" s="547"/>
    </row>
    <row r="14" spans="1:17" ht="26.25" hidden="1" x14ac:dyDescent="0.25">
      <c r="A14" s="31" t="s">
        <v>18</v>
      </c>
      <c r="B14" s="32" t="s">
        <v>19</v>
      </c>
      <c r="C14" s="32" t="s">
        <v>20</v>
      </c>
      <c r="D14" s="32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39" hidden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idden="1" x14ac:dyDescent="0.25">
      <c r="A17" s="16">
        <v>5008</v>
      </c>
      <c r="B17" s="15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idden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x14ac:dyDescent="0.25">
      <c r="A19" s="16">
        <v>5010</v>
      </c>
      <c r="B19" s="15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idden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idden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idden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idden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x14ac:dyDescent="0.25">
      <c r="A26" s="16">
        <v>5017</v>
      </c>
      <c r="B26" s="15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idden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idden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idden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idden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x14ac:dyDescent="0.25">
      <c r="A32" s="16">
        <v>5023</v>
      </c>
      <c r="B32" s="15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idden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idden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26.25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16">
        <v>5030</v>
      </c>
      <c r="B39" s="15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26.25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26.25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16">
        <v>5033</v>
      </c>
      <c r="B42" s="15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34"/>
      <c r="E43" s="549" t="s">
        <v>3</v>
      </c>
      <c r="F43" s="35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34"/>
      <c r="E44" s="549"/>
      <c r="F44" s="35"/>
      <c r="G44" s="542" t="s">
        <v>5</v>
      </c>
      <c r="H44" s="3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35"/>
      <c r="Q44" s="550" t="s">
        <v>8</v>
      </c>
    </row>
    <row r="45" spans="1:17" ht="39" hidden="1" x14ac:dyDescent="0.25">
      <c r="A45" s="546"/>
      <c r="B45" s="543"/>
      <c r="C45" s="542"/>
      <c r="D45" s="34"/>
      <c r="E45" s="549"/>
      <c r="F45" s="35"/>
      <c r="G45" s="542"/>
      <c r="H45" s="34"/>
      <c r="I45" s="35" t="s">
        <v>9</v>
      </c>
      <c r="J45" s="35" t="s">
        <v>10</v>
      </c>
      <c r="K45" s="35"/>
      <c r="L45" s="35" t="s">
        <v>11</v>
      </c>
      <c r="M45" s="35"/>
      <c r="N45" s="35" t="s">
        <v>12</v>
      </c>
      <c r="O45" s="549"/>
      <c r="P45" s="35"/>
      <c r="Q45" s="550"/>
    </row>
    <row r="46" spans="1:17" ht="26.25" hidden="1" x14ac:dyDescent="0.25">
      <c r="A46" s="31" t="s">
        <v>18</v>
      </c>
      <c r="B46" s="32" t="s">
        <v>19</v>
      </c>
      <c r="C46" s="32" t="s">
        <v>20</v>
      </c>
      <c r="D46" s="32"/>
      <c r="E46" s="32" t="s">
        <v>21</v>
      </c>
      <c r="F46" s="32"/>
      <c r="G46" s="32" t="s">
        <v>22</v>
      </c>
      <c r="H46" s="32"/>
      <c r="I46" s="32" t="s">
        <v>23</v>
      </c>
      <c r="J46" s="32" t="s">
        <v>24</v>
      </c>
      <c r="K46" s="32"/>
      <c r="L46" s="32" t="s">
        <v>25</v>
      </c>
      <c r="M46" s="32"/>
      <c r="N46" s="32" t="s">
        <v>26</v>
      </c>
      <c r="O46" s="32" t="s">
        <v>27</v>
      </c>
      <c r="P46" s="32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64.5" hidden="1" x14ac:dyDescent="0.25">
      <c r="A53" s="16">
        <v>5040</v>
      </c>
      <c r="B53" s="15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26.25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39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26.25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16">
        <v>5047</v>
      </c>
      <c r="B60" s="15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16">
        <v>5048</v>
      </c>
      <c r="B61" s="15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39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26.25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16">
        <v>5053</v>
      </c>
      <c r="B66" s="15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34"/>
      <c r="E70" s="544" t="s">
        <v>3</v>
      </c>
      <c r="F70" s="15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34"/>
      <c r="E71" s="544"/>
      <c r="F71" s="15"/>
      <c r="G71" s="548" t="s">
        <v>5</v>
      </c>
      <c r="H71" s="2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15"/>
      <c r="Q71" s="547" t="s">
        <v>8</v>
      </c>
    </row>
    <row r="72" spans="1:17" ht="39" hidden="1" x14ac:dyDescent="0.25">
      <c r="A72" s="546"/>
      <c r="B72" s="543"/>
      <c r="C72" s="542"/>
      <c r="D72" s="34"/>
      <c r="E72" s="544"/>
      <c r="F72" s="15"/>
      <c r="G72" s="548"/>
      <c r="H72" s="29"/>
      <c r="I72" s="15" t="s">
        <v>9</v>
      </c>
      <c r="J72" s="15" t="s">
        <v>10</v>
      </c>
      <c r="K72" s="15"/>
      <c r="L72" s="15" t="s">
        <v>11</v>
      </c>
      <c r="M72" s="15"/>
      <c r="N72" s="15" t="s">
        <v>12</v>
      </c>
      <c r="O72" s="544"/>
      <c r="P72" s="15"/>
      <c r="Q72" s="547"/>
    </row>
    <row r="73" spans="1:17" ht="26.25" hidden="1" x14ac:dyDescent="0.25">
      <c r="A73" s="31" t="s">
        <v>18</v>
      </c>
      <c r="B73" s="32" t="s">
        <v>19</v>
      </c>
      <c r="C73" s="32" t="s">
        <v>20</v>
      </c>
      <c r="D73" s="32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26.25" hidden="1" x14ac:dyDescent="0.25">
      <c r="A74" s="16">
        <v>5057</v>
      </c>
      <c r="B74" s="15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16">
        <v>5058</v>
      </c>
      <c r="B75" s="15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39" hidden="1" x14ac:dyDescent="0.25">
      <c r="A78" s="16">
        <v>5061</v>
      </c>
      <c r="B78" s="15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16">
        <v>5066</v>
      </c>
      <c r="B83" s="15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16">
        <v>5069</v>
      </c>
      <c r="B86" s="15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14931</v>
      </c>
      <c r="G86" s="19">
        <f t="shared" ref="G86:Q86" si="21">G87+G94+G99+G110+G113</f>
        <v>14780</v>
      </c>
      <c r="H86" s="19">
        <f>H87+H94+H99+H110+H113</f>
        <v>1200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v>1131</v>
      </c>
      <c r="N86" s="19">
        <f t="shared" si="21"/>
        <v>1130</v>
      </c>
      <c r="O86" s="19">
        <f t="shared" si="21"/>
        <v>0</v>
      </c>
      <c r="P86" s="19">
        <f>P87+P94+P99+P110+P113+P120</f>
        <v>12600</v>
      </c>
      <c r="Q86" s="67">
        <f t="shared" si="21"/>
        <v>12485</v>
      </c>
    </row>
    <row r="87" spans="1:17" ht="26.25" x14ac:dyDescent="0.25">
      <c r="A87" s="16">
        <v>5070</v>
      </c>
      <c r="B87" s="15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1131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1131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1131</v>
      </c>
      <c r="G91" s="37">
        <f>SUM(I91:Q91)-K91-M91-P91</f>
        <v>1130</v>
      </c>
      <c r="H91" s="37"/>
      <c r="I91" s="38"/>
      <c r="J91" s="38"/>
      <c r="K91" s="38"/>
      <c r="L91" s="38"/>
      <c r="M91" s="38">
        <v>1131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26.25" x14ac:dyDescent="0.25">
      <c r="A94" s="16">
        <v>5077</v>
      </c>
      <c r="B94" s="15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1200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12500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26.25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1200</v>
      </c>
      <c r="I97" s="36">
        <v>1165</v>
      </c>
      <c r="J97" s="36"/>
      <c r="K97" s="36"/>
      <c r="L97" s="36"/>
      <c r="M97" s="36"/>
      <c r="N97" s="36"/>
      <c r="O97" s="36"/>
      <c r="P97" s="36">
        <v>7500</v>
      </c>
      <c r="Q97" s="72">
        <v>7180</v>
      </c>
    </row>
    <row r="98" spans="1:17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16">
        <v>5082</v>
      </c>
      <c r="B99" s="15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3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34"/>
      <c r="E101" s="544"/>
      <c r="F101" s="38">
        <f t="shared" si="23"/>
        <v>0</v>
      </c>
      <c r="G101" s="548" t="s">
        <v>5</v>
      </c>
      <c r="H101" s="2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15"/>
      <c r="Q101" s="547" t="s">
        <v>8</v>
      </c>
    </row>
    <row r="102" spans="1:17" ht="39" hidden="1" x14ac:dyDescent="0.25">
      <c r="A102" s="546"/>
      <c r="B102" s="543"/>
      <c r="C102" s="542"/>
      <c r="D102" s="34"/>
      <c r="E102" s="544"/>
      <c r="F102" s="38">
        <f t="shared" si="23"/>
        <v>0</v>
      </c>
      <c r="G102" s="548"/>
      <c r="H102" s="29"/>
      <c r="I102" s="15" t="s">
        <v>9</v>
      </c>
      <c r="J102" s="15" t="s">
        <v>10</v>
      </c>
      <c r="K102" s="15"/>
      <c r="L102" s="15" t="s">
        <v>11</v>
      </c>
      <c r="M102" s="15"/>
      <c r="N102" s="15" t="s">
        <v>12</v>
      </c>
      <c r="O102" s="544"/>
      <c r="P102" s="15"/>
      <c r="Q102" s="547"/>
    </row>
    <row r="103" spans="1:17" ht="26.25" hidden="1" x14ac:dyDescent="0.25">
      <c r="A103" s="31" t="s">
        <v>18</v>
      </c>
      <c r="B103" s="32" t="s">
        <v>19</v>
      </c>
      <c r="C103" s="32" t="s">
        <v>20</v>
      </c>
      <c r="D103" s="32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26.25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16">
        <v>5089</v>
      </c>
      <c r="B110" s="15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26.25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17" ht="26.25" hidden="1" x14ac:dyDescent="0.25">
      <c r="A113" s="16">
        <v>5092</v>
      </c>
      <c r="B113" s="15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17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17" ht="39" hidden="1" x14ac:dyDescent="0.25">
      <c r="A115" s="16">
        <v>5094</v>
      </c>
      <c r="B115" s="15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17" ht="26.25" hidden="1" x14ac:dyDescent="0.25">
      <c r="A116" s="16">
        <v>5095</v>
      </c>
      <c r="B116" s="15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17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17" ht="39" hidden="1" x14ac:dyDescent="0.25">
      <c r="A118" s="16">
        <v>5097</v>
      </c>
      <c r="B118" s="15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17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17" customFormat="1" ht="39" x14ac:dyDescent="0.25">
      <c r="A120" s="77">
        <v>5089</v>
      </c>
      <c r="B120" s="76">
        <v>744000</v>
      </c>
      <c r="C120" s="3" t="s">
        <v>112</v>
      </c>
      <c r="D120" s="3"/>
      <c r="E120" s="1">
        <f>E121+E122</f>
        <v>1447862</v>
      </c>
      <c r="F120" s="48">
        <f t="shared" si="23"/>
        <v>100</v>
      </c>
      <c r="G120" s="1">
        <f t="shared" ref="G120:L120" si="32">G121+G122</f>
        <v>2839852</v>
      </c>
      <c r="H120" s="19">
        <f t="shared" si="32"/>
        <v>0</v>
      </c>
      <c r="I120" s="1">
        <f t="shared" si="32"/>
        <v>0</v>
      </c>
      <c r="J120" s="1">
        <f t="shared" si="32"/>
        <v>0</v>
      </c>
      <c r="K120" s="1">
        <f t="shared" si="32"/>
        <v>0</v>
      </c>
      <c r="L120" s="7">
        <f t="shared" si="32"/>
        <v>0</v>
      </c>
      <c r="M120" s="1"/>
      <c r="P120" s="1">
        <f>P121</f>
        <v>100</v>
      </c>
    </row>
    <row r="121" spans="1:17" customFormat="1" ht="26.25" x14ac:dyDescent="0.25">
      <c r="A121" s="4">
        <v>5090</v>
      </c>
      <c r="B121" s="5">
        <v>744100</v>
      </c>
      <c r="C121" s="6" t="s">
        <v>113</v>
      </c>
      <c r="D121" s="6"/>
      <c r="E121" s="2">
        <v>4100</v>
      </c>
      <c r="F121" s="38">
        <f t="shared" si="23"/>
        <v>100</v>
      </c>
      <c r="G121" s="2"/>
      <c r="H121" s="36"/>
      <c r="I121" s="2"/>
      <c r="J121" s="2"/>
      <c r="K121" s="2"/>
      <c r="L121" s="8"/>
      <c r="M121" s="2"/>
      <c r="P121" s="128">
        <v>100</v>
      </c>
    </row>
    <row r="122" spans="1:17" ht="39" x14ac:dyDescent="0.25">
      <c r="A122" s="16">
        <v>5099</v>
      </c>
      <c r="B122" s="15">
        <v>780000</v>
      </c>
      <c r="C122" s="18" t="s">
        <v>122</v>
      </c>
      <c r="D122" s="18"/>
      <c r="E122" s="19">
        <f>E123</f>
        <v>1443762</v>
      </c>
      <c r="F122" s="20">
        <f t="shared" si="23"/>
        <v>1442790</v>
      </c>
      <c r="G122" s="19">
        <f t="shared" ref="G122:Q122" si="33">G123</f>
        <v>2839852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1442790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17" ht="39" x14ac:dyDescent="0.25">
      <c r="A123" s="16">
        <v>5100</v>
      </c>
      <c r="B123" s="15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1442790</v>
      </c>
      <c r="G123" s="19">
        <f t="shared" ref="G123:Q123" si="34">G124+G125</f>
        <v>2839852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1442790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17" ht="26.25" x14ac:dyDescent="0.25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1442790</v>
      </c>
      <c r="G124" s="37">
        <f>SUM(I124:Q124)</f>
        <v>2839852</v>
      </c>
      <c r="H124" s="37"/>
      <c r="I124" s="36"/>
      <c r="J124" s="36"/>
      <c r="K124" s="36"/>
      <c r="L124" s="36"/>
      <c r="M124" s="36">
        <f>1377997+1583+12500+4800+200+7710+600+37400</f>
        <v>1442790</v>
      </c>
      <c r="N124" s="36">
        <v>1397062</v>
      </c>
      <c r="O124" s="36"/>
      <c r="P124" s="36"/>
      <c r="Q124" s="72"/>
    </row>
    <row r="125" spans="1:17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17" x14ac:dyDescent="0.25">
      <c r="A126" s="16">
        <v>5103</v>
      </c>
      <c r="B126" s="15">
        <v>790000</v>
      </c>
      <c r="C126" s="18" t="s">
        <v>126</v>
      </c>
      <c r="D126" s="18"/>
      <c r="E126" s="19">
        <f>E127</f>
        <v>37481</v>
      </c>
      <c r="F126" s="20">
        <f t="shared" si="23"/>
        <v>21000</v>
      </c>
      <c r="G126" s="19">
        <f t="shared" ref="G126:Q126" si="36">G127</f>
        <v>18078</v>
      </c>
      <c r="H126" s="19">
        <f t="shared" si="36"/>
        <v>20000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17" x14ac:dyDescent="0.25">
      <c r="A127" s="16">
        <v>5104</v>
      </c>
      <c r="B127" s="15">
        <v>791000</v>
      </c>
      <c r="C127" s="18" t="s">
        <v>127</v>
      </c>
      <c r="D127" s="18"/>
      <c r="E127" s="19">
        <f>E132</f>
        <v>37481</v>
      </c>
      <c r="F127" s="20">
        <f t="shared" si="23"/>
        <v>21000</v>
      </c>
      <c r="G127" s="19">
        <f t="shared" ref="G127:Q127" si="37">G132</f>
        <v>18078</v>
      </c>
      <c r="H127" s="19">
        <f t="shared" si="37"/>
        <v>20000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17" hidden="1" x14ac:dyDescent="0.25">
      <c r="A128" s="546" t="s">
        <v>0</v>
      </c>
      <c r="B128" s="543" t="s">
        <v>1</v>
      </c>
      <c r="C128" s="542" t="s">
        <v>2</v>
      </c>
      <c r="D128" s="3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17" hidden="1" x14ac:dyDescent="0.25">
      <c r="A129" s="546"/>
      <c r="B129" s="543"/>
      <c r="C129" s="542"/>
      <c r="D129" s="34"/>
      <c r="E129" s="544"/>
      <c r="F129" s="20">
        <f t="shared" si="23"/>
        <v>0</v>
      </c>
      <c r="G129" s="548" t="s">
        <v>5</v>
      </c>
      <c r="H129" s="2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15"/>
      <c r="Q129" s="547" t="s">
        <v>8</v>
      </c>
    </row>
    <row r="130" spans="1:17" ht="39" hidden="1" x14ac:dyDescent="0.25">
      <c r="A130" s="546"/>
      <c r="B130" s="543"/>
      <c r="C130" s="542"/>
      <c r="D130" s="34"/>
      <c r="E130" s="544"/>
      <c r="F130" s="20">
        <f t="shared" si="23"/>
        <v>0</v>
      </c>
      <c r="G130" s="548"/>
      <c r="H130" s="29"/>
      <c r="I130" s="15" t="s">
        <v>9</v>
      </c>
      <c r="J130" s="15" t="s">
        <v>10</v>
      </c>
      <c r="K130" s="15"/>
      <c r="L130" s="15" t="s">
        <v>11</v>
      </c>
      <c r="M130" s="15"/>
      <c r="N130" s="15" t="s">
        <v>12</v>
      </c>
      <c r="O130" s="544"/>
      <c r="P130" s="15"/>
      <c r="Q130" s="547"/>
    </row>
    <row r="131" spans="1:17" ht="26.25" hidden="1" x14ac:dyDescent="0.25">
      <c r="A131" s="31" t="s">
        <v>18</v>
      </c>
      <c r="B131" s="32" t="s">
        <v>19</v>
      </c>
      <c r="C131" s="32" t="s">
        <v>20</v>
      </c>
      <c r="D131" s="32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17" x14ac:dyDescent="0.25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21000</v>
      </c>
      <c r="G132" s="37">
        <f>SUM(I132:Q132)-K132-M132-P132</f>
        <v>18078</v>
      </c>
      <c r="H132" s="37">
        <v>20000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</row>
    <row r="133" spans="1:17" ht="39" x14ac:dyDescent="0.25">
      <c r="A133" s="16">
        <v>5106</v>
      </c>
      <c r="B133" s="15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17" ht="39" x14ac:dyDescent="0.25">
      <c r="A134" s="16">
        <v>5107</v>
      </c>
      <c r="B134" s="15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 t="shared" si="39"/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17" ht="26.25" hidden="1" x14ac:dyDescent="0.25">
      <c r="A135" s="16">
        <v>5108</v>
      </c>
      <c r="B135" s="15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17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17" ht="26.25" x14ac:dyDescent="0.25">
      <c r="A137" s="16">
        <v>5110</v>
      </c>
      <c r="B137" s="15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17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17" ht="26.25" hidden="1" x14ac:dyDescent="0.25">
      <c r="A139" s="16">
        <v>5112</v>
      </c>
      <c r="B139" s="15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17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17" ht="26.25" hidden="1" x14ac:dyDescent="0.25">
      <c r="A141" s="16">
        <v>5114</v>
      </c>
      <c r="B141" s="15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17" ht="26.25" hidden="1" x14ac:dyDescent="0.25">
      <c r="A142" s="16">
        <v>5115</v>
      </c>
      <c r="B142" s="15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17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17" ht="26.25" hidden="1" x14ac:dyDescent="0.25">
      <c r="A144" s="16">
        <v>5117</v>
      </c>
      <c r="B144" s="15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26.25" hidden="1" x14ac:dyDescent="0.25">
      <c r="A146" s="16">
        <v>5119</v>
      </c>
      <c r="B146" s="15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16">
        <v>5121</v>
      </c>
      <c r="B148" s="15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16">
        <v>5122</v>
      </c>
      <c r="B149" s="15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16">
        <v>5124</v>
      </c>
      <c r="B151" s="15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16">
        <v>5125</v>
      </c>
      <c r="B152" s="15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16">
        <v>5127</v>
      </c>
      <c r="B154" s="15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34"/>
      <c r="E155" s="544" t="s">
        <v>3</v>
      </c>
      <c r="F155" s="15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34"/>
      <c r="E156" s="544"/>
      <c r="F156" s="15"/>
      <c r="G156" s="548" t="s">
        <v>5</v>
      </c>
      <c r="H156" s="2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15"/>
      <c r="Q156" s="547" t="s">
        <v>8</v>
      </c>
    </row>
    <row r="157" spans="1:17" ht="39" hidden="1" x14ac:dyDescent="0.25">
      <c r="A157" s="546"/>
      <c r="B157" s="543"/>
      <c r="C157" s="542"/>
      <c r="D157" s="34"/>
      <c r="E157" s="544"/>
      <c r="F157" s="15"/>
      <c r="G157" s="548"/>
      <c r="H157" s="29"/>
      <c r="I157" s="15" t="s">
        <v>9</v>
      </c>
      <c r="J157" s="15" t="s">
        <v>10</v>
      </c>
      <c r="K157" s="15"/>
      <c r="L157" s="15" t="s">
        <v>11</v>
      </c>
      <c r="M157" s="15"/>
      <c r="N157" s="15" t="s">
        <v>12</v>
      </c>
      <c r="O157" s="544"/>
      <c r="P157" s="15"/>
      <c r="Q157" s="547"/>
    </row>
    <row r="158" spans="1:17" ht="26.25" hidden="1" x14ac:dyDescent="0.25">
      <c r="A158" s="31" t="s">
        <v>18</v>
      </c>
      <c r="B158" s="32" t="s">
        <v>19</v>
      </c>
      <c r="C158" s="32" t="s">
        <v>20</v>
      </c>
      <c r="D158" s="32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16">
        <v>5129</v>
      </c>
      <c r="B160" s="15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39" hidden="1" x14ac:dyDescent="0.25">
      <c r="A162" s="16">
        <v>5131</v>
      </c>
      <c r="B162" s="15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16">
        <v>5132</v>
      </c>
      <c r="B163" s="15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26.25" hidden="1" x14ac:dyDescent="0.25">
      <c r="A164" s="16">
        <v>5133</v>
      </c>
      <c r="B164" s="15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26.25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26.25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26.25" hidden="1" x14ac:dyDescent="0.25">
      <c r="A174" s="16">
        <v>5143</v>
      </c>
      <c r="B174" s="15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39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34"/>
      <c r="E181" s="544" t="s">
        <v>3</v>
      </c>
      <c r="F181" s="15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34"/>
      <c r="E182" s="544"/>
      <c r="F182" s="15"/>
      <c r="G182" s="548" t="s">
        <v>5</v>
      </c>
      <c r="H182" s="2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15"/>
      <c r="Q182" s="547" t="s">
        <v>8</v>
      </c>
    </row>
    <row r="183" spans="1:17" ht="39" hidden="1" x14ac:dyDescent="0.25">
      <c r="A183" s="546"/>
      <c r="B183" s="543"/>
      <c r="C183" s="542"/>
      <c r="D183" s="34"/>
      <c r="E183" s="544"/>
      <c r="F183" s="15"/>
      <c r="G183" s="548"/>
      <c r="H183" s="29"/>
      <c r="I183" s="15" t="s">
        <v>9</v>
      </c>
      <c r="J183" s="15" t="s">
        <v>10</v>
      </c>
      <c r="K183" s="15"/>
      <c r="L183" s="15" t="s">
        <v>11</v>
      </c>
      <c r="M183" s="15"/>
      <c r="N183" s="15" t="s">
        <v>12</v>
      </c>
      <c r="O183" s="544"/>
      <c r="P183" s="15"/>
      <c r="Q183" s="547"/>
    </row>
    <row r="184" spans="1:17" ht="26.25" hidden="1" x14ac:dyDescent="0.25">
      <c r="A184" s="31" t="s">
        <v>18</v>
      </c>
      <c r="B184" s="32" t="s">
        <v>19</v>
      </c>
      <c r="C184" s="32" t="s">
        <v>20</v>
      </c>
      <c r="D184" s="32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16">
        <v>5151</v>
      </c>
      <c r="B186" s="15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16">
        <v>5152</v>
      </c>
      <c r="B187" s="15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26.25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26.25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16">
        <v>5162</v>
      </c>
      <c r="B197" s="15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26.25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26.25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26.25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34"/>
      <c r="E203" s="544" t="s">
        <v>3</v>
      </c>
      <c r="F203" s="15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34"/>
      <c r="E204" s="544"/>
      <c r="F204" s="15"/>
      <c r="G204" s="548" t="s">
        <v>5</v>
      </c>
      <c r="H204" s="2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15"/>
      <c r="Q204" s="547" t="s">
        <v>8</v>
      </c>
    </row>
    <row r="205" spans="1:17" ht="39" hidden="1" x14ac:dyDescent="0.25">
      <c r="A205" s="546"/>
      <c r="B205" s="543"/>
      <c r="C205" s="542"/>
      <c r="D205" s="34"/>
      <c r="E205" s="544"/>
      <c r="F205" s="15"/>
      <c r="G205" s="548"/>
      <c r="H205" s="29"/>
      <c r="I205" s="15" t="s">
        <v>9</v>
      </c>
      <c r="J205" s="15" t="s">
        <v>10</v>
      </c>
      <c r="K205" s="15"/>
      <c r="L205" s="15" t="s">
        <v>11</v>
      </c>
      <c r="M205" s="15"/>
      <c r="N205" s="15" t="s">
        <v>12</v>
      </c>
      <c r="O205" s="544"/>
      <c r="P205" s="15"/>
      <c r="Q205" s="547"/>
    </row>
    <row r="206" spans="1:17" ht="26.25" hidden="1" x14ac:dyDescent="0.25">
      <c r="A206" s="31" t="s">
        <v>18</v>
      </c>
      <c r="B206" s="32" t="s">
        <v>19</v>
      </c>
      <c r="C206" s="32" t="s">
        <v>20</v>
      </c>
      <c r="D206" s="32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26.25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1478921</v>
      </c>
      <c r="G210" s="42">
        <f t="shared" si="61"/>
        <v>2872894</v>
      </c>
      <c r="H210" s="42">
        <f t="shared" si="61"/>
        <v>21200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1443921</v>
      </c>
      <c r="N210" s="42">
        <f t="shared" si="61"/>
        <v>1398192</v>
      </c>
      <c r="O210" s="42">
        <f t="shared" si="61"/>
        <v>0</v>
      </c>
      <c r="P210" s="42">
        <f t="shared" si="61"/>
        <v>12800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15" t="s">
        <v>201</v>
      </c>
      <c r="I217" s="15" t="s">
        <v>201</v>
      </c>
      <c r="J217" s="15" t="s">
        <v>10</v>
      </c>
      <c r="K217" s="15" t="s">
        <v>11</v>
      </c>
      <c r="L217" s="15" t="s">
        <v>11</v>
      </c>
      <c r="M217" s="15" t="s">
        <v>12</v>
      </c>
      <c r="N217" s="15" t="s">
        <v>12</v>
      </c>
      <c r="O217" s="545"/>
      <c r="P217" s="545"/>
      <c r="Q217" s="545"/>
    </row>
    <row r="218" spans="1:18" x14ac:dyDescent="0.25">
      <c r="A218" s="15">
        <v>1</v>
      </c>
      <c r="B218" s="15">
        <v>2</v>
      </c>
      <c r="C218" s="15">
        <v>3</v>
      </c>
      <c r="D218" s="15"/>
      <c r="E218" s="15">
        <v>4</v>
      </c>
      <c r="F218" s="15">
        <v>4</v>
      </c>
      <c r="G218" s="15">
        <v>5</v>
      </c>
      <c r="H218" s="15">
        <v>5</v>
      </c>
      <c r="I218" s="15">
        <v>6</v>
      </c>
      <c r="J218" s="15">
        <v>7</v>
      </c>
      <c r="K218" s="15">
        <v>6</v>
      </c>
      <c r="L218" s="15">
        <v>8</v>
      </c>
      <c r="M218" s="15">
        <v>7</v>
      </c>
      <c r="N218" s="15">
        <v>9</v>
      </c>
      <c r="O218" s="15">
        <v>10</v>
      </c>
      <c r="P218" s="15">
        <v>8</v>
      </c>
      <c r="Q218" s="15">
        <v>11</v>
      </c>
    </row>
    <row r="219" spans="1:18" ht="39" x14ac:dyDescent="0.25">
      <c r="A219" s="35">
        <v>5172</v>
      </c>
      <c r="B219" s="15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1484200</v>
      </c>
      <c r="G219" s="19">
        <f t="shared" si="62"/>
        <v>1428216</v>
      </c>
      <c r="H219" s="19">
        <f t="shared" si="62"/>
        <v>22238</v>
      </c>
      <c r="I219" s="19">
        <f t="shared" si="62"/>
        <v>17657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1443921</v>
      </c>
      <c r="N219" s="19">
        <f t="shared" si="62"/>
        <v>1398024</v>
      </c>
      <c r="O219" s="19">
        <f t="shared" si="62"/>
        <v>0</v>
      </c>
      <c r="P219" s="19">
        <f t="shared" si="62"/>
        <v>17041</v>
      </c>
      <c r="Q219" s="19">
        <f t="shared" si="62"/>
        <v>11162</v>
      </c>
      <c r="R219" s="44">
        <f>H219+K219+M219+P219</f>
        <v>1484200</v>
      </c>
    </row>
    <row r="220" spans="1:18" ht="39" x14ac:dyDescent="0.25">
      <c r="A220" s="35">
        <v>5173</v>
      </c>
      <c r="B220" s="15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1458595</v>
      </c>
      <c r="G220" s="19">
        <f t="shared" ref="G220:Q220" si="63">G221+G247+G314+G333+G361+G374+G394+G413</f>
        <v>1411053</v>
      </c>
      <c r="H220" s="19">
        <f t="shared" si="63"/>
        <v>2238</v>
      </c>
      <c r="I220" s="19">
        <f t="shared" si="63"/>
        <v>2407</v>
      </c>
      <c r="J220" s="19">
        <f t="shared" si="63"/>
        <v>0</v>
      </c>
      <c r="K220" s="19">
        <f t="shared" si="63"/>
        <v>1000</v>
      </c>
      <c r="L220" s="19">
        <f t="shared" si="63"/>
        <v>1273</v>
      </c>
      <c r="M220" s="19">
        <f t="shared" si="63"/>
        <v>1443921</v>
      </c>
      <c r="N220" s="19">
        <f t="shared" si="63"/>
        <v>1398024</v>
      </c>
      <c r="O220" s="19">
        <f t="shared" si="63"/>
        <v>0</v>
      </c>
      <c r="P220" s="19">
        <f t="shared" si="63"/>
        <v>11436</v>
      </c>
      <c r="Q220" s="19">
        <f t="shared" si="63"/>
        <v>9349</v>
      </c>
      <c r="R220" s="44">
        <f>F220+F434</f>
        <v>1484200</v>
      </c>
    </row>
    <row r="221" spans="1:18" ht="39" x14ac:dyDescent="0.25">
      <c r="A221" s="35">
        <v>5174</v>
      </c>
      <c r="B221" s="15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1055701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1052496</v>
      </c>
      <c r="N221" s="19">
        <f t="shared" si="64"/>
        <v>1025065</v>
      </c>
      <c r="O221" s="19">
        <f t="shared" si="64"/>
        <v>0</v>
      </c>
      <c r="P221" s="19">
        <f t="shared" si="64"/>
        <v>3205</v>
      </c>
      <c r="Q221" s="19">
        <f t="shared" si="64"/>
        <v>2600</v>
      </c>
    </row>
    <row r="222" spans="1:18" ht="26.25" x14ac:dyDescent="0.25">
      <c r="A222" s="35">
        <v>5175</v>
      </c>
      <c r="B222" s="15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875010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872510</v>
      </c>
      <c r="N222" s="19">
        <f t="shared" si="65"/>
        <v>849796</v>
      </c>
      <c r="O222" s="19">
        <f t="shared" si="65"/>
        <v>0</v>
      </c>
      <c r="P222" s="19">
        <f t="shared" si="65"/>
        <v>2500</v>
      </c>
      <c r="Q222" s="19">
        <f t="shared" si="65"/>
        <v>1989</v>
      </c>
    </row>
    <row r="223" spans="1:18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875010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872510</v>
      </c>
      <c r="N223" s="36">
        <f>851785-1989</f>
        <v>849796</v>
      </c>
      <c r="O223" s="36"/>
      <c r="P223" s="36">
        <v>2500</v>
      </c>
      <c r="Q223" s="36">
        <v>1989</v>
      </c>
      <c r="R223" s="44">
        <f>M223+P223</f>
        <v>875010</v>
      </c>
    </row>
    <row r="224" spans="1:18" ht="39" x14ac:dyDescent="0.25">
      <c r="A224" s="35">
        <v>5177</v>
      </c>
      <c r="B224" s="15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141315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140910</v>
      </c>
      <c r="N224" s="19">
        <f t="shared" si="66"/>
        <v>141535</v>
      </c>
      <c r="O224" s="19">
        <f t="shared" si="66"/>
        <v>0</v>
      </c>
      <c r="P224" s="19">
        <f t="shared" si="66"/>
        <v>405</v>
      </c>
      <c r="Q224" s="19">
        <f t="shared" si="66"/>
        <v>331</v>
      </c>
    </row>
    <row r="225" spans="1:17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96251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95976</v>
      </c>
      <c r="N225" s="36">
        <f>97986-229</f>
        <v>97757</v>
      </c>
      <c r="O225" s="36"/>
      <c r="P225" s="36">
        <v>275</v>
      </c>
      <c r="Q225" s="36">
        <v>229</v>
      </c>
    </row>
    <row r="226" spans="1:17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45064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44934</v>
      </c>
      <c r="N226" s="36">
        <f>43880-102</f>
        <v>43778</v>
      </c>
      <c r="O226" s="36"/>
      <c r="P226" s="36">
        <v>130</v>
      </c>
      <c r="Q226" s="36">
        <v>102</v>
      </c>
    </row>
    <row r="227" spans="1:17" hidden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17" hidden="1" x14ac:dyDescent="0.25">
      <c r="A228" s="35">
        <v>5181</v>
      </c>
      <c r="B228" s="15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17" hidden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17" ht="26.25" x14ac:dyDescent="0.25">
      <c r="A230" s="35">
        <v>5183</v>
      </c>
      <c r="B230" s="15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5900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5600</v>
      </c>
      <c r="N230" s="19">
        <f t="shared" si="69"/>
        <v>4959</v>
      </c>
      <c r="O230" s="19">
        <f t="shared" si="69"/>
        <v>0</v>
      </c>
      <c r="P230" s="19">
        <f t="shared" si="69"/>
        <v>300</v>
      </c>
      <c r="Q230" s="19">
        <f t="shared" si="69"/>
        <v>280</v>
      </c>
    </row>
    <row r="231" spans="1:17" ht="26.25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17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17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5300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f>4800+200</f>
        <v>5000</v>
      </c>
      <c r="N233" s="36">
        <v>3654</v>
      </c>
      <c r="O233" s="36"/>
      <c r="P233" s="36">
        <v>300</v>
      </c>
      <c r="Q233" s="36">
        <v>280</v>
      </c>
    </row>
    <row r="234" spans="1:17" ht="15" hidden="1" customHeight="1" x14ac:dyDescent="0.25">
      <c r="A234" s="542" t="s">
        <v>0</v>
      </c>
      <c r="B234" s="543" t="s">
        <v>1</v>
      </c>
      <c r="C234" s="542" t="s">
        <v>2</v>
      </c>
      <c r="D234" s="34"/>
      <c r="E234" s="542" t="s">
        <v>217</v>
      </c>
      <c r="F234" s="3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17" ht="15" hidden="1" customHeight="1" x14ac:dyDescent="0.25">
      <c r="A235" s="542"/>
      <c r="B235" s="543"/>
      <c r="C235" s="542"/>
      <c r="D235" s="34"/>
      <c r="E235" s="542"/>
      <c r="F235" s="34"/>
      <c r="G235" s="544" t="s">
        <v>199</v>
      </c>
      <c r="H235" s="15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15"/>
      <c r="Q235" s="544" t="s">
        <v>8</v>
      </c>
    </row>
    <row r="236" spans="1:17" ht="39" hidden="1" customHeight="1" x14ac:dyDescent="0.25">
      <c r="A236" s="542"/>
      <c r="B236" s="543"/>
      <c r="C236" s="542"/>
      <c r="D236" s="34"/>
      <c r="E236" s="542"/>
      <c r="F236" s="34"/>
      <c r="G236" s="545"/>
      <c r="H236" s="46"/>
      <c r="I236" s="15" t="s">
        <v>201</v>
      </c>
      <c r="J236" s="15" t="s">
        <v>10</v>
      </c>
      <c r="K236" s="15"/>
      <c r="L236" s="15" t="s">
        <v>11</v>
      </c>
      <c r="M236" s="15"/>
      <c r="N236" s="15" t="s">
        <v>12</v>
      </c>
      <c r="O236" s="545"/>
      <c r="P236" s="46"/>
      <c r="Q236" s="545"/>
    </row>
    <row r="237" spans="1:17" ht="15" hidden="1" customHeight="1" x14ac:dyDescent="0.25">
      <c r="A237" s="32" t="s">
        <v>18</v>
      </c>
      <c r="B237" s="32" t="s">
        <v>19</v>
      </c>
      <c r="C237" s="32" t="s">
        <v>20</v>
      </c>
      <c r="D237" s="32"/>
      <c r="E237" s="32" t="s">
        <v>21</v>
      </c>
      <c r="F237" s="32"/>
      <c r="G237" s="32" t="s">
        <v>22</v>
      </c>
      <c r="H237" s="32"/>
      <c r="I237" s="32" t="s">
        <v>23</v>
      </c>
      <c r="J237" s="32" t="s">
        <v>24</v>
      </c>
      <c r="K237" s="32"/>
      <c r="L237" s="32" t="s">
        <v>25</v>
      </c>
      <c r="M237" s="32"/>
      <c r="N237" s="32" t="s">
        <v>26</v>
      </c>
      <c r="O237" s="32" t="s">
        <v>27</v>
      </c>
      <c r="P237" s="32"/>
      <c r="Q237" s="32" t="s">
        <v>28</v>
      </c>
    </row>
    <row r="238" spans="1:17" ht="39" x14ac:dyDescent="0.25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600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600</v>
      </c>
      <c r="N238" s="36">
        <v>1305</v>
      </c>
      <c r="O238" s="36"/>
      <c r="P238" s="36"/>
      <c r="Q238" s="36"/>
    </row>
    <row r="239" spans="1:17" ht="26.25" x14ac:dyDescent="0.25">
      <c r="A239" s="35">
        <v>5188</v>
      </c>
      <c r="B239" s="15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20976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20976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17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20976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20976</v>
      </c>
      <c r="N240" s="36">
        <v>19632</v>
      </c>
      <c r="O240" s="36"/>
      <c r="P240" s="36"/>
      <c r="Q240" s="36"/>
    </row>
    <row r="241" spans="1:18" ht="39" x14ac:dyDescent="0.25">
      <c r="A241" s="35">
        <v>5190</v>
      </c>
      <c r="B241" s="15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12500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12500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12500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12500</v>
      </c>
      <c r="N242" s="36">
        <v>9143</v>
      </c>
      <c r="O242" s="36"/>
      <c r="P242" s="36"/>
      <c r="Q242" s="36"/>
    </row>
    <row r="243" spans="1:18" hidden="1" x14ac:dyDescent="0.25">
      <c r="A243" s="35">
        <v>5192</v>
      </c>
      <c r="B243" s="15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35">
        <v>5194</v>
      </c>
      <c r="B245" s="15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35">
        <v>5196</v>
      </c>
      <c r="B247" s="15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394368</v>
      </c>
      <c r="G247" s="19">
        <f t="shared" si="74"/>
        <v>375619</v>
      </c>
      <c r="H247" s="19">
        <f t="shared" si="74"/>
        <v>2238</v>
      </c>
      <c r="I247" s="19">
        <f t="shared" si="74"/>
        <v>2407</v>
      </c>
      <c r="J247" s="19">
        <f t="shared" si="74"/>
        <v>0</v>
      </c>
      <c r="K247" s="19">
        <f t="shared" si="74"/>
        <v>1000</v>
      </c>
      <c r="L247" s="19">
        <f t="shared" si="74"/>
        <v>1273</v>
      </c>
      <c r="M247" s="19">
        <f t="shared" si="74"/>
        <v>383715</v>
      </c>
      <c r="N247" s="19">
        <f t="shared" si="74"/>
        <v>365541</v>
      </c>
      <c r="O247" s="19">
        <f t="shared" si="74"/>
        <v>0</v>
      </c>
      <c r="P247" s="19">
        <f t="shared" si="74"/>
        <v>7415</v>
      </c>
      <c r="Q247" s="19">
        <f t="shared" si="74"/>
        <v>6398</v>
      </c>
    </row>
    <row r="248" spans="1:18" ht="26.25" x14ac:dyDescent="0.25">
      <c r="A248" s="35">
        <v>5197</v>
      </c>
      <c r="B248" s="15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90728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90035</v>
      </c>
      <c r="N248" s="19">
        <f t="shared" si="75"/>
        <v>80545</v>
      </c>
      <c r="O248" s="19">
        <f t="shared" si="75"/>
        <v>0</v>
      </c>
      <c r="P248" s="19">
        <f t="shared" si="75"/>
        <v>693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1513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1433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73600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f>73200+50</f>
        <v>73250</v>
      </c>
      <c r="N250" s="36">
        <v>65188</v>
      </c>
      <c r="O250" s="36"/>
      <c r="P250" s="36">
        <v>350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10627</v>
      </c>
      <c r="G251" s="37">
        <f t="shared" si="76"/>
        <v>9465</v>
      </c>
      <c r="H251" s="37"/>
      <c r="I251" s="36"/>
      <c r="J251" s="36"/>
      <c r="K251" s="36"/>
      <c r="L251" s="36"/>
      <c r="M251" s="36">
        <f>11064-400-300</f>
        <v>10364</v>
      </c>
      <c r="N251" s="36">
        <v>9410</v>
      </c>
      <c r="O251" s="36"/>
      <c r="P251" s="36">
        <f>85+178</f>
        <v>263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2208</v>
      </c>
      <c r="G252" s="37">
        <f t="shared" si="76"/>
        <v>2113</v>
      </c>
      <c r="H252" s="37"/>
      <c r="I252" s="36"/>
      <c r="J252" s="36"/>
      <c r="K252" s="36"/>
      <c r="L252" s="36"/>
      <c r="M252" s="36">
        <f>3000-1092+300</f>
        <v>2208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2780</v>
      </c>
      <c r="G253" s="37">
        <f t="shared" si="76"/>
        <v>2612</v>
      </c>
      <c r="H253" s="37"/>
      <c r="I253" s="36"/>
      <c r="J253" s="36"/>
      <c r="K253" s="36"/>
      <c r="L253" s="36"/>
      <c r="M253" s="36">
        <f>1131+2500-851</f>
        <v>2780</v>
      </c>
      <c r="N253" s="36">
        <v>2591</v>
      </c>
      <c r="O253" s="36"/>
      <c r="P253" s="36"/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35">
        <v>5205</v>
      </c>
      <c r="B256" s="15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650</v>
      </c>
      <c r="G256" s="19">
        <f t="shared" si="77"/>
        <v>571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150</v>
      </c>
      <c r="N256" s="19">
        <f t="shared" si="77"/>
        <v>120</v>
      </c>
      <c r="O256" s="19">
        <f t="shared" si="77"/>
        <v>0</v>
      </c>
      <c r="P256" s="19">
        <f t="shared" si="77"/>
        <v>500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650</v>
      </c>
      <c r="G257" s="37">
        <f t="shared" ref="G257" si="78">SUM(I257:Q257)-K257-M257-P257</f>
        <v>571</v>
      </c>
      <c r="H257" s="37"/>
      <c r="I257" s="36"/>
      <c r="J257" s="36"/>
      <c r="K257" s="36"/>
      <c r="L257" s="36"/>
      <c r="M257" s="36">
        <v>150</v>
      </c>
      <c r="N257" s="36">
        <v>120</v>
      </c>
      <c r="O257" s="36"/>
      <c r="P257" s="36">
        <v>500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35">
        <v>5211</v>
      </c>
      <c r="B262" s="15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8511</v>
      </c>
      <c r="G262" s="19">
        <f t="shared" si="79"/>
        <v>6375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6300</v>
      </c>
      <c r="N262" s="19">
        <f t="shared" si="79"/>
        <v>4811</v>
      </c>
      <c r="O262" s="19">
        <f t="shared" si="79"/>
        <v>0</v>
      </c>
      <c r="P262" s="19">
        <f t="shared" si="79"/>
        <v>2211</v>
      </c>
      <c r="Q262" s="19">
        <f t="shared" si="79"/>
        <v>1564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3606</v>
      </c>
      <c r="G264" s="37">
        <f t="shared" ref="G264:G269" si="80">SUM(I264:Q264)-K264-M264-P264</f>
        <v>2262</v>
      </c>
      <c r="H264" s="37"/>
      <c r="I264" s="36"/>
      <c r="J264" s="36"/>
      <c r="K264" s="36"/>
      <c r="L264" s="36"/>
      <c r="M264" s="36">
        <f>3000+540</f>
        <v>3540</v>
      </c>
      <c r="N264" s="36">
        <v>2192</v>
      </c>
      <c r="O264" s="36"/>
      <c r="P264" s="36">
        <v>66</v>
      </c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3060</v>
      </c>
      <c r="G265" s="37">
        <f t="shared" si="80"/>
        <v>2522</v>
      </c>
      <c r="H265" s="37"/>
      <c r="I265" s="36"/>
      <c r="J265" s="36"/>
      <c r="K265" s="36"/>
      <c r="L265" s="36"/>
      <c r="M265" s="36">
        <v>2500</v>
      </c>
      <c r="N265" s="36">
        <v>2374</v>
      </c>
      <c r="O265" s="36"/>
      <c r="P265" s="36">
        <f>200+360</f>
        <v>560</v>
      </c>
      <c r="Q265" s="36">
        <v>148</v>
      </c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260</v>
      </c>
      <c r="G266" s="37">
        <f t="shared" si="80"/>
        <v>259</v>
      </c>
      <c r="H266" s="37"/>
      <c r="I266" s="36"/>
      <c r="J266" s="36"/>
      <c r="K266" s="36"/>
      <c r="L266" s="36"/>
      <c r="M266" s="36">
        <v>260</v>
      </c>
      <c r="N266" s="36">
        <v>245</v>
      </c>
      <c r="O266" s="36"/>
      <c r="P266" s="36"/>
      <c r="Q266" s="36">
        <v>14</v>
      </c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1125</v>
      </c>
      <c r="G267" s="37">
        <f t="shared" si="80"/>
        <v>1132</v>
      </c>
      <c r="H267" s="37"/>
      <c r="I267" s="36"/>
      <c r="J267" s="36"/>
      <c r="K267" s="36"/>
      <c r="L267" s="36"/>
      <c r="M267" s="36"/>
      <c r="N267" s="36"/>
      <c r="O267" s="36"/>
      <c r="P267" s="36">
        <v>1125</v>
      </c>
      <c r="Q267" s="36">
        <v>1132</v>
      </c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>
        <f t="shared" si="67"/>
        <v>0</v>
      </c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>
        <f t="shared" si="80"/>
        <v>114</v>
      </c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>
        <v>114</v>
      </c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34"/>
      <c r="G270" s="544" t="s">
        <v>198</v>
      </c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34"/>
      <c r="G271" s="544" t="s">
        <v>199</v>
      </c>
      <c r="H271" s="15"/>
      <c r="I271" s="544" t="s">
        <v>200</v>
      </c>
      <c r="J271" s="545"/>
      <c r="K271" s="545"/>
      <c r="L271" s="545"/>
      <c r="M271" s="545"/>
      <c r="N271" s="545"/>
      <c r="O271" s="544" t="s">
        <v>7</v>
      </c>
      <c r="P271" s="15"/>
      <c r="Q271" s="544" t="s">
        <v>8</v>
      </c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34"/>
      <c r="G272" s="545"/>
      <c r="H272" s="46"/>
      <c r="I272" s="15" t="s">
        <v>201</v>
      </c>
      <c r="J272" s="15" t="s">
        <v>10</v>
      </c>
      <c r="K272" s="15"/>
      <c r="L272" s="15" t="s">
        <v>11</v>
      </c>
      <c r="M272" s="15"/>
      <c r="N272" s="15" t="s">
        <v>12</v>
      </c>
      <c r="O272" s="545"/>
      <c r="P272" s="46"/>
      <c r="Q272" s="545"/>
    </row>
    <row r="273" spans="1:20" ht="15" hidden="1" customHeight="1" x14ac:dyDescent="0.25">
      <c r="A273" s="32" t="s">
        <v>18</v>
      </c>
      <c r="B273" s="32" t="s">
        <v>19</v>
      </c>
      <c r="C273" s="32" t="s">
        <v>20</v>
      </c>
      <c r="D273" s="9" t="s">
        <v>463</v>
      </c>
      <c r="E273" s="32" t="s">
        <v>21</v>
      </c>
      <c r="F273" s="32"/>
      <c r="G273" s="32" t="s">
        <v>22</v>
      </c>
      <c r="H273" s="32"/>
      <c r="I273" s="32" t="s">
        <v>23</v>
      </c>
      <c r="J273" s="32" t="s">
        <v>24</v>
      </c>
      <c r="K273" s="32"/>
      <c r="L273" s="32" t="s">
        <v>25</v>
      </c>
      <c r="M273" s="32"/>
      <c r="N273" s="32" t="s">
        <v>26</v>
      </c>
      <c r="O273" s="32" t="s">
        <v>27</v>
      </c>
      <c r="P273" s="32"/>
      <c r="Q273" s="32" t="s">
        <v>28</v>
      </c>
    </row>
    <row r="274" spans="1:20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260</v>
      </c>
      <c r="G274" s="37">
        <f t="shared" ref="G274" si="81">SUM(I274:Q274)-K274-M274-P274</f>
        <v>86</v>
      </c>
      <c r="H274" s="37"/>
      <c r="I274" s="36"/>
      <c r="J274" s="36"/>
      <c r="K274" s="36"/>
      <c r="L274" s="36"/>
      <c r="M274" s="36"/>
      <c r="N274" s="36"/>
      <c r="O274" s="36"/>
      <c r="P274" s="36">
        <v>260</v>
      </c>
      <c r="Q274" s="36">
        <v>86</v>
      </c>
    </row>
    <row r="275" spans="1:20" ht="26.25" x14ac:dyDescent="0.25">
      <c r="A275" s="35">
        <v>5220</v>
      </c>
      <c r="B275" s="15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2">SUM(F276:F282)</f>
        <v>3007</v>
      </c>
      <c r="G275" s="19">
        <f t="shared" si="82"/>
        <v>3707</v>
      </c>
      <c r="H275" s="19">
        <f t="shared" si="82"/>
        <v>0</v>
      </c>
      <c r="I275" s="19">
        <f t="shared" si="82"/>
        <v>2280</v>
      </c>
      <c r="J275" s="19">
        <f t="shared" si="82"/>
        <v>0</v>
      </c>
      <c r="K275" s="19">
        <f t="shared" si="82"/>
        <v>0</v>
      </c>
      <c r="L275" s="19">
        <f t="shared" si="82"/>
        <v>0</v>
      </c>
      <c r="M275" s="19">
        <f t="shared" si="82"/>
        <v>1280</v>
      </c>
      <c r="N275" s="19">
        <f t="shared" si="82"/>
        <v>977</v>
      </c>
      <c r="O275" s="19">
        <f t="shared" si="82"/>
        <v>0</v>
      </c>
      <c r="P275" s="19">
        <f t="shared" si="82"/>
        <v>1727</v>
      </c>
      <c r="Q275" s="19">
        <f t="shared" si="82"/>
        <v>450</v>
      </c>
    </row>
    <row r="276" spans="1:20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0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0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1480</v>
      </c>
      <c r="G278" s="37">
        <f t="shared" ref="G278" si="83">SUM(I278:Q278)-K278-M278-P278</f>
        <v>1086</v>
      </c>
      <c r="H278" s="37"/>
      <c r="I278" s="36"/>
      <c r="J278" s="36"/>
      <c r="K278" s="36"/>
      <c r="L278" s="36"/>
      <c r="M278" s="36">
        <f>1000+280</f>
        <v>1280</v>
      </c>
      <c r="N278" s="36">
        <v>977</v>
      </c>
      <c r="O278" s="36"/>
      <c r="P278" s="36">
        <v>200</v>
      </c>
      <c r="Q278" s="36">
        <v>109</v>
      </c>
      <c r="R278" s="47"/>
      <c r="T278" s="47"/>
    </row>
    <row r="279" spans="1:20" hidden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0" ht="26.25" hidden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0" ht="26.25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300</v>
      </c>
      <c r="G281" s="37">
        <f t="shared" ref="G281:G282" si="84">SUM(I281:Q281)-K281-M281-P281</f>
        <v>51</v>
      </c>
      <c r="H281" s="37"/>
      <c r="I281" s="36"/>
      <c r="J281" s="36"/>
      <c r="K281" s="36"/>
      <c r="L281" s="36"/>
      <c r="M281" s="36"/>
      <c r="N281" s="36"/>
      <c r="O281" s="36"/>
      <c r="P281" s="36">
        <f>150+150</f>
        <v>300</v>
      </c>
      <c r="Q281" s="36">
        <v>51</v>
      </c>
    </row>
    <row r="282" spans="1:20" x14ac:dyDescent="0.2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1227</v>
      </c>
      <c r="G282" s="37">
        <f t="shared" si="84"/>
        <v>2570</v>
      </c>
      <c r="H282" s="37"/>
      <c r="I282" s="36">
        <v>2280</v>
      </c>
      <c r="J282" s="36"/>
      <c r="K282" s="36"/>
      <c r="L282" s="36"/>
      <c r="M282" s="36"/>
      <c r="N282" s="36"/>
      <c r="O282" s="36"/>
      <c r="P282" s="36">
        <f>400-150-178+1059+96</f>
        <v>1227</v>
      </c>
      <c r="Q282" s="36">
        <v>290</v>
      </c>
      <c r="R282" s="12">
        <v>1059</v>
      </c>
      <c r="S282" s="12" t="s">
        <v>504</v>
      </c>
    </row>
    <row r="283" spans="1:20" ht="26.25" x14ac:dyDescent="0.25">
      <c r="A283" s="35">
        <v>5228</v>
      </c>
      <c r="B283" s="15">
        <v>425000</v>
      </c>
      <c r="C283" s="18" t="s">
        <v>259</v>
      </c>
      <c r="D283" s="9"/>
      <c r="E283" s="19">
        <f>E284+E285</f>
        <v>12464</v>
      </c>
      <c r="F283" s="19">
        <f t="shared" ref="F283:Q283" si="85">F284+F285</f>
        <v>12430</v>
      </c>
      <c r="G283" s="19">
        <f t="shared" si="85"/>
        <v>8828</v>
      </c>
      <c r="H283" s="19">
        <f t="shared" si="85"/>
        <v>0</v>
      </c>
      <c r="I283" s="19">
        <f t="shared" si="85"/>
        <v>0</v>
      </c>
      <c r="J283" s="19">
        <f t="shared" si="85"/>
        <v>0</v>
      </c>
      <c r="K283" s="19">
        <f t="shared" si="85"/>
        <v>0</v>
      </c>
      <c r="L283" s="19">
        <f t="shared" si="85"/>
        <v>0</v>
      </c>
      <c r="M283" s="19">
        <f t="shared" si="85"/>
        <v>12346</v>
      </c>
      <c r="N283" s="19">
        <f t="shared" si="85"/>
        <v>8173</v>
      </c>
      <c r="O283" s="19">
        <f t="shared" si="85"/>
        <v>0</v>
      </c>
      <c r="P283" s="19">
        <f t="shared" si="85"/>
        <v>84</v>
      </c>
      <c r="Q283" s="19">
        <f t="shared" si="85"/>
        <v>655</v>
      </c>
    </row>
    <row r="284" spans="1:20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720</v>
      </c>
      <c r="G284" s="37">
        <f t="shared" ref="G284:G285" si="86">SUM(I284:Q284)-K284-M284-P284</f>
        <v>100</v>
      </c>
      <c r="H284" s="37"/>
      <c r="I284" s="36"/>
      <c r="J284" s="36"/>
      <c r="K284" s="36"/>
      <c r="L284" s="36"/>
      <c r="M284" s="36">
        <v>720</v>
      </c>
      <c r="N284" s="36">
        <v>100</v>
      </c>
      <c r="O284" s="36"/>
      <c r="P284" s="36"/>
      <c r="Q284" s="36"/>
    </row>
    <row r="285" spans="1:20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11710</v>
      </c>
      <c r="G285" s="37">
        <f t="shared" si="86"/>
        <v>8728</v>
      </c>
      <c r="H285" s="37"/>
      <c r="I285" s="36"/>
      <c r="J285" s="36"/>
      <c r="K285" s="36"/>
      <c r="L285" s="36"/>
      <c r="M285" s="36">
        <f>11147-580+1059</f>
        <v>11626</v>
      </c>
      <c r="N285" s="36">
        <f>8055+18</f>
        <v>8073</v>
      </c>
      <c r="O285" s="36"/>
      <c r="P285" s="36">
        <v>84</v>
      </c>
      <c r="Q285" s="36">
        <v>655</v>
      </c>
      <c r="R285" s="12" t="s">
        <v>505</v>
      </c>
    </row>
    <row r="286" spans="1:20" x14ac:dyDescent="0.25">
      <c r="A286" s="35">
        <v>5231</v>
      </c>
      <c r="B286" s="15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279042</v>
      </c>
      <c r="G286" s="19">
        <f>SUM(G287:G313)</f>
        <v>275140</v>
      </c>
      <c r="H286" s="19">
        <f t="shared" ref="H286:Q286" si="87">SUM(H287:H313)</f>
        <v>2238</v>
      </c>
      <c r="I286" s="19">
        <f t="shared" si="87"/>
        <v>127</v>
      </c>
      <c r="J286" s="19">
        <f t="shared" si="87"/>
        <v>0</v>
      </c>
      <c r="K286" s="19">
        <f t="shared" si="87"/>
        <v>1000</v>
      </c>
      <c r="L286" s="19">
        <f t="shared" si="87"/>
        <v>1273</v>
      </c>
      <c r="M286" s="19">
        <f>M287+M289+M290+M293+M311+M312+M313</f>
        <v>273604</v>
      </c>
      <c r="N286" s="19">
        <f t="shared" si="87"/>
        <v>270915</v>
      </c>
      <c r="O286" s="19">
        <f t="shared" si="87"/>
        <v>0</v>
      </c>
      <c r="P286" s="19">
        <f>P287+P289+P290+P293+P311+P312+P313</f>
        <v>2200</v>
      </c>
      <c r="Q286" s="19">
        <f t="shared" si="87"/>
        <v>2825</v>
      </c>
      <c r="R286" s="44">
        <f>H286+K286+M286+P286</f>
        <v>279042</v>
      </c>
    </row>
    <row r="287" spans="1:20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4200</v>
      </c>
      <c r="G287" s="37">
        <f t="shared" ref="G287" si="88">SUM(I287:Q287)-K287-M287-P287</f>
        <v>3119</v>
      </c>
      <c r="H287" s="37"/>
      <c r="I287" s="36"/>
      <c r="J287" s="36"/>
      <c r="K287" s="36"/>
      <c r="L287" s="36"/>
      <c r="M287" s="36">
        <v>4200</v>
      </c>
      <c r="N287" s="36">
        <v>3119</v>
      </c>
      <c r="O287" s="36"/>
      <c r="P287" s="36"/>
      <c r="Q287" s="36"/>
      <c r="R287" s="12" t="s">
        <v>506</v>
      </c>
    </row>
    <row r="288" spans="1:20" hidden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200</v>
      </c>
      <c r="G289" s="37">
        <f t="shared" ref="G289:G290" si="89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v>200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1950</v>
      </c>
      <c r="G290" s="37">
        <f t="shared" si="89"/>
        <v>1580</v>
      </c>
      <c r="H290" s="37"/>
      <c r="I290" s="38"/>
      <c r="J290" s="38"/>
      <c r="K290" s="38"/>
      <c r="L290" s="38"/>
      <c r="M290" s="38">
        <f>2000-50</f>
        <v>1950</v>
      </c>
      <c r="N290" s="38">
        <f>1534+39</f>
        <v>1573</v>
      </c>
      <c r="O290" s="38"/>
      <c r="P290" s="38"/>
      <c r="Q290" s="38">
        <v>7</v>
      </c>
    </row>
    <row r="291" spans="1:19" ht="26.25" hidden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90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90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250607</v>
      </c>
      <c r="G293" s="37">
        <f t="shared" ref="G293:G313" si="91">SUM(I293:Q293)-K293-M293-P293</f>
        <v>252600</v>
      </c>
      <c r="H293" s="37"/>
      <c r="I293" s="36">
        <v>127</v>
      </c>
      <c r="J293" s="36"/>
      <c r="K293" s="36"/>
      <c r="L293" s="36"/>
      <c r="M293" s="48">
        <f>94103+2685+42117+11786+25692+37400+19065+15859</f>
        <v>248707</v>
      </c>
      <c r="N293" s="36">
        <v>250683</v>
      </c>
      <c r="O293" s="36"/>
      <c r="P293" s="48">
        <v>1900</v>
      </c>
      <c r="Q293" s="36">
        <v>1790</v>
      </c>
      <c r="R293" s="44">
        <f>M294+M299+M300+M303+M309+M310</f>
        <v>248707</v>
      </c>
      <c r="S293" s="44">
        <f>R293+P293</f>
        <v>250607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113168</v>
      </c>
      <c r="G294" s="37"/>
      <c r="H294" s="37"/>
      <c r="I294" s="36"/>
      <c r="J294" s="36"/>
      <c r="K294" s="36"/>
      <c r="L294" s="36"/>
      <c r="M294" s="48">
        <f>M295+M296+M297+M298</f>
        <v>113168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69695</v>
      </c>
      <c r="G295" s="37"/>
      <c r="H295" s="37"/>
      <c r="I295" s="36"/>
      <c r="J295" s="36"/>
      <c r="K295" s="36"/>
      <c r="L295" s="36"/>
      <c r="M295" s="38">
        <f>50630+19065</f>
        <v>69695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15745</v>
      </c>
      <c r="G296" s="37"/>
      <c r="H296" s="37"/>
      <c r="I296" s="36"/>
      <c r="J296" s="36"/>
      <c r="K296" s="36"/>
      <c r="L296" s="36"/>
      <c r="M296" s="38">
        <v>15745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57976</v>
      </c>
      <c r="G300" s="54"/>
      <c r="H300" s="54"/>
      <c r="I300" s="48"/>
      <c r="J300" s="48"/>
      <c r="K300" s="48"/>
      <c r="L300" s="48"/>
      <c r="M300" s="48">
        <f>M301+M302</f>
        <v>57976</v>
      </c>
      <c r="N300" s="48"/>
      <c r="O300" s="48"/>
      <c r="P300" s="48"/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36195</v>
      </c>
      <c r="G301" s="37"/>
      <c r="H301" s="37"/>
      <c r="I301" s="36"/>
      <c r="J301" s="36"/>
      <c r="K301" s="36"/>
      <c r="L301" s="36"/>
      <c r="M301" s="38">
        <f>36195</f>
        <v>36195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21781</v>
      </c>
      <c r="G302" s="37"/>
      <c r="H302" s="37"/>
      <c r="I302" s="36"/>
      <c r="J302" s="36"/>
      <c r="K302" s="36"/>
      <c r="L302" s="36"/>
      <c r="M302" s="38">
        <f>5922+15859</f>
        <v>21781</v>
      </c>
      <c r="N302" s="36"/>
      <c r="O302" s="36"/>
      <c r="P302" s="36">
        <v>1900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37400</v>
      </c>
      <c r="G310" s="54"/>
      <c r="H310" s="54"/>
      <c r="I310" s="48"/>
      <c r="J310" s="48"/>
      <c r="K310" s="48"/>
      <c r="L310" s="48"/>
      <c r="M310" s="48">
        <v>37400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9387</v>
      </c>
      <c r="G311" s="37">
        <f t="shared" si="91"/>
        <v>9570</v>
      </c>
      <c r="H311" s="37"/>
      <c r="I311" s="36"/>
      <c r="J311" s="36"/>
      <c r="K311" s="36"/>
      <c r="L311" s="36"/>
      <c r="M311" s="36">
        <v>9387</v>
      </c>
      <c r="N311" s="36">
        <v>9570</v>
      </c>
      <c r="O311" s="36"/>
      <c r="P311" s="36"/>
      <c r="Q311" s="36"/>
    </row>
    <row r="312" spans="1:17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3900</v>
      </c>
      <c r="G312" s="37">
        <f t="shared" si="91"/>
        <v>2940</v>
      </c>
      <c r="H312" s="37"/>
      <c r="I312" s="36"/>
      <c r="J312" s="36"/>
      <c r="K312" s="36"/>
      <c r="L312" s="36"/>
      <c r="M312" s="36">
        <v>3900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6">
        <f>H313+K313+M313+P313</f>
        <v>8798</v>
      </c>
      <c r="G313" s="37">
        <f t="shared" si="91"/>
        <v>5184</v>
      </c>
      <c r="H313" s="37">
        <f>1038+1200</f>
        <v>2238</v>
      </c>
      <c r="I313" s="36"/>
      <c r="J313" s="36"/>
      <c r="K313" s="36">
        <v>1000</v>
      </c>
      <c r="L313" s="36">
        <v>1273</v>
      </c>
      <c r="M313" s="36">
        <f>4700+400+360</f>
        <v>5460</v>
      </c>
      <c r="N313" s="36">
        <f>3076-46</f>
        <v>3030</v>
      </c>
      <c r="O313" s="36"/>
      <c r="P313" s="128">
        <v>100</v>
      </c>
      <c r="Q313" s="36">
        <v>881</v>
      </c>
    </row>
    <row r="314" spans="1:17" ht="39" hidden="1" x14ac:dyDescent="0.25">
      <c r="A314" s="35">
        <v>5241</v>
      </c>
      <c r="B314" s="15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90"/>
        <v>0</v>
      </c>
      <c r="H314" s="19"/>
      <c r="I314" s="19">
        <f t="shared" ref="I314:Q314" si="93">I315+I323+I325+I327+I331</f>
        <v>0</v>
      </c>
      <c r="J314" s="19">
        <f t="shared" si="93"/>
        <v>0</v>
      </c>
      <c r="K314" s="19"/>
      <c r="L314" s="19">
        <f t="shared" si="93"/>
        <v>0</v>
      </c>
      <c r="M314" s="19"/>
      <c r="N314" s="19">
        <f t="shared" si="93"/>
        <v>0</v>
      </c>
      <c r="O314" s="19">
        <f t="shared" si="93"/>
        <v>0</v>
      </c>
      <c r="P314" s="19"/>
      <c r="Q314" s="19">
        <f t="shared" si="93"/>
        <v>0</v>
      </c>
    </row>
    <row r="315" spans="1:17" ht="26.25" hidden="1" x14ac:dyDescent="0.25">
      <c r="A315" s="35">
        <v>5242</v>
      </c>
      <c r="B315" s="15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90"/>
        <v>0</v>
      </c>
      <c r="H315" s="19"/>
      <c r="I315" s="19">
        <f t="shared" ref="I315:Q315" si="94">SUM(I316:I318)</f>
        <v>0</v>
      </c>
      <c r="J315" s="19">
        <f t="shared" si="94"/>
        <v>0</v>
      </c>
      <c r="K315" s="19"/>
      <c r="L315" s="19">
        <f t="shared" si="94"/>
        <v>0</v>
      </c>
      <c r="M315" s="19"/>
      <c r="N315" s="19">
        <f t="shared" si="94"/>
        <v>0</v>
      </c>
      <c r="O315" s="19">
        <f t="shared" si="94"/>
        <v>0</v>
      </c>
      <c r="P315" s="19"/>
      <c r="Q315" s="19">
        <f t="shared" si="94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90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90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90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34"/>
      <c r="E319" s="542" t="s">
        <v>217</v>
      </c>
      <c r="F319" s="3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34"/>
      <c r="E320" s="542"/>
      <c r="F320" s="34"/>
      <c r="G320" s="544" t="s">
        <v>199</v>
      </c>
      <c r="H320" s="15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15"/>
      <c r="Q320" s="544" t="s">
        <v>8</v>
      </c>
    </row>
    <row r="321" spans="1:17" ht="39" hidden="1" x14ac:dyDescent="0.25">
      <c r="A321" s="542"/>
      <c r="B321" s="543"/>
      <c r="C321" s="542"/>
      <c r="D321" s="34"/>
      <c r="E321" s="542"/>
      <c r="F321" s="34"/>
      <c r="G321" s="545"/>
      <c r="H321" s="46"/>
      <c r="I321" s="15" t="s">
        <v>201</v>
      </c>
      <c r="J321" s="15" t="s">
        <v>10</v>
      </c>
      <c r="K321" s="15"/>
      <c r="L321" s="15" t="s">
        <v>11</v>
      </c>
      <c r="M321" s="15"/>
      <c r="N321" s="15" t="s">
        <v>12</v>
      </c>
      <c r="O321" s="545"/>
      <c r="P321" s="46"/>
      <c r="Q321" s="545"/>
    </row>
    <row r="322" spans="1:17" ht="26.25" hidden="1" x14ac:dyDescent="0.25">
      <c r="A322" s="32" t="s">
        <v>18</v>
      </c>
      <c r="B322" s="32" t="s">
        <v>19</v>
      </c>
      <c r="C322" s="32" t="s">
        <v>20</v>
      </c>
      <c r="D322" s="32"/>
      <c r="E322" s="32" t="s">
        <v>21</v>
      </c>
      <c r="F322" s="32"/>
      <c r="G322" s="32" t="s">
        <v>22</v>
      </c>
      <c r="H322" s="32"/>
      <c r="I322" s="32" t="s">
        <v>23</v>
      </c>
      <c r="J322" s="32" t="s">
        <v>24</v>
      </c>
      <c r="K322" s="32"/>
      <c r="L322" s="32" t="s">
        <v>25</v>
      </c>
      <c r="M322" s="32"/>
      <c r="N322" s="32" t="s">
        <v>26</v>
      </c>
      <c r="O322" s="32" t="s">
        <v>27</v>
      </c>
      <c r="P322" s="32"/>
      <c r="Q322" s="32" t="s">
        <v>28</v>
      </c>
    </row>
    <row r="323" spans="1:17" ht="26.25" hidden="1" x14ac:dyDescent="0.25">
      <c r="A323" s="35">
        <v>5246</v>
      </c>
      <c r="B323" s="15">
        <v>432000</v>
      </c>
      <c r="C323" s="18" t="s">
        <v>276</v>
      </c>
      <c r="D323" s="18"/>
      <c r="E323" s="19">
        <f>E324</f>
        <v>0</v>
      </c>
      <c r="F323" s="19"/>
      <c r="G323" s="19">
        <f t="shared" si="90"/>
        <v>0</v>
      </c>
      <c r="H323" s="19"/>
      <c r="I323" s="19">
        <f t="shared" ref="I323:Q323" si="95">I324</f>
        <v>0</v>
      </c>
      <c r="J323" s="19">
        <f t="shared" si="95"/>
        <v>0</v>
      </c>
      <c r="K323" s="19"/>
      <c r="L323" s="19">
        <f t="shared" si="95"/>
        <v>0</v>
      </c>
      <c r="M323" s="19"/>
      <c r="N323" s="19">
        <f t="shared" si="95"/>
        <v>0</v>
      </c>
      <c r="O323" s="19">
        <f t="shared" si="95"/>
        <v>0</v>
      </c>
      <c r="P323" s="19"/>
      <c r="Q323" s="19">
        <f t="shared" si="95"/>
        <v>0</v>
      </c>
    </row>
    <row r="324" spans="1:17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90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idden="1" x14ac:dyDescent="0.25">
      <c r="A325" s="35">
        <v>5248</v>
      </c>
      <c r="B325" s="15">
        <v>433000</v>
      </c>
      <c r="C325" s="18" t="s">
        <v>278</v>
      </c>
      <c r="D325" s="18"/>
      <c r="E325" s="19">
        <f>E326</f>
        <v>0</v>
      </c>
      <c r="F325" s="19"/>
      <c r="G325" s="19">
        <f t="shared" si="90"/>
        <v>0</v>
      </c>
      <c r="H325" s="19"/>
      <c r="I325" s="19">
        <f t="shared" ref="I325:Q325" si="96">I326</f>
        <v>0</v>
      </c>
      <c r="J325" s="19">
        <f t="shared" si="96"/>
        <v>0</v>
      </c>
      <c r="K325" s="19"/>
      <c r="L325" s="19">
        <f t="shared" si="96"/>
        <v>0</v>
      </c>
      <c r="M325" s="19"/>
      <c r="N325" s="19">
        <f t="shared" si="96"/>
        <v>0</v>
      </c>
      <c r="O325" s="19">
        <f t="shared" si="96"/>
        <v>0</v>
      </c>
      <c r="P325" s="19"/>
      <c r="Q325" s="19">
        <f t="shared" si="96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90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35">
        <v>5250</v>
      </c>
      <c r="B327" s="15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90"/>
        <v>0</v>
      </c>
      <c r="H327" s="19"/>
      <c r="I327" s="19">
        <f t="shared" ref="I327:Q327" si="97">SUM(I328:I330)</f>
        <v>0</v>
      </c>
      <c r="J327" s="19">
        <f t="shared" si="97"/>
        <v>0</v>
      </c>
      <c r="K327" s="19"/>
      <c r="L327" s="19">
        <f t="shared" si="97"/>
        <v>0</v>
      </c>
      <c r="M327" s="19"/>
      <c r="N327" s="19">
        <f t="shared" si="97"/>
        <v>0</v>
      </c>
      <c r="O327" s="19">
        <f t="shared" si="97"/>
        <v>0</v>
      </c>
      <c r="P327" s="19"/>
      <c r="Q327" s="19">
        <f t="shared" si="97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90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90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90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26.25" hidden="1" x14ac:dyDescent="0.25">
      <c r="A331" s="35">
        <v>5254</v>
      </c>
      <c r="B331" s="15">
        <v>435000</v>
      </c>
      <c r="C331" s="18" t="s">
        <v>284</v>
      </c>
      <c r="D331" s="18"/>
      <c r="E331" s="19">
        <f>E332</f>
        <v>0</v>
      </c>
      <c r="F331" s="19"/>
      <c r="G331" s="19">
        <f t="shared" si="90"/>
        <v>0</v>
      </c>
      <c r="H331" s="19"/>
      <c r="I331" s="19">
        <f t="shared" ref="I331:Q331" si="98">I332</f>
        <v>0</v>
      </c>
      <c r="J331" s="19">
        <f t="shared" si="98"/>
        <v>0</v>
      </c>
      <c r="K331" s="19"/>
      <c r="L331" s="19">
        <f t="shared" si="98"/>
        <v>0</v>
      </c>
      <c r="M331" s="19"/>
      <c r="N331" s="19">
        <f t="shared" si="98"/>
        <v>0</v>
      </c>
      <c r="O331" s="19">
        <f t="shared" si="98"/>
        <v>0</v>
      </c>
      <c r="P331" s="19"/>
      <c r="Q331" s="19">
        <f t="shared" si="98"/>
        <v>0</v>
      </c>
    </row>
    <row r="332" spans="1:17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90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39" x14ac:dyDescent="0.25">
      <c r="A333" s="35">
        <v>5256</v>
      </c>
      <c r="B333" s="15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99">F334+F344+F355+F357</f>
        <v>681</v>
      </c>
      <c r="G333" s="19">
        <f t="shared" si="99"/>
        <v>251</v>
      </c>
      <c r="H333" s="19">
        <f t="shared" si="99"/>
        <v>0</v>
      </c>
      <c r="I333" s="19">
        <f t="shared" si="99"/>
        <v>0</v>
      </c>
      <c r="J333" s="19">
        <f t="shared" si="99"/>
        <v>0</v>
      </c>
      <c r="K333" s="19">
        <f t="shared" si="99"/>
        <v>0</v>
      </c>
      <c r="L333" s="19">
        <f t="shared" si="99"/>
        <v>0</v>
      </c>
      <c r="M333" s="19">
        <f t="shared" si="99"/>
        <v>0</v>
      </c>
      <c r="N333" s="19">
        <f t="shared" si="99"/>
        <v>0</v>
      </c>
      <c r="O333" s="19">
        <f t="shared" si="99"/>
        <v>0</v>
      </c>
      <c r="P333" s="19">
        <f t="shared" si="99"/>
        <v>681</v>
      </c>
      <c r="Q333" s="19">
        <f t="shared" si="99"/>
        <v>251</v>
      </c>
    </row>
    <row r="334" spans="1:17" ht="26.25" x14ac:dyDescent="0.25">
      <c r="A334" s="35">
        <v>5257</v>
      </c>
      <c r="B334" s="15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0">SUM(F335:F343)</f>
        <v>681</v>
      </c>
      <c r="G334" s="19">
        <f t="shared" si="100"/>
        <v>251</v>
      </c>
      <c r="H334" s="19">
        <f t="shared" si="100"/>
        <v>0</v>
      </c>
      <c r="I334" s="19">
        <f t="shared" si="100"/>
        <v>0</v>
      </c>
      <c r="J334" s="19">
        <f t="shared" si="100"/>
        <v>0</v>
      </c>
      <c r="K334" s="19">
        <f t="shared" si="100"/>
        <v>0</v>
      </c>
      <c r="L334" s="19">
        <f t="shared" si="100"/>
        <v>0</v>
      </c>
      <c r="M334" s="19">
        <f t="shared" si="100"/>
        <v>0</v>
      </c>
      <c r="N334" s="19">
        <f t="shared" si="100"/>
        <v>0</v>
      </c>
      <c r="O334" s="19">
        <f t="shared" si="100"/>
        <v>0</v>
      </c>
      <c r="P334" s="19">
        <f t="shared" si="100"/>
        <v>681</v>
      </c>
      <c r="Q334" s="19">
        <f t="shared" si="100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90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90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90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90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681</v>
      </c>
      <c r="G339" s="37">
        <f t="shared" ref="G339" si="101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681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90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90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90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90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35">
        <v>5267</v>
      </c>
      <c r="B344" s="15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90"/>
        <v>0</v>
      </c>
      <c r="H344" s="19"/>
      <c r="I344" s="19">
        <f t="shared" ref="I344:Q344" si="102">SUM(I345:I354)</f>
        <v>0</v>
      </c>
      <c r="J344" s="19">
        <f t="shared" si="102"/>
        <v>0</v>
      </c>
      <c r="K344" s="19"/>
      <c r="L344" s="19">
        <f t="shared" si="102"/>
        <v>0</v>
      </c>
      <c r="M344" s="19"/>
      <c r="N344" s="19">
        <f t="shared" si="102"/>
        <v>0</v>
      </c>
      <c r="O344" s="19">
        <f t="shared" si="102"/>
        <v>0</v>
      </c>
      <c r="P344" s="19"/>
      <c r="Q344" s="19">
        <f t="shared" si="102"/>
        <v>0</v>
      </c>
    </row>
    <row r="345" spans="1:17" ht="39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90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90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90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90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34"/>
      <c r="E349" s="542" t="s">
        <v>217</v>
      </c>
      <c r="F349" s="3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34"/>
      <c r="E350" s="542"/>
      <c r="F350" s="34"/>
      <c r="G350" s="544" t="s">
        <v>199</v>
      </c>
      <c r="H350" s="15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15"/>
      <c r="Q350" s="544" t="s">
        <v>8</v>
      </c>
    </row>
    <row r="351" spans="1:17" ht="39" hidden="1" x14ac:dyDescent="0.25">
      <c r="A351" s="542"/>
      <c r="B351" s="543"/>
      <c r="C351" s="542"/>
      <c r="D351" s="34"/>
      <c r="E351" s="542"/>
      <c r="F351" s="34"/>
      <c r="G351" s="545"/>
      <c r="H351" s="46"/>
      <c r="I351" s="15" t="s">
        <v>201</v>
      </c>
      <c r="J351" s="15" t="s">
        <v>10</v>
      </c>
      <c r="K351" s="15"/>
      <c r="L351" s="15" t="s">
        <v>11</v>
      </c>
      <c r="M351" s="15"/>
      <c r="N351" s="15" t="s">
        <v>12</v>
      </c>
      <c r="O351" s="545"/>
      <c r="P351" s="46"/>
      <c r="Q351" s="545"/>
    </row>
    <row r="352" spans="1:17" ht="26.25" hidden="1" x14ac:dyDescent="0.25">
      <c r="A352" s="32" t="s">
        <v>18</v>
      </c>
      <c r="B352" s="32" t="s">
        <v>19</v>
      </c>
      <c r="C352" s="32" t="s">
        <v>20</v>
      </c>
      <c r="D352" s="32"/>
      <c r="E352" s="32" t="s">
        <v>21</v>
      </c>
      <c r="F352" s="32"/>
      <c r="G352" s="32" t="s">
        <v>22</v>
      </c>
      <c r="H352" s="32"/>
      <c r="I352" s="32" t="s">
        <v>23</v>
      </c>
      <c r="J352" s="32" t="s">
        <v>24</v>
      </c>
      <c r="K352" s="32"/>
      <c r="L352" s="32" t="s">
        <v>25</v>
      </c>
      <c r="M352" s="32"/>
      <c r="N352" s="32" t="s">
        <v>26</v>
      </c>
      <c r="O352" s="32" t="s">
        <v>27</v>
      </c>
      <c r="P352" s="32"/>
      <c r="Q352" s="32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90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90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35">
        <v>5274</v>
      </c>
      <c r="B355" s="15">
        <v>443000</v>
      </c>
      <c r="C355" s="18" t="s">
        <v>303</v>
      </c>
      <c r="D355" s="18"/>
      <c r="E355" s="19">
        <f>E356</f>
        <v>0</v>
      </c>
      <c r="F355" s="19"/>
      <c r="G355" s="19">
        <f t="shared" si="90"/>
        <v>0</v>
      </c>
      <c r="H355" s="19"/>
      <c r="I355" s="19">
        <f t="shared" ref="I355:Q355" si="103">I356</f>
        <v>0</v>
      </c>
      <c r="J355" s="19">
        <f t="shared" si="103"/>
        <v>0</v>
      </c>
      <c r="K355" s="19"/>
      <c r="L355" s="19">
        <f t="shared" si="103"/>
        <v>0</v>
      </c>
      <c r="M355" s="19"/>
      <c r="N355" s="19">
        <f t="shared" si="103"/>
        <v>0</v>
      </c>
      <c r="O355" s="19">
        <f t="shared" si="103"/>
        <v>0</v>
      </c>
      <c r="P355" s="19"/>
      <c r="Q355" s="19">
        <f t="shared" si="103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90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26.25" hidden="1" x14ac:dyDescent="0.25">
      <c r="A357" s="35">
        <v>5276</v>
      </c>
      <c r="B357" s="15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90"/>
        <v>0</v>
      </c>
      <c r="H357" s="19"/>
      <c r="I357" s="19">
        <f t="shared" ref="I357:Q357" si="104">SUM(I358:I360)</f>
        <v>0</v>
      </c>
      <c r="J357" s="19">
        <f t="shared" si="104"/>
        <v>0</v>
      </c>
      <c r="K357" s="19"/>
      <c r="L357" s="19">
        <f t="shared" si="104"/>
        <v>0</v>
      </c>
      <c r="M357" s="19"/>
      <c r="N357" s="19">
        <f t="shared" si="104"/>
        <v>0</v>
      </c>
      <c r="O357" s="19">
        <f t="shared" si="104"/>
        <v>0</v>
      </c>
      <c r="P357" s="19"/>
      <c r="Q357" s="19">
        <f t="shared" si="104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90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90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90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35">
        <v>5280</v>
      </c>
      <c r="B361" s="15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90"/>
        <v>0</v>
      </c>
      <c r="H361" s="19"/>
      <c r="I361" s="19">
        <f t="shared" ref="I361:Q361" si="105">I362+I365+I368+I371</f>
        <v>0</v>
      </c>
      <c r="J361" s="19">
        <f t="shared" si="105"/>
        <v>0</v>
      </c>
      <c r="K361" s="19"/>
      <c r="L361" s="19">
        <f t="shared" si="105"/>
        <v>0</v>
      </c>
      <c r="M361" s="19"/>
      <c r="N361" s="19">
        <f t="shared" si="105"/>
        <v>0</v>
      </c>
      <c r="O361" s="19">
        <f t="shared" si="105"/>
        <v>0</v>
      </c>
      <c r="P361" s="19"/>
      <c r="Q361" s="19">
        <f t="shared" si="105"/>
        <v>0</v>
      </c>
    </row>
    <row r="362" spans="1:17" ht="51.75" hidden="1" x14ac:dyDescent="0.25">
      <c r="A362" s="35">
        <v>5281</v>
      </c>
      <c r="B362" s="15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90"/>
        <v>0</v>
      </c>
      <c r="H362" s="19"/>
      <c r="I362" s="19">
        <f t="shared" ref="I362:Q362" si="106">I363+I364</f>
        <v>0</v>
      </c>
      <c r="J362" s="19">
        <f t="shared" si="106"/>
        <v>0</v>
      </c>
      <c r="K362" s="19"/>
      <c r="L362" s="19">
        <f t="shared" si="106"/>
        <v>0</v>
      </c>
      <c r="M362" s="19"/>
      <c r="N362" s="19">
        <f t="shared" si="106"/>
        <v>0</v>
      </c>
      <c r="O362" s="19">
        <f t="shared" si="106"/>
        <v>0</v>
      </c>
      <c r="P362" s="19"/>
      <c r="Q362" s="19">
        <f t="shared" si="106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90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90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39" hidden="1" x14ac:dyDescent="0.25">
      <c r="A365" s="35">
        <v>5284</v>
      </c>
      <c r="B365" s="15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90"/>
        <v>0</v>
      </c>
      <c r="H365" s="19"/>
      <c r="I365" s="19">
        <f t="shared" ref="I365:Q365" si="107">I366+I367</f>
        <v>0</v>
      </c>
      <c r="J365" s="19">
        <f t="shared" si="107"/>
        <v>0</v>
      </c>
      <c r="K365" s="19"/>
      <c r="L365" s="19">
        <f t="shared" si="107"/>
        <v>0</v>
      </c>
      <c r="M365" s="19"/>
      <c r="N365" s="19">
        <f t="shared" si="107"/>
        <v>0</v>
      </c>
      <c r="O365" s="19">
        <f t="shared" si="107"/>
        <v>0</v>
      </c>
      <c r="P365" s="19"/>
      <c r="Q365" s="19">
        <f t="shared" si="107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90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90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39" hidden="1" x14ac:dyDescent="0.25">
      <c r="A368" s="35">
        <v>5287</v>
      </c>
      <c r="B368" s="15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90"/>
        <v>0</v>
      </c>
      <c r="H368" s="19"/>
      <c r="I368" s="19">
        <f t="shared" ref="I368:Q368" si="108">I369+I370</f>
        <v>0</v>
      </c>
      <c r="J368" s="19">
        <f t="shared" si="108"/>
        <v>0</v>
      </c>
      <c r="K368" s="19"/>
      <c r="L368" s="19">
        <f t="shared" si="108"/>
        <v>0</v>
      </c>
      <c r="M368" s="19"/>
      <c r="N368" s="19">
        <f t="shared" si="108"/>
        <v>0</v>
      </c>
      <c r="O368" s="19">
        <f t="shared" si="108"/>
        <v>0</v>
      </c>
      <c r="P368" s="19"/>
      <c r="Q368" s="19">
        <f t="shared" si="108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90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90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35">
        <v>5290</v>
      </c>
      <c r="B371" s="15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90"/>
        <v>0</v>
      </c>
      <c r="H371" s="19"/>
      <c r="I371" s="19">
        <f t="shared" ref="I371:Q371" si="109">I372+I373</f>
        <v>0</v>
      </c>
      <c r="J371" s="19">
        <f t="shared" si="109"/>
        <v>0</v>
      </c>
      <c r="K371" s="19"/>
      <c r="L371" s="19">
        <f t="shared" si="109"/>
        <v>0</v>
      </c>
      <c r="M371" s="19"/>
      <c r="N371" s="19">
        <f t="shared" si="109"/>
        <v>0</v>
      </c>
      <c r="O371" s="19">
        <f t="shared" si="109"/>
        <v>0</v>
      </c>
      <c r="P371" s="19"/>
      <c r="Q371" s="19">
        <f t="shared" si="109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90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90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35">
        <v>5293</v>
      </c>
      <c r="B374" s="15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0">F379+F382+F385+F388+F391</f>
        <v>7710</v>
      </c>
      <c r="G374" s="19">
        <f t="shared" si="110"/>
        <v>7410</v>
      </c>
      <c r="H374" s="37">
        <f t="shared" si="110"/>
        <v>0</v>
      </c>
      <c r="I374" s="19">
        <f t="shared" si="110"/>
        <v>0</v>
      </c>
      <c r="J374" s="19">
        <f t="shared" si="110"/>
        <v>0</v>
      </c>
      <c r="K374" s="19">
        <f t="shared" si="110"/>
        <v>0</v>
      </c>
      <c r="L374" s="19">
        <f t="shared" si="110"/>
        <v>0</v>
      </c>
      <c r="M374" s="19">
        <f t="shared" si="110"/>
        <v>7710</v>
      </c>
      <c r="N374" s="19">
        <f t="shared" si="110"/>
        <v>7410</v>
      </c>
      <c r="O374" s="19">
        <f t="shared" si="110"/>
        <v>0</v>
      </c>
      <c r="P374" s="19">
        <f t="shared" si="110"/>
        <v>0</v>
      </c>
      <c r="Q374" s="19">
        <f t="shared" si="110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34"/>
      <c r="E375" s="542" t="s">
        <v>217</v>
      </c>
      <c r="F375" s="3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34"/>
      <c r="E376" s="542"/>
      <c r="F376" s="34"/>
      <c r="G376" s="544" t="s">
        <v>199</v>
      </c>
      <c r="H376" s="15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15"/>
      <c r="Q376" s="544" t="s">
        <v>8</v>
      </c>
    </row>
    <row r="377" spans="1:17" ht="39" hidden="1" x14ac:dyDescent="0.25">
      <c r="A377" s="542"/>
      <c r="B377" s="543"/>
      <c r="C377" s="542"/>
      <c r="D377" s="34"/>
      <c r="E377" s="542"/>
      <c r="F377" s="34"/>
      <c r="G377" s="545"/>
      <c r="H377" s="46"/>
      <c r="I377" s="15" t="s">
        <v>201</v>
      </c>
      <c r="J377" s="15" t="s">
        <v>10</v>
      </c>
      <c r="K377" s="15"/>
      <c r="L377" s="15" t="s">
        <v>11</v>
      </c>
      <c r="M377" s="15"/>
      <c r="N377" s="15" t="s">
        <v>12</v>
      </c>
      <c r="O377" s="545"/>
      <c r="P377" s="46"/>
      <c r="Q377" s="545"/>
    </row>
    <row r="378" spans="1:17" ht="26.25" hidden="1" x14ac:dyDescent="0.25">
      <c r="A378" s="32" t="s">
        <v>18</v>
      </c>
      <c r="B378" s="32" t="s">
        <v>19</v>
      </c>
      <c r="C378" s="32" t="s">
        <v>20</v>
      </c>
      <c r="D378" s="32"/>
      <c r="E378" s="32" t="s">
        <v>21</v>
      </c>
      <c r="F378" s="32"/>
      <c r="G378" s="32" t="s">
        <v>22</v>
      </c>
      <c r="H378" s="32"/>
      <c r="I378" s="32" t="s">
        <v>23</v>
      </c>
      <c r="J378" s="32" t="s">
        <v>24</v>
      </c>
      <c r="K378" s="32"/>
      <c r="L378" s="32" t="s">
        <v>25</v>
      </c>
      <c r="M378" s="32"/>
      <c r="N378" s="32" t="s">
        <v>26</v>
      </c>
      <c r="O378" s="32" t="s">
        <v>27</v>
      </c>
      <c r="P378" s="32"/>
      <c r="Q378" s="32" t="s">
        <v>28</v>
      </c>
    </row>
    <row r="379" spans="1:17" ht="26.25" hidden="1" x14ac:dyDescent="0.25">
      <c r="A379" s="35">
        <v>5294</v>
      </c>
      <c r="B379" s="15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90"/>
        <v>0</v>
      </c>
      <c r="H379" s="19"/>
      <c r="I379" s="19">
        <f t="shared" ref="I379:Q379" si="111">I380+I381</f>
        <v>0</v>
      </c>
      <c r="J379" s="19">
        <f t="shared" si="111"/>
        <v>0</v>
      </c>
      <c r="K379" s="19"/>
      <c r="L379" s="19">
        <f t="shared" si="111"/>
        <v>0</v>
      </c>
      <c r="M379" s="19"/>
      <c r="N379" s="19">
        <f t="shared" si="111"/>
        <v>0</v>
      </c>
      <c r="O379" s="19">
        <f t="shared" si="111"/>
        <v>0</v>
      </c>
      <c r="P379" s="19"/>
      <c r="Q379" s="19">
        <f t="shared" si="111"/>
        <v>0</v>
      </c>
    </row>
    <row r="380" spans="1:17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90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90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26.25" hidden="1" x14ac:dyDescent="0.25">
      <c r="A382" s="35">
        <v>5297</v>
      </c>
      <c r="B382" s="15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90"/>
        <v>0</v>
      </c>
      <c r="H382" s="19"/>
      <c r="I382" s="19">
        <f t="shared" ref="I382:Q382" si="112">I383+I384</f>
        <v>0</v>
      </c>
      <c r="J382" s="19">
        <f t="shared" si="112"/>
        <v>0</v>
      </c>
      <c r="K382" s="19"/>
      <c r="L382" s="19">
        <f t="shared" si="112"/>
        <v>0</v>
      </c>
      <c r="M382" s="19"/>
      <c r="N382" s="19">
        <f t="shared" si="112"/>
        <v>0</v>
      </c>
      <c r="O382" s="19">
        <f t="shared" si="112"/>
        <v>0</v>
      </c>
      <c r="P382" s="19"/>
      <c r="Q382" s="19">
        <f t="shared" si="112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90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90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26.25" hidden="1" x14ac:dyDescent="0.25">
      <c r="A385" s="35">
        <v>5300</v>
      </c>
      <c r="B385" s="15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3">SUM(I385:Q385)</f>
        <v>0</v>
      </c>
      <c r="H385" s="19"/>
      <c r="I385" s="19">
        <f t="shared" ref="I385:Q385" si="114">I386+I387</f>
        <v>0</v>
      </c>
      <c r="J385" s="19">
        <f t="shared" si="114"/>
        <v>0</v>
      </c>
      <c r="K385" s="19"/>
      <c r="L385" s="19">
        <f t="shared" si="114"/>
        <v>0</v>
      </c>
      <c r="M385" s="19"/>
      <c r="N385" s="19">
        <f t="shared" si="114"/>
        <v>0</v>
      </c>
      <c r="O385" s="19">
        <f t="shared" si="114"/>
        <v>0</v>
      </c>
      <c r="P385" s="19"/>
      <c r="Q385" s="19">
        <f t="shared" si="114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3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3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39" hidden="1" x14ac:dyDescent="0.25">
      <c r="A388" s="35">
        <v>5303</v>
      </c>
      <c r="B388" s="15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3"/>
        <v>0</v>
      </c>
      <c r="H388" s="19"/>
      <c r="I388" s="19">
        <f t="shared" ref="I388:Q388" si="115">I389+I390</f>
        <v>0</v>
      </c>
      <c r="J388" s="19">
        <f t="shared" si="115"/>
        <v>0</v>
      </c>
      <c r="K388" s="19"/>
      <c r="L388" s="19">
        <f t="shared" si="115"/>
        <v>0</v>
      </c>
      <c r="M388" s="19"/>
      <c r="N388" s="19">
        <f t="shared" si="115"/>
        <v>0</v>
      </c>
      <c r="O388" s="19">
        <f t="shared" si="115"/>
        <v>0</v>
      </c>
      <c r="P388" s="19"/>
      <c r="Q388" s="19">
        <f t="shared" si="115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3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26.25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3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35">
        <v>5306</v>
      </c>
      <c r="B391" s="15">
        <v>465000</v>
      </c>
      <c r="C391" s="18" t="s">
        <v>335</v>
      </c>
      <c r="D391" s="18"/>
      <c r="E391" s="19">
        <f>E392+E393</f>
        <v>7410</v>
      </c>
      <c r="F391" s="19">
        <f t="shared" ref="F391:Q391" si="116">F392+F393</f>
        <v>7710</v>
      </c>
      <c r="G391" s="19">
        <f t="shared" si="116"/>
        <v>7410</v>
      </c>
      <c r="H391" s="19">
        <f t="shared" si="116"/>
        <v>0</v>
      </c>
      <c r="I391" s="19">
        <f t="shared" si="116"/>
        <v>0</v>
      </c>
      <c r="J391" s="19">
        <f t="shared" si="116"/>
        <v>0</v>
      </c>
      <c r="K391" s="19">
        <f t="shared" si="116"/>
        <v>0</v>
      </c>
      <c r="L391" s="19">
        <f t="shared" si="116"/>
        <v>0</v>
      </c>
      <c r="M391" s="19">
        <f t="shared" si="116"/>
        <v>7710</v>
      </c>
      <c r="N391" s="19">
        <f t="shared" si="116"/>
        <v>7410</v>
      </c>
      <c r="O391" s="19">
        <f t="shared" si="116"/>
        <v>0</v>
      </c>
      <c r="P391" s="19">
        <f t="shared" si="116"/>
        <v>0</v>
      </c>
      <c r="Q391" s="19">
        <f t="shared" si="116"/>
        <v>0</v>
      </c>
    </row>
    <row r="392" spans="1:17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7710</v>
      </c>
      <c r="G392" s="37">
        <f t="shared" ref="G392" si="117">SUM(I392:Q392)-K392-M392-P392</f>
        <v>7410</v>
      </c>
      <c r="H392" s="37"/>
      <c r="I392" s="36"/>
      <c r="J392" s="36"/>
      <c r="K392" s="36"/>
      <c r="L392" s="36"/>
      <c r="M392" s="36">
        <v>7710</v>
      </c>
      <c r="N392" s="36">
        <v>7410</v>
      </c>
      <c r="O392" s="36"/>
      <c r="P392" s="36"/>
      <c r="Q392" s="36"/>
    </row>
    <row r="393" spans="1:17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3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35">
        <v>5309</v>
      </c>
      <c r="B394" s="15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3"/>
        <v>0</v>
      </c>
      <c r="H394" s="19"/>
      <c r="I394" s="19">
        <f t="shared" ref="I394:Q394" si="118">I395+I399</f>
        <v>0</v>
      </c>
      <c r="J394" s="19">
        <f t="shared" si="118"/>
        <v>0</v>
      </c>
      <c r="K394" s="19"/>
      <c r="L394" s="19">
        <f t="shared" si="118"/>
        <v>0</v>
      </c>
      <c r="M394" s="19"/>
      <c r="N394" s="19">
        <f t="shared" si="118"/>
        <v>0</v>
      </c>
      <c r="O394" s="19">
        <f t="shared" si="118"/>
        <v>0</v>
      </c>
      <c r="P394" s="19"/>
      <c r="Q394" s="19">
        <f t="shared" si="118"/>
        <v>0</v>
      </c>
    </row>
    <row r="395" spans="1:17" ht="51.75" hidden="1" x14ac:dyDescent="0.25">
      <c r="A395" s="35">
        <v>5310</v>
      </c>
      <c r="B395" s="15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3"/>
        <v>0</v>
      </c>
      <c r="H395" s="19"/>
      <c r="I395" s="19">
        <f t="shared" ref="I395:Q395" si="119">SUM(I396:I398)</f>
        <v>0</v>
      </c>
      <c r="J395" s="19">
        <f t="shared" si="119"/>
        <v>0</v>
      </c>
      <c r="K395" s="19"/>
      <c r="L395" s="19">
        <f t="shared" si="119"/>
        <v>0</v>
      </c>
      <c r="M395" s="19"/>
      <c r="N395" s="19">
        <f t="shared" si="119"/>
        <v>0</v>
      </c>
      <c r="O395" s="19">
        <f t="shared" si="119"/>
        <v>0</v>
      </c>
      <c r="P395" s="19"/>
      <c r="Q395" s="19">
        <f t="shared" si="119"/>
        <v>0</v>
      </c>
    </row>
    <row r="396" spans="1:17" ht="26.25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3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3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39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3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35">
        <v>5314</v>
      </c>
      <c r="B399" s="15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3"/>
        <v>0</v>
      </c>
      <c r="H399" s="19"/>
      <c r="I399" s="19">
        <f t="shared" ref="I399:Q399" si="120">SUM(I404:I412)</f>
        <v>0</v>
      </c>
      <c r="J399" s="19">
        <f t="shared" si="120"/>
        <v>0</v>
      </c>
      <c r="K399" s="19"/>
      <c r="L399" s="19">
        <f t="shared" si="120"/>
        <v>0</v>
      </c>
      <c r="M399" s="19"/>
      <c r="N399" s="19">
        <f t="shared" si="120"/>
        <v>0</v>
      </c>
      <c r="O399" s="19">
        <f t="shared" si="120"/>
        <v>0</v>
      </c>
      <c r="P399" s="19"/>
      <c r="Q399" s="19">
        <f t="shared" si="120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34"/>
      <c r="E400" s="542" t="s">
        <v>217</v>
      </c>
      <c r="F400" s="3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34"/>
      <c r="E401" s="542"/>
      <c r="F401" s="34"/>
      <c r="G401" s="544" t="s">
        <v>199</v>
      </c>
      <c r="H401" s="15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15"/>
      <c r="Q401" s="544" t="s">
        <v>8</v>
      </c>
    </row>
    <row r="402" spans="1:17" ht="39" hidden="1" x14ac:dyDescent="0.25">
      <c r="A402" s="542"/>
      <c r="B402" s="543"/>
      <c r="C402" s="542"/>
      <c r="D402" s="34"/>
      <c r="E402" s="542"/>
      <c r="F402" s="34"/>
      <c r="G402" s="545"/>
      <c r="H402" s="46"/>
      <c r="I402" s="15" t="s">
        <v>201</v>
      </c>
      <c r="J402" s="15" t="s">
        <v>10</v>
      </c>
      <c r="K402" s="15"/>
      <c r="L402" s="15" t="s">
        <v>11</v>
      </c>
      <c r="M402" s="15"/>
      <c r="N402" s="15" t="s">
        <v>12</v>
      </c>
      <c r="O402" s="545"/>
      <c r="P402" s="46"/>
      <c r="Q402" s="545"/>
    </row>
    <row r="403" spans="1:17" ht="26.25" hidden="1" x14ac:dyDescent="0.25">
      <c r="A403" s="32" t="s">
        <v>18</v>
      </c>
      <c r="B403" s="32" t="s">
        <v>19</v>
      </c>
      <c r="C403" s="32" t="s">
        <v>20</v>
      </c>
      <c r="D403" s="32"/>
      <c r="E403" s="32" t="s">
        <v>21</v>
      </c>
      <c r="F403" s="32"/>
      <c r="G403" s="32" t="s">
        <v>22</v>
      </c>
      <c r="H403" s="32"/>
      <c r="I403" s="32" t="s">
        <v>23</v>
      </c>
      <c r="J403" s="32" t="s">
        <v>24</v>
      </c>
      <c r="K403" s="32"/>
      <c r="L403" s="32" t="s">
        <v>25</v>
      </c>
      <c r="M403" s="32"/>
      <c r="N403" s="32" t="s">
        <v>26</v>
      </c>
      <c r="O403" s="32" t="s">
        <v>27</v>
      </c>
      <c r="P403" s="32"/>
      <c r="Q403" s="32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3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3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3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3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3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3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3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3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3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26.25" x14ac:dyDescent="0.25">
      <c r="A413" s="35">
        <v>5324</v>
      </c>
      <c r="B413" s="15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1">F414+F417+F421+F423+F426+F432</f>
        <v>135</v>
      </c>
      <c r="G413" s="19">
        <f t="shared" si="121"/>
        <v>108</v>
      </c>
      <c r="H413" s="19">
        <f t="shared" si="121"/>
        <v>0</v>
      </c>
      <c r="I413" s="19">
        <f t="shared" si="121"/>
        <v>0</v>
      </c>
      <c r="J413" s="19">
        <f t="shared" si="121"/>
        <v>0</v>
      </c>
      <c r="K413" s="19">
        <f t="shared" si="121"/>
        <v>0</v>
      </c>
      <c r="L413" s="19">
        <f t="shared" si="121"/>
        <v>0</v>
      </c>
      <c r="M413" s="19">
        <f t="shared" si="121"/>
        <v>0</v>
      </c>
      <c r="N413" s="19">
        <f t="shared" si="121"/>
        <v>8</v>
      </c>
      <c r="O413" s="19">
        <f t="shared" si="121"/>
        <v>0</v>
      </c>
      <c r="P413" s="19">
        <f t="shared" si="121"/>
        <v>135</v>
      </c>
      <c r="Q413" s="19">
        <f t="shared" si="121"/>
        <v>100</v>
      </c>
    </row>
    <row r="414" spans="1:17" ht="26.25" x14ac:dyDescent="0.25">
      <c r="A414" s="35">
        <v>5325</v>
      </c>
      <c r="B414" s="15">
        <v>481000</v>
      </c>
      <c r="C414" s="18" t="s">
        <v>354</v>
      </c>
      <c r="D414" s="18"/>
      <c r="E414" s="19">
        <f>E415+E416</f>
        <v>35</v>
      </c>
      <c r="F414" s="19">
        <f t="shared" ref="F414:Q414" si="122">F415+F416</f>
        <v>35</v>
      </c>
      <c r="G414" s="19">
        <f t="shared" si="122"/>
        <v>35</v>
      </c>
      <c r="H414" s="19">
        <f t="shared" si="122"/>
        <v>0</v>
      </c>
      <c r="I414" s="19">
        <f t="shared" si="122"/>
        <v>0</v>
      </c>
      <c r="J414" s="19">
        <f t="shared" si="122"/>
        <v>0</v>
      </c>
      <c r="K414" s="19">
        <f t="shared" si="122"/>
        <v>0</v>
      </c>
      <c r="L414" s="19">
        <f t="shared" si="122"/>
        <v>0</v>
      </c>
      <c r="M414" s="19">
        <f t="shared" si="122"/>
        <v>0</v>
      </c>
      <c r="N414" s="19">
        <f t="shared" si="122"/>
        <v>0</v>
      </c>
      <c r="O414" s="19">
        <f t="shared" si="122"/>
        <v>0</v>
      </c>
      <c r="P414" s="19">
        <f t="shared" si="122"/>
        <v>35</v>
      </c>
      <c r="Q414" s="19">
        <f t="shared" si="122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3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3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17" ht="39" x14ac:dyDescent="0.25">
      <c r="A417" s="35">
        <v>5328</v>
      </c>
      <c r="B417" s="15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4">SUM(F418:F420)</f>
        <v>80</v>
      </c>
      <c r="G417" s="19">
        <f t="shared" si="124"/>
        <v>58</v>
      </c>
      <c r="H417" s="19">
        <f t="shared" si="124"/>
        <v>0</v>
      </c>
      <c r="I417" s="19">
        <f t="shared" si="124"/>
        <v>0</v>
      </c>
      <c r="J417" s="19">
        <f t="shared" si="124"/>
        <v>0</v>
      </c>
      <c r="K417" s="19">
        <f t="shared" si="124"/>
        <v>0</v>
      </c>
      <c r="L417" s="19">
        <f t="shared" si="124"/>
        <v>0</v>
      </c>
      <c r="M417" s="19">
        <f t="shared" si="124"/>
        <v>0</v>
      </c>
      <c r="N417" s="19">
        <f t="shared" si="124"/>
        <v>8</v>
      </c>
      <c r="O417" s="19">
        <f t="shared" si="124"/>
        <v>0</v>
      </c>
      <c r="P417" s="19">
        <f t="shared" si="124"/>
        <v>80</v>
      </c>
      <c r="Q417" s="19">
        <f t="shared" si="124"/>
        <v>50</v>
      </c>
    </row>
    <row r="418" spans="1:17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20</v>
      </c>
      <c r="G418" s="37">
        <f t="shared" ref="G418:G419" si="125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20</v>
      </c>
      <c r="Q418" s="36">
        <v>9</v>
      </c>
    </row>
    <row r="419" spans="1:17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60</v>
      </c>
      <c r="G419" s="37">
        <f t="shared" si="125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60</v>
      </c>
      <c r="Q419" s="36">
        <v>41</v>
      </c>
    </row>
    <row r="420" spans="1:17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0</v>
      </c>
      <c r="G420" s="37">
        <f t="shared" si="113"/>
        <v>0</v>
      </c>
      <c r="H420" s="37"/>
      <c r="I420" s="36"/>
      <c r="J420" s="36"/>
      <c r="K420" s="36"/>
      <c r="L420" s="36"/>
      <c r="M420" s="36"/>
      <c r="N420" s="36"/>
      <c r="O420" s="36"/>
      <c r="P420" s="36"/>
      <c r="Q420" s="36"/>
    </row>
    <row r="421" spans="1:17" ht="26.25" x14ac:dyDescent="0.25">
      <c r="A421" s="35">
        <v>5332</v>
      </c>
      <c r="B421" s="15">
        <v>483000</v>
      </c>
      <c r="C421" s="18" t="s">
        <v>361</v>
      </c>
      <c r="D421" s="18"/>
      <c r="E421" s="19">
        <f>E422</f>
        <v>20</v>
      </c>
      <c r="F421" s="19">
        <f t="shared" ref="F421:Q421" si="126">F422</f>
        <v>20</v>
      </c>
      <c r="G421" s="19">
        <f t="shared" si="126"/>
        <v>15</v>
      </c>
      <c r="H421" s="19">
        <f t="shared" si="126"/>
        <v>0</v>
      </c>
      <c r="I421" s="19">
        <f t="shared" si="126"/>
        <v>0</v>
      </c>
      <c r="J421" s="19">
        <f t="shared" si="126"/>
        <v>0</v>
      </c>
      <c r="K421" s="19">
        <f t="shared" si="126"/>
        <v>0</v>
      </c>
      <c r="L421" s="19">
        <f t="shared" si="126"/>
        <v>0</v>
      </c>
      <c r="M421" s="19">
        <f t="shared" si="126"/>
        <v>0</v>
      </c>
      <c r="N421" s="19">
        <f t="shared" si="126"/>
        <v>0</v>
      </c>
      <c r="O421" s="19">
        <f t="shared" si="126"/>
        <v>0</v>
      </c>
      <c r="P421" s="19">
        <f t="shared" si="126"/>
        <v>20</v>
      </c>
      <c r="Q421" s="19">
        <f t="shared" si="126"/>
        <v>15</v>
      </c>
    </row>
    <row r="422" spans="1:17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</v>
      </c>
      <c r="G422" s="37">
        <f t="shared" ref="G422" si="127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</v>
      </c>
      <c r="Q422" s="36">
        <v>15</v>
      </c>
    </row>
    <row r="423" spans="1:17" ht="64.5" hidden="1" x14ac:dyDescent="0.25">
      <c r="A423" s="35">
        <v>5334</v>
      </c>
      <c r="B423" s="15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3"/>
        <v>0</v>
      </c>
      <c r="H423" s="19"/>
      <c r="I423" s="19">
        <f t="shared" ref="I423:Q423" si="128">I424+I425</f>
        <v>0</v>
      </c>
      <c r="J423" s="19">
        <f t="shared" si="128"/>
        <v>0</v>
      </c>
      <c r="K423" s="19"/>
      <c r="L423" s="19">
        <f t="shared" si="128"/>
        <v>0</v>
      </c>
      <c r="M423" s="19"/>
      <c r="N423" s="19">
        <f t="shared" si="128"/>
        <v>0</v>
      </c>
      <c r="O423" s="19">
        <f t="shared" si="128"/>
        <v>0</v>
      </c>
      <c r="P423" s="19"/>
      <c r="Q423" s="19">
        <f t="shared" si="128"/>
        <v>0</v>
      </c>
    </row>
    <row r="424" spans="1:17" ht="26.25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3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17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3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17" ht="39" hidden="1" x14ac:dyDescent="0.25">
      <c r="A426" s="35">
        <v>5337</v>
      </c>
      <c r="B426" s="15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3"/>
        <v>0</v>
      </c>
      <c r="H426" s="19"/>
      <c r="I426" s="19">
        <f t="shared" ref="I426:Q426" si="129">I427</f>
        <v>0</v>
      </c>
      <c r="J426" s="19">
        <f t="shared" si="129"/>
        <v>0</v>
      </c>
      <c r="K426" s="19"/>
      <c r="L426" s="19">
        <f t="shared" si="129"/>
        <v>0</v>
      </c>
      <c r="M426" s="19"/>
      <c r="N426" s="19">
        <f t="shared" si="129"/>
        <v>0</v>
      </c>
      <c r="O426" s="19">
        <f t="shared" si="129"/>
        <v>0</v>
      </c>
      <c r="P426" s="19"/>
      <c r="Q426" s="19">
        <f t="shared" si="129"/>
        <v>0</v>
      </c>
    </row>
    <row r="427" spans="1:17" ht="26.25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3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17" hidden="1" x14ac:dyDescent="0.25">
      <c r="A428" s="542" t="s">
        <v>0</v>
      </c>
      <c r="B428" s="543" t="s">
        <v>1</v>
      </c>
      <c r="C428" s="542" t="s">
        <v>2</v>
      </c>
      <c r="D428" s="34"/>
      <c r="E428" s="542" t="s">
        <v>217</v>
      </c>
      <c r="F428" s="3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17" hidden="1" x14ac:dyDescent="0.25">
      <c r="A429" s="542"/>
      <c r="B429" s="543"/>
      <c r="C429" s="542"/>
      <c r="D429" s="34"/>
      <c r="E429" s="542"/>
      <c r="F429" s="34"/>
      <c r="G429" s="544" t="s">
        <v>199</v>
      </c>
      <c r="H429" s="15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15"/>
      <c r="Q429" s="544" t="s">
        <v>8</v>
      </c>
    </row>
    <row r="430" spans="1:17" ht="39" hidden="1" x14ac:dyDescent="0.25">
      <c r="A430" s="542"/>
      <c r="B430" s="543"/>
      <c r="C430" s="542"/>
      <c r="D430" s="34"/>
      <c r="E430" s="542"/>
      <c r="F430" s="34"/>
      <c r="G430" s="545"/>
      <c r="H430" s="46"/>
      <c r="I430" s="15" t="s">
        <v>201</v>
      </c>
      <c r="J430" s="15" t="s">
        <v>10</v>
      </c>
      <c r="K430" s="15"/>
      <c r="L430" s="15" t="s">
        <v>11</v>
      </c>
      <c r="M430" s="15"/>
      <c r="N430" s="15" t="s">
        <v>12</v>
      </c>
      <c r="O430" s="545"/>
      <c r="P430" s="46"/>
      <c r="Q430" s="545"/>
    </row>
    <row r="431" spans="1:17" ht="26.25" hidden="1" x14ac:dyDescent="0.25">
      <c r="A431" s="32" t="s">
        <v>18</v>
      </c>
      <c r="B431" s="32" t="s">
        <v>19</v>
      </c>
      <c r="C431" s="32" t="s">
        <v>20</v>
      </c>
      <c r="D431" s="32"/>
      <c r="E431" s="32" t="s">
        <v>21</v>
      </c>
      <c r="F431" s="32"/>
      <c r="G431" s="32" t="s">
        <v>22</v>
      </c>
      <c r="H431" s="32"/>
      <c r="I431" s="32" t="s">
        <v>23</v>
      </c>
      <c r="J431" s="32" t="s">
        <v>24</v>
      </c>
      <c r="K431" s="32"/>
      <c r="L431" s="32" t="s">
        <v>25</v>
      </c>
      <c r="M431" s="32"/>
      <c r="N431" s="32" t="s">
        <v>26</v>
      </c>
      <c r="O431" s="32" t="s">
        <v>27</v>
      </c>
      <c r="P431" s="32"/>
      <c r="Q431" s="32" t="s">
        <v>28</v>
      </c>
    </row>
    <row r="432" spans="1:17" ht="51.75" hidden="1" x14ac:dyDescent="0.25">
      <c r="A432" s="35">
        <v>5339</v>
      </c>
      <c r="B432" s="15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3"/>
        <v>0</v>
      </c>
      <c r="H432" s="19"/>
      <c r="I432" s="19">
        <f t="shared" ref="I432:Q432" si="130">I433</f>
        <v>0</v>
      </c>
      <c r="J432" s="19">
        <f t="shared" si="130"/>
        <v>0</v>
      </c>
      <c r="K432" s="19"/>
      <c r="L432" s="19">
        <f t="shared" si="130"/>
        <v>0</v>
      </c>
      <c r="M432" s="19"/>
      <c r="N432" s="19">
        <f t="shared" si="130"/>
        <v>0</v>
      </c>
      <c r="O432" s="19">
        <f t="shared" si="130"/>
        <v>0</v>
      </c>
      <c r="P432" s="19"/>
      <c r="Q432" s="19">
        <f t="shared" si="130"/>
        <v>0</v>
      </c>
    </row>
    <row r="433" spans="1:22" ht="39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3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39" x14ac:dyDescent="0.25">
      <c r="A434" s="35">
        <v>5341</v>
      </c>
      <c r="B434" s="15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1">F435+F458+F471+F474+F482</f>
        <v>25605</v>
      </c>
      <c r="G434" s="19">
        <f t="shared" si="131"/>
        <v>17163</v>
      </c>
      <c r="H434" s="19">
        <f t="shared" si="131"/>
        <v>20000</v>
      </c>
      <c r="I434" s="19">
        <f t="shared" si="131"/>
        <v>15250</v>
      </c>
      <c r="J434" s="19">
        <f t="shared" si="131"/>
        <v>0</v>
      </c>
      <c r="K434" s="19">
        <f t="shared" si="131"/>
        <v>0</v>
      </c>
      <c r="L434" s="19">
        <f t="shared" si="131"/>
        <v>0</v>
      </c>
      <c r="M434" s="19">
        <f t="shared" si="131"/>
        <v>0</v>
      </c>
      <c r="N434" s="19">
        <f t="shared" si="131"/>
        <v>0</v>
      </c>
      <c r="O434" s="19">
        <f t="shared" si="131"/>
        <v>0</v>
      </c>
      <c r="P434" s="19">
        <f t="shared" si="131"/>
        <v>5605</v>
      </c>
      <c r="Q434" s="19">
        <f t="shared" si="131"/>
        <v>1813</v>
      </c>
    </row>
    <row r="435" spans="1:22" ht="26.25" x14ac:dyDescent="0.25">
      <c r="A435" s="35">
        <v>5342</v>
      </c>
      <c r="B435" s="15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2">F436+F441+F452+F454+F456</f>
        <v>25605</v>
      </c>
      <c r="G435" s="19">
        <f t="shared" si="132"/>
        <v>17163</v>
      </c>
      <c r="H435" s="19">
        <f t="shared" si="132"/>
        <v>20000</v>
      </c>
      <c r="I435" s="19">
        <f t="shared" si="132"/>
        <v>15250</v>
      </c>
      <c r="J435" s="19">
        <f t="shared" si="132"/>
        <v>0</v>
      </c>
      <c r="K435" s="19">
        <f t="shared" si="132"/>
        <v>0</v>
      </c>
      <c r="L435" s="19">
        <f t="shared" si="132"/>
        <v>0</v>
      </c>
      <c r="M435" s="19">
        <f t="shared" si="132"/>
        <v>0</v>
      </c>
      <c r="N435" s="19">
        <f t="shared" si="132"/>
        <v>0</v>
      </c>
      <c r="O435" s="19">
        <f t="shared" si="132"/>
        <v>0</v>
      </c>
      <c r="P435" s="19">
        <f t="shared" si="132"/>
        <v>5605</v>
      </c>
      <c r="Q435" s="19">
        <f t="shared" si="132"/>
        <v>1813</v>
      </c>
    </row>
    <row r="436" spans="1:22" ht="26.25" x14ac:dyDescent="0.25">
      <c r="A436" s="35">
        <v>5343</v>
      </c>
      <c r="B436" s="15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3">SUM(F437:F440)</f>
        <v>2124</v>
      </c>
      <c r="G436" s="19">
        <f t="shared" si="133"/>
        <v>1450</v>
      </c>
      <c r="H436" s="19">
        <f t="shared" si="133"/>
        <v>2000</v>
      </c>
      <c r="I436" s="19">
        <f t="shared" si="133"/>
        <v>1450</v>
      </c>
      <c r="J436" s="19">
        <f t="shared" si="133"/>
        <v>0</v>
      </c>
      <c r="K436" s="19">
        <f t="shared" si="133"/>
        <v>0</v>
      </c>
      <c r="L436" s="19">
        <f t="shared" si="133"/>
        <v>0</v>
      </c>
      <c r="M436" s="19">
        <f t="shared" si="133"/>
        <v>0</v>
      </c>
      <c r="N436" s="19">
        <f t="shared" si="133"/>
        <v>0</v>
      </c>
      <c r="O436" s="19">
        <f t="shared" si="133"/>
        <v>0</v>
      </c>
      <c r="P436" s="19">
        <f t="shared" si="133"/>
        <v>124</v>
      </c>
      <c r="Q436" s="19">
        <f t="shared" si="133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3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3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6.25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2124</v>
      </c>
      <c r="G439" s="37">
        <f t="shared" ref="G439" si="134">SUM(I439:Q439)-K439-M439-P439</f>
        <v>1450</v>
      </c>
      <c r="H439" s="37">
        <v>2000</v>
      </c>
      <c r="I439" s="36">
        <v>1450</v>
      </c>
      <c r="J439" s="36"/>
      <c r="K439" s="36"/>
      <c r="L439" s="36"/>
      <c r="M439" s="36"/>
      <c r="N439" s="36"/>
      <c r="O439" s="36"/>
      <c r="P439" s="36">
        <v>124</v>
      </c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3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35">
        <v>5348</v>
      </c>
      <c r="B441" s="15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5">SUM(F442:F451)</f>
        <v>23381</v>
      </c>
      <c r="G441" s="19">
        <f t="shared" si="135"/>
        <v>15613</v>
      </c>
      <c r="H441" s="19">
        <f t="shared" si="135"/>
        <v>18000</v>
      </c>
      <c r="I441" s="19">
        <f t="shared" si="135"/>
        <v>13800</v>
      </c>
      <c r="J441" s="19">
        <f t="shared" si="135"/>
        <v>0</v>
      </c>
      <c r="K441" s="19">
        <f t="shared" si="135"/>
        <v>0</v>
      </c>
      <c r="L441" s="19">
        <f t="shared" si="135"/>
        <v>0</v>
      </c>
      <c r="M441" s="19">
        <f t="shared" si="135"/>
        <v>0</v>
      </c>
      <c r="N441" s="19">
        <f t="shared" si="135"/>
        <v>0</v>
      </c>
      <c r="O441" s="19">
        <f t="shared" si="135"/>
        <v>0</v>
      </c>
      <c r="P441" s="19">
        <f t="shared" si="135"/>
        <v>5381</v>
      </c>
      <c r="Q441" s="19">
        <f t="shared" si="135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3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3960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>
        <v>3960</v>
      </c>
      <c r="Q443" s="36"/>
    </row>
    <row r="444" spans="1:22" x14ac:dyDescent="0.2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1124</v>
      </c>
      <c r="G444" s="37">
        <f t="shared" ref="G444" si="136">SUM(I444:Q444)-K444-M444-P444</f>
        <v>1258</v>
      </c>
      <c r="H444" s="37"/>
      <c r="I444" s="36"/>
      <c r="J444" s="36"/>
      <c r="K444" s="36"/>
      <c r="L444" s="36"/>
      <c r="M444" s="36"/>
      <c r="N444" s="36"/>
      <c r="O444" s="36"/>
      <c r="P444" s="36">
        <f>2000-221-559-96</f>
        <v>1124</v>
      </c>
      <c r="Q444" s="36">
        <v>1258</v>
      </c>
      <c r="R444" s="12">
        <v>809</v>
      </c>
      <c r="S444" s="12">
        <v>1124</v>
      </c>
      <c r="T444" s="12">
        <f>S444-R444</f>
        <v>315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3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3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18297</v>
      </c>
      <c r="G447" s="37">
        <f t="shared" ref="G447" si="137">SUM(I447:Q447)-K447-M447-P447</f>
        <v>14355</v>
      </c>
      <c r="H447" s="37">
        <f>20000-2000</f>
        <v>18000</v>
      </c>
      <c r="I447" s="36">
        <v>13800</v>
      </c>
      <c r="J447" s="36"/>
      <c r="K447" s="36"/>
      <c r="L447" s="36"/>
      <c r="M447" s="36"/>
      <c r="N447" s="36"/>
      <c r="O447" s="36"/>
      <c r="P447" s="38">
        <f>1000-500-360+157</f>
        <v>297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3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3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3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3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35">
        <v>5358</v>
      </c>
      <c r="B452" s="15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3"/>
        <v>0</v>
      </c>
      <c r="H452" s="19"/>
      <c r="I452" s="19">
        <f t="shared" ref="I452:Q452" si="138">I453</f>
        <v>0</v>
      </c>
      <c r="J452" s="19">
        <f t="shared" si="138"/>
        <v>0</v>
      </c>
      <c r="K452" s="19"/>
      <c r="L452" s="19">
        <f t="shared" si="138"/>
        <v>0</v>
      </c>
      <c r="M452" s="19"/>
      <c r="N452" s="19">
        <f t="shared" si="138"/>
        <v>0</v>
      </c>
      <c r="O452" s="19">
        <f t="shared" si="138"/>
        <v>0</v>
      </c>
      <c r="P452" s="19"/>
      <c r="Q452" s="19">
        <f t="shared" si="138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3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idden="1" x14ac:dyDescent="0.25">
      <c r="A454" s="35">
        <v>5360</v>
      </c>
      <c r="B454" s="15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3"/>
        <v>0</v>
      </c>
      <c r="H454" s="19"/>
      <c r="I454" s="19">
        <f t="shared" ref="I454:Q454" si="139">I455</f>
        <v>0</v>
      </c>
      <c r="J454" s="19">
        <f t="shared" si="139"/>
        <v>0</v>
      </c>
      <c r="K454" s="19"/>
      <c r="L454" s="19">
        <f t="shared" si="139"/>
        <v>0</v>
      </c>
      <c r="M454" s="19"/>
      <c r="N454" s="19">
        <f t="shared" si="139"/>
        <v>0</v>
      </c>
      <c r="O454" s="19">
        <f t="shared" si="139"/>
        <v>0</v>
      </c>
      <c r="P454" s="19"/>
      <c r="Q454" s="19">
        <f t="shared" si="139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3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x14ac:dyDescent="0.25">
      <c r="A456" s="35">
        <v>5362</v>
      </c>
      <c r="B456" s="15">
        <v>515000</v>
      </c>
      <c r="C456" s="18" t="s">
        <v>391</v>
      </c>
      <c r="D456" s="18"/>
      <c r="E456" s="19">
        <f>E457</f>
        <v>240</v>
      </c>
      <c r="F456" s="19">
        <f t="shared" ref="F456:Q456" si="140">F457</f>
        <v>100</v>
      </c>
      <c r="G456" s="19">
        <f t="shared" si="140"/>
        <v>100</v>
      </c>
      <c r="H456" s="19">
        <f t="shared" si="140"/>
        <v>0</v>
      </c>
      <c r="I456" s="19">
        <f t="shared" si="140"/>
        <v>0</v>
      </c>
      <c r="J456" s="19">
        <f t="shared" si="140"/>
        <v>0</v>
      </c>
      <c r="K456" s="19">
        <f t="shared" si="140"/>
        <v>0</v>
      </c>
      <c r="L456" s="19">
        <f t="shared" si="140"/>
        <v>0</v>
      </c>
      <c r="M456" s="19">
        <f t="shared" si="140"/>
        <v>0</v>
      </c>
      <c r="N456" s="19">
        <f t="shared" si="140"/>
        <v>0</v>
      </c>
      <c r="O456" s="19">
        <f t="shared" si="140"/>
        <v>0</v>
      </c>
      <c r="P456" s="19">
        <f t="shared" si="140"/>
        <v>100</v>
      </c>
      <c r="Q456" s="19">
        <f t="shared" si="140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100</v>
      </c>
      <c r="G457" s="37">
        <f t="shared" si="113"/>
        <v>100</v>
      </c>
      <c r="H457" s="37"/>
      <c r="I457" s="36"/>
      <c r="J457" s="36"/>
      <c r="K457" s="36"/>
      <c r="L457" s="36"/>
      <c r="M457" s="36"/>
      <c r="N457" s="36"/>
      <c r="O457" s="36"/>
      <c r="P457" s="36">
        <v>100</v>
      </c>
      <c r="Q457" s="36"/>
    </row>
    <row r="458" spans="1:17" hidden="1" x14ac:dyDescent="0.25">
      <c r="A458" s="35">
        <v>5364</v>
      </c>
      <c r="B458" s="15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1">SUM(I458:Q458)</f>
        <v>0</v>
      </c>
      <c r="H458" s="19"/>
      <c r="I458" s="19">
        <f t="shared" ref="I458:Q458" si="142">I459+I461+I469</f>
        <v>0</v>
      </c>
      <c r="J458" s="19">
        <f t="shared" si="142"/>
        <v>0</v>
      </c>
      <c r="K458" s="19"/>
      <c r="L458" s="19">
        <f t="shared" si="142"/>
        <v>0</v>
      </c>
      <c r="M458" s="19"/>
      <c r="N458" s="19">
        <f t="shared" si="142"/>
        <v>0</v>
      </c>
      <c r="O458" s="19">
        <f t="shared" si="142"/>
        <v>0</v>
      </c>
      <c r="P458" s="19"/>
      <c r="Q458" s="19">
        <f t="shared" si="142"/>
        <v>0</v>
      </c>
    </row>
    <row r="459" spans="1:17" hidden="1" x14ac:dyDescent="0.25">
      <c r="A459" s="35">
        <v>5365</v>
      </c>
      <c r="B459" s="15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1"/>
        <v>0</v>
      </c>
      <c r="H459" s="19"/>
      <c r="I459" s="19">
        <f t="shared" ref="I459:Q459" si="143">I460</f>
        <v>0</v>
      </c>
      <c r="J459" s="19">
        <f t="shared" si="143"/>
        <v>0</v>
      </c>
      <c r="K459" s="19"/>
      <c r="L459" s="19">
        <f t="shared" si="143"/>
        <v>0</v>
      </c>
      <c r="M459" s="19"/>
      <c r="N459" s="19">
        <f t="shared" si="143"/>
        <v>0</v>
      </c>
      <c r="O459" s="19">
        <f t="shared" si="143"/>
        <v>0</v>
      </c>
      <c r="P459" s="19"/>
      <c r="Q459" s="19">
        <f t="shared" si="143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1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35">
        <v>5367</v>
      </c>
      <c r="B461" s="15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1"/>
        <v>0</v>
      </c>
      <c r="H461" s="19"/>
      <c r="I461" s="19">
        <f t="shared" ref="I461:Q461" si="144">SUM(I462:I468)</f>
        <v>0</v>
      </c>
      <c r="J461" s="19">
        <f t="shared" si="144"/>
        <v>0</v>
      </c>
      <c r="K461" s="19"/>
      <c r="L461" s="19">
        <f t="shared" si="144"/>
        <v>0</v>
      </c>
      <c r="M461" s="19"/>
      <c r="N461" s="19">
        <f t="shared" si="144"/>
        <v>0</v>
      </c>
      <c r="O461" s="19">
        <f t="shared" si="144"/>
        <v>0</v>
      </c>
      <c r="P461" s="19"/>
      <c r="Q461" s="19">
        <f t="shared" si="144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1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34"/>
      <c r="E463" s="542" t="s">
        <v>217</v>
      </c>
      <c r="F463" s="3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34"/>
      <c r="E464" s="542"/>
      <c r="F464" s="34"/>
      <c r="G464" s="544" t="s">
        <v>199</v>
      </c>
      <c r="H464" s="15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15"/>
      <c r="Q464" s="544" t="s">
        <v>8</v>
      </c>
    </row>
    <row r="465" spans="1:17" ht="39" hidden="1" x14ac:dyDescent="0.25">
      <c r="A465" s="542"/>
      <c r="B465" s="543"/>
      <c r="C465" s="542"/>
      <c r="D465" s="34"/>
      <c r="E465" s="542"/>
      <c r="F465" s="34"/>
      <c r="G465" s="545"/>
      <c r="H465" s="46"/>
      <c r="I465" s="15" t="s">
        <v>201</v>
      </c>
      <c r="J465" s="15" t="s">
        <v>10</v>
      </c>
      <c r="K465" s="15"/>
      <c r="L465" s="15" t="s">
        <v>11</v>
      </c>
      <c r="M465" s="15"/>
      <c r="N465" s="15" t="s">
        <v>12</v>
      </c>
      <c r="O465" s="545"/>
      <c r="P465" s="46"/>
      <c r="Q465" s="545"/>
    </row>
    <row r="466" spans="1:17" ht="26.25" hidden="1" x14ac:dyDescent="0.25">
      <c r="A466" s="32" t="s">
        <v>18</v>
      </c>
      <c r="B466" s="32" t="s">
        <v>19</v>
      </c>
      <c r="C466" s="32" t="s">
        <v>20</v>
      </c>
      <c r="D466" s="32"/>
      <c r="E466" s="32" t="s">
        <v>21</v>
      </c>
      <c r="F466" s="32"/>
      <c r="G466" s="32" t="s">
        <v>22</v>
      </c>
      <c r="H466" s="32"/>
      <c r="I466" s="32" t="s">
        <v>23</v>
      </c>
      <c r="J466" s="32" t="s">
        <v>24</v>
      </c>
      <c r="K466" s="32"/>
      <c r="L466" s="32" t="s">
        <v>25</v>
      </c>
      <c r="M466" s="32"/>
      <c r="N466" s="32" t="s">
        <v>26</v>
      </c>
      <c r="O466" s="32" t="s">
        <v>27</v>
      </c>
      <c r="P466" s="32"/>
      <c r="Q466" s="32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1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1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35">
        <v>5371</v>
      </c>
      <c r="B469" s="15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1"/>
        <v>0</v>
      </c>
      <c r="H469" s="19"/>
      <c r="I469" s="19">
        <f t="shared" ref="I469:Q469" si="145">I470</f>
        <v>0</v>
      </c>
      <c r="J469" s="19">
        <f t="shared" si="145"/>
        <v>0</v>
      </c>
      <c r="K469" s="19"/>
      <c r="L469" s="19">
        <f t="shared" si="145"/>
        <v>0</v>
      </c>
      <c r="M469" s="19"/>
      <c r="N469" s="19">
        <f t="shared" si="145"/>
        <v>0</v>
      </c>
      <c r="O469" s="19">
        <f t="shared" si="145"/>
        <v>0</v>
      </c>
      <c r="P469" s="19"/>
      <c r="Q469" s="19">
        <f t="shared" si="145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1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35">
        <v>5373</v>
      </c>
      <c r="B471" s="15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1"/>
        <v>0</v>
      </c>
      <c r="H471" s="19"/>
      <c r="I471" s="19">
        <f t="shared" ref="I471:Q472" si="146">I472</f>
        <v>0</v>
      </c>
      <c r="J471" s="19">
        <f t="shared" si="146"/>
        <v>0</v>
      </c>
      <c r="K471" s="19"/>
      <c r="L471" s="19">
        <f t="shared" si="146"/>
        <v>0</v>
      </c>
      <c r="M471" s="19"/>
      <c r="N471" s="19">
        <f t="shared" si="146"/>
        <v>0</v>
      </c>
      <c r="O471" s="19">
        <f t="shared" si="146"/>
        <v>0</v>
      </c>
      <c r="P471" s="19"/>
      <c r="Q471" s="19">
        <f t="shared" si="146"/>
        <v>0</v>
      </c>
    </row>
    <row r="472" spans="1:17" hidden="1" x14ac:dyDescent="0.25">
      <c r="A472" s="35">
        <v>5374</v>
      </c>
      <c r="B472" s="15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1"/>
        <v>0</v>
      </c>
      <c r="H472" s="19"/>
      <c r="I472" s="19">
        <f t="shared" si="146"/>
        <v>0</v>
      </c>
      <c r="J472" s="19">
        <f t="shared" si="146"/>
        <v>0</v>
      </c>
      <c r="K472" s="19"/>
      <c r="L472" s="19">
        <f t="shared" si="146"/>
        <v>0</v>
      </c>
      <c r="M472" s="19"/>
      <c r="N472" s="19">
        <f t="shared" si="146"/>
        <v>0</v>
      </c>
      <c r="O472" s="19">
        <f t="shared" si="146"/>
        <v>0</v>
      </c>
      <c r="P472" s="19"/>
      <c r="Q472" s="19">
        <f t="shared" si="146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1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35">
        <v>5376</v>
      </c>
      <c r="B474" s="15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1"/>
        <v>0</v>
      </c>
      <c r="H474" s="19"/>
      <c r="I474" s="19">
        <f t="shared" ref="I474:Q474" si="147">I475+I477+I479</f>
        <v>0</v>
      </c>
      <c r="J474" s="19">
        <f t="shared" si="147"/>
        <v>0</v>
      </c>
      <c r="K474" s="19"/>
      <c r="L474" s="19">
        <f t="shared" si="147"/>
        <v>0</v>
      </c>
      <c r="M474" s="19"/>
      <c r="N474" s="19">
        <f t="shared" si="147"/>
        <v>0</v>
      </c>
      <c r="O474" s="19">
        <f t="shared" si="147"/>
        <v>0</v>
      </c>
      <c r="P474" s="19"/>
      <c r="Q474" s="19">
        <f t="shared" si="147"/>
        <v>0</v>
      </c>
    </row>
    <row r="475" spans="1:17" hidden="1" x14ac:dyDescent="0.25">
      <c r="A475" s="35">
        <v>5377</v>
      </c>
      <c r="B475" s="15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1"/>
        <v>0</v>
      </c>
      <c r="H475" s="19"/>
      <c r="I475" s="19">
        <f t="shared" ref="I475:Q475" si="148">I476</f>
        <v>0</v>
      </c>
      <c r="J475" s="19">
        <f t="shared" si="148"/>
        <v>0</v>
      </c>
      <c r="K475" s="19"/>
      <c r="L475" s="19">
        <f t="shared" si="148"/>
        <v>0</v>
      </c>
      <c r="M475" s="19"/>
      <c r="N475" s="19">
        <f t="shared" si="148"/>
        <v>0</v>
      </c>
      <c r="O475" s="19">
        <f t="shared" si="148"/>
        <v>0</v>
      </c>
      <c r="P475" s="19"/>
      <c r="Q475" s="19">
        <f t="shared" si="148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1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35">
        <v>5379</v>
      </c>
      <c r="B477" s="15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1"/>
        <v>0</v>
      </c>
      <c r="H477" s="19"/>
      <c r="I477" s="19">
        <f t="shared" ref="I477:Q477" si="149">I478</f>
        <v>0</v>
      </c>
      <c r="J477" s="19">
        <f t="shared" si="149"/>
        <v>0</v>
      </c>
      <c r="K477" s="19"/>
      <c r="L477" s="19">
        <f t="shared" si="149"/>
        <v>0</v>
      </c>
      <c r="M477" s="19"/>
      <c r="N477" s="19">
        <f t="shared" si="149"/>
        <v>0</v>
      </c>
      <c r="O477" s="19">
        <f t="shared" si="149"/>
        <v>0</v>
      </c>
      <c r="P477" s="19"/>
      <c r="Q477" s="19">
        <f t="shared" si="149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1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35">
        <v>5381</v>
      </c>
      <c r="B479" s="15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1"/>
        <v>0</v>
      </c>
      <c r="H479" s="19"/>
      <c r="I479" s="19">
        <f t="shared" ref="I479:Q479" si="150">I480+I481</f>
        <v>0</v>
      </c>
      <c r="J479" s="19">
        <f t="shared" si="150"/>
        <v>0</v>
      </c>
      <c r="K479" s="19"/>
      <c r="L479" s="19">
        <f t="shared" si="150"/>
        <v>0</v>
      </c>
      <c r="M479" s="19"/>
      <c r="N479" s="19">
        <f t="shared" si="150"/>
        <v>0</v>
      </c>
      <c r="O479" s="19">
        <f t="shared" si="150"/>
        <v>0</v>
      </c>
      <c r="P479" s="19"/>
      <c r="Q479" s="19">
        <f t="shared" si="150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1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1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64.5" hidden="1" x14ac:dyDescent="0.25">
      <c r="A482" s="35">
        <v>5384</v>
      </c>
      <c r="B482" s="15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1"/>
        <v>0</v>
      </c>
      <c r="H482" s="19"/>
      <c r="I482" s="19">
        <f t="shared" ref="I482:Q483" si="151">I483</f>
        <v>0</v>
      </c>
      <c r="J482" s="19">
        <f t="shared" si="151"/>
        <v>0</v>
      </c>
      <c r="K482" s="19"/>
      <c r="L482" s="19">
        <f t="shared" si="151"/>
        <v>0</v>
      </c>
      <c r="M482" s="19"/>
      <c r="N482" s="19">
        <f t="shared" si="151"/>
        <v>0</v>
      </c>
      <c r="O482" s="19">
        <f t="shared" si="151"/>
        <v>0</v>
      </c>
      <c r="P482" s="19"/>
      <c r="Q482" s="19">
        <f t="shared" si="151"/>
        <v>0</v>
      </c>
    </row>
    <row r="483" spans="1:17" ht="64.5" hidden="1" x14ac:dyDescent="0.25">
      <c r="A483" s="35">
        <v>5385</v>
      </c>
      <c r="B483" s="15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1"/>
        <v>0</v>
      </c>
      <c r="H483" s="19"/>
      <c r="I483" s="19">
        <f t="shared" si="151"/>
        <v>0</v>
      </c>
      <c r="J483" s="19">
        <f t="shared" si="151"/>
        <v>0</v>
      </c>
      <c r="K483" s="19"/>
      <c r="L483" s="19">
        <f t="shared" si="151"/>
        <v>0</v>
      </c>
      <c r="M483" s="19"/>
      <c r="N483" s="19">
        <f t="shared" si="151"/>
        <v>0</v>
      </c>
      <c r="O483" s="19">
        <f t="shared" si="151"/>
        <v>0</v>
      </c>
      <c r="P483" s="19"/>
      <c r="Q483" s="19">
        <f t="shared" si="151"/>
        <v>0</v>
      </c>
    </row>
    <row r="484" spans="1:17" ht="39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1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39" hidden="1" x14ac:dyDescent="0.25">
      <c r="A485" s="35">
        <v>5387</v>
      </c>
      <c r="B485" s="15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1"/>
        <v>0</v>
      </c>
      <c r="H485" s="19"/>
      <c r="I485" s="19">
        <f t="shared" ref="I485:Q485" si="152">I486+I515</f>
        <v>0</v>
      </c>
      <c r="J485" s="19">
        <f t="shared" si="152"/>
        <v>0</v>
      </c>
      <c r="K485" s="19"/>
      <c r="L485" s="19">
        <f t="shared" si="152"/>
        <v>0</v>
      </c>
      <c r="M485" s="19"/>
      <c r="N485" s="19">
        <f t="shared" si="152"/>
        <v>0</v>
      </c>
      <c r="O485" s="19">
        <f t="shared" si="152"/>
        <v>0</v>
      </c>
      <c r="P485" s="19"/>
      <c r="Q485" s="19">
        <f t="shared" si="152"/>
        <v>0</v>
      </c>
    </row>
    <row r="486" spans="1:17" ht="26.25" hidden="1" x14ac:dyDescent="0.25">
      <c r="A486" s="35">
        <v>5388</v>
      </c>
      <c r="B486" s="15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1"/>
        <v>0</v>
      </c>
      <c r="H486" s="19"/>
      <c r="I486" s="19">
        <f t="shared" ref="I486:Q486" si="153">I487+I501+I509+I511+I513</f>
        <v>0</v>
      </c>
      <c r="J486" s="19">
        <f t="shared" si="153"/>
        <v>0</v>
      </c>
      <c r="K486" s="19"/>
      <c r="L486" s="19">
        <f t="shared" si="153"/>
        <v>0</v>
      </c>
      <c r="M486" s="19"/>
      <c r="N486" s="19">
        <f t="shared" si="153"/>
        <v>0</v>
      </c>
      <c r="O486" s="19">
        <f t="shared" si="153"/>
        <v>0</v>
      </c>
      <c r="P486" s="19"/>
      <c r="Q486" s="19">
        <f t="shared" si="153"/>
        <v>0</v>
      </c>
    </row>
    <row r="487" spans="1:17" ht="26.25" hidden="1" x14ac:dyDescent="0.25">
      <c r="A487" s="35">
        <v>5389</v>
      </c>
      <c r="B487" s="15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1"/>
        <v>0</v>
      </c>
      <c r="H487" s="19"/>
      <c r="I487" s="19">
        <f t="shared" ref="I487:Q487" si="154">SUM(I488:I500)</f>
        <v>0</v>
      </c>
      <c r="J487" s="19">
        <f t="shared" si="154"/>
        <v>0</v>
      </c>
      <c r="K487" s="19"/>
      <c r="L487" s="19">
        <f t="shared" si="154"/>
        <v>0</v>
      </c>
      <c r="M487" s="19"/>
      <c r="N487" s="19">
        <f t="shared" si="154"/>
        <v>0</v>
      </c>
      <c r="O487" s="19">
        <f t="shared" si="154"/>
        <v>0</v>
      </c>
      <c r="P487" s="19"/>
      <c r="Q487" s="19">
        <f t="shared" si="154"/>
        <v>0</v>
      </c>
    </row>
    <row r="488" spans="1:17" ht="26.25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1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1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26.25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1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34"/>
      <c r="E491" s="542" t="s">
        <v>217</v>
      </c>
      <c r="F491" s="3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34"/>
      <c r="E492" s="542"/>
      <c r="F492" s="34"/>
      <c r="G492" s="544" t="s">
        <v>199</v>
      </c>
      <c r="H492" s="15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15"/>
      <c r="Q492" s="544" t="s">
        <v>8</v>
      </c>
    </row>
    <row r="493" spans="1:17" ht="39" hidden="1" x14ac:dyDescent="0.25">
      <c r="A493" s="542"/>
      <c r="B493" s="543"/>
      <c r="C493" s="542"/>
      <c r="D493" s="34"/>
      <c r="E493" s="542"/>
      <c r="F493" s="34"/>
      <c r="G493" s="545"/>
      <c r="H493" s="46"/>
      <c r="I493" s="15" t="s">
        <v>201</v>
      </c>
      <c r="J493" s="15" t="s">
        <v>10</v>
      </c>
      <c r="K493" s="15"/>
      <c r="L493" s="15" t="s">
        <v>11</v>
      </c>
      <c r="M493" s="15"/>
      <c r="N493" s="15" t="s">
        <v>12</v>
      </c>
      <c r="O493" s="545"/>
      <c r="P493" s="46"/>
      <c r="Q493" s="545"/>
    </row>
    <row r="494" spans="1:17" ht="26.25" hidden="1" x14ac:dyDescent="0.25">
      <c r="A494" s="32" t="s">
        <v>18</v>
      </c>
      <c r="B494" s="32" t="s">
        <v>19</v>
      </c>
      <c r="C494" s="32" t="s">
        <v>20</v>
      </c>
      <c r="D494" s="32"/>
      <c r="E494" s="32" t="s">
        <v>21</v>
      </c>
      <c r="F494" s="32"/>
      <c r="G494" s="32" t="s">
        <v>22</v>
      </c>
      <c r="H494" s="32"/>
      <c r="I494" s="32" t="s">
        <v>23</v>
      </c>
      <c r="J494" s="32" t="s">
        <v>24</v>
      </c>
      <c r="K494" s="32"/>
      <c r="L494" s="32" t="s">
        <v>25</v>
      </c>
      <c r="M494" s="32"/>
      <c r="N494" s="32" t="s">
        <v>26</v>
      </c>
      <c r="O494" s="32" t="s">
        <v>27</v>
      </c>
      <c r="P494" s="32"/>
      <c r="Q494" s="32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1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1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1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1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1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1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26.25" hidden="1" x14ac:dyDescent="0.25">
      <c r="A501" s="35">
        <v>5399</v>
      </c>
      <c r="B501" s="15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1"/>
        <v>0</v>
      </c>
      <c r="H501" s="19"/>
      <c r="I501" s="19">
        <f t="shared" ref="I501:Q501" si="155">SUM(I502:I508)</f>
        <v>0</v>
      </c>
      <c r="J501" s="19">
        <f t="shared" si="155"/>
        <v>0</v>
      </c>
      <c r="K501" s="19"/>
      <c r="L501" s="19">
        <f t="shared" si="155"/>
        <v>0</v>
      </c>
      <c r="M501" s="19"/>
      <c r="N501" s="19">
        <f t="shared" si="155"/>
        <v>0</v>
      </c>
      <c r="O501" s="19">
        <f t="shared" si="155"/>
        <v>0</v>
      </c>
      <c r="P501" s="19"/>
      <c r="Q501" s="19">
        <f t="shared" si="155"/>
        <v>0</v>
      </c>
    </row>
    <row r="502" spans="1:17" ht="39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1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1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1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1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1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1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1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35">
        <v>5407</v>
      </c>
      <c r="B509" s="15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1"/>
        <v>0</v>
      </c>
      <c r="H509" s="19"/>
      <c r="I509" s="19">
        <f t="shared" ref="I509:Q509" si="156">I510</f>
        <v>0</v>
      </c>
      <c r="J509" s="19">
        <f t="shared" si="156"/>
        <v>0</v>
      </c>
      <c r="K509" s="19"/>
      <c r="L509" s="19">
        <f t="shared" si="156"/>
        <v>0</v>
      </c>
      <c r="M509" s="19"/>
      <c r="N509" s="19">
        <f t="shared" si="156"/>
        <v>0</v>
      </c>
      <c r="O509" s="19">
        <f t="shared" si="156"/>
        <v>0</v>
      </c>
      <c r="P509" s="19"/>
      <c r="Q509" s="19">
        <f t="shared" si="156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1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26.25" hidden="1" x14ac:dyDescent="0.25">
      <c r="A511" s="35">
        <v>5409</v>
      </c>
      <c r="B511" s="15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1"/>
        <v>0</v>
      </c>
      <c r="H511" s="19"/>
      <c r="I511" s="19">
        <f t="shared" ref="I511:Q513" si="157">I512</f>
        <v>0</v>
      </c>
      <c r="J511" s="19">
        <f t="shared" si="157"/>
        <v>0</v>
      </c>
      <c r="K511" s="19"/>
      <c r="L511" s="19">
        <f t="shared" si="157"/>
        <v>0</v>
      </c>
      <c r="M511" s="19"/>
      <c r="N511" s="19">
        <f t="shared" si="157"/>
        <v>0</v>
      </c>
      <c r="O511" s="19">
        <f t="shared" si="157"/>
        <v>0</v>
      </c>
      <c r="P511" s="19"/>
      <c r="Q511" s="19">
        <f t="shared" si="157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1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35">
        <v>5411</v>
      </c>
      <c r="B513" s="15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1"/>
        <v>0</v>
      </c>
      <c r="H513" s="19"/>
      <c r="I513" s="19">
        <f t="shared" si="157"/>
        <v>0</v>
      </c>
      <c r="J513" s="19">
        <f t="shared" si="157"/>
        <v>0</v>
      </c>
      <c r="K513" s="19"/>
      <c r="L513" s="19">
        <f t="shared" si="157"/>
        <v>0</v>
      </c>
      <c r="M513" s="19"/>
      <c r="N513" s="19">
        <f t="shared" si="157"/>
        <v>0</v>
      </c>
      <c r="O513" s="19">
        <f t="shared" si="157"/>
        <v>0</v>
      </c>
      <c r="P513" s="19"/>
      <c r="Q513" s="19">
        <f t="shared" si="157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1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35">
        <v>5413</v>
      </c>
      <c r="B515" s="15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1"/>
        <v>0</v>
      </c>
      <c r="H515" s="19"/>
      <c r="I515" s="19">
        <f t="shared" ref="I515:Q515" si="158">I516+I530+I539</f>
        <v>0</v>
      </c>
      <c r="J515" s="19">
        <f t="shared" si="158"/>
        <v>0</v>
      </c>
      <c r="K515" s="19"/>
      <c r="L515" s="19">
        <f t="shared" si="158"/>
        <v>0</v>
      </c>
      <c r="M515" s="19"/>
      <c r="N515" s="19">
        <f t="shared" si="158"/>
        <v>0</v>
      </c>
      <c r="O515" s="19">
        <f t="shared" si="158"/>
        <v>0</v>
      </c>
      <c r="P515" s="19"/>
      <c r="Q515" s="19">
        <f t="shared" si="158"/>
        <v>0</v>
      </c>
    </row>
    <row r="516" spans="1:17" ht="39" hidden="1" x14ac:dyDescent="0.25">
      <c r="A516" s="35">
        <v>5414</v>
      </c>
      <c r="B516" s="15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1"/>
        <v>0</v>
      </c>
      <c r="H516" s="19"/>
      <c r="I516" s="19">
        <f t="shared" ref="I516:Q516" si="159">SUM(I517:I529)</f>
        <v>0</v>
      </c>
      <c r="J516" s="19">
        <f t="shared" si="159"/>
        <v>0</v>
      </c>
      <c r="K516" s="19"/>
      <c r="L516" s="19">
        <f t="shared" si="159"/>
        <v>0</v>
      </c>
      <c r="M516" s="19"/>
      <c r="N516" s="19">
        <f t="shared" si="159"/>
        <v>0</v>
      </c>
      <c r="O516" s="19">
        <f t="shared" si="159"/>
        <v>0</v>
      </c>
      <c r="P516" s="19"/>
      <c r="Q516" s="19">
        <f t="shared" si="159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1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34"/>
      <c r="E518" s="542" t="s">
        <v>217</v>
      </c>
      <c r="F518" s="3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34"/>
      <c r="E519" s="542"/>
      <c r="F519" s="34"/>
      <c r="G519" s="544" t="s">
        <v>199</v>
      </c>
      <c r="H519" s="15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15"/>
      <c r="Q519" s="544" t="s">
        <v>8</v>
      </c>
    </row>
    <row r="520" spans="1:17" ht="39" hidden="1" x14ac:dyDescent="0.25">
      <c r="A520" s="542"/>
      <c r="B520" s="543"/>
      <c r="C520" s="542"/>
      <c r="D520" s="34"/>
      <c r="E520" s="542"/>
      <c r="F520" s="34"/>
      <c r="G520" s="545"/>
      <c r="H520" s="46"/>
      <c r="I520" s="15" t="s">
        <v>201</v>
      </c>
      <c r="J520" s="15" t="s">
        <v>10</v>
      </c>
      <c r="K520" s="15"/>
      <c r="L520" s="15" t="s">
        <v>11</v>
      </c>
      <c r="M520" s="15"/>
      <c r="N520" s="15" t="s">
        <v>12</v>
      </c>
      <c r="O520" s="545"/>
      <c r="P520" s="46"/>
      <c r="Q520" s="545"/>
    </row>
    <row r="521" spans="1:17" ht="26.25" hidden="1" x14ac:dyDescent="0.25">
      <c r="A521" s="32" t="s">
        <v>18</v>
      </c>
      <c r="B521" s="32" t="s">
        <v>19</v>
      </c>
      <c r="C521" s="32" t="s">
        <v>20</v>
      </c>
      <c r="D521" s="32"/>
      <c r="E521" s="32" t="s">
        <v>21</v>
      </c>
      <c r="F521" s="32"/>
      <c r="G521" s="32" t="s">
        <v>22</v>
      </c>
      <c r="H521" s="32"/>
      <c r="I521" s="32" t="s">
        <v>23</v>
      </c>
      <c r="J521" s="32" t="s">
        <v>24</v>
      </c>
      <c r="K521" s="32"/>
      <c r="L521" s="32" t="s">
        <v>25</v>
      </c>
      <c r="M521" s="32"/>
      <c r="N521" s="32" t="s">
        <v>26</v>
      </c>
      <c r="O521" s="32" t="s">
        <v>27</v>
      </c>
      <c r="P521" s="32"/>
      <c r="Q521" s="32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1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1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1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26.25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1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1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1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26.25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1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1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26.25" hidden="1" x14ac:dyDescent="0.25">
      <c r="A530" s="35">
        <v>5424</v>
      </c>
      <c r="B530" s="15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1"/>
        <v>0</v>
      </c>
      <c r="H530" s="19"/>
      <c r="I530" s="19">
        <f t="shared" ref="I530:Q530" si="160">SUM(I531:I538)</f>
        <v>0</v>
      </c>
      <c r="J530" s="19">
        <f t="shared" si="160"/>
        <v>0</v>
      </c>
      <c r="K530" s="19"/>
      <c r="L530" s="19">
        <f t="shared" si="160"/>
        <v>0</v>
      </c>
      <c r="M530" s="19"/>
      <c r="N530" s="19">
        <f t="shared" si="160"/>
        <v>0</v>
      </c>
      <c r="O530" s="19">
        <f t="shared" si="160"/>
        <v>0</v>
      </c>
      <c r="P530" s="19"/>
      <c r="Q530" s="19">
        <f t="shared" si="160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1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1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1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1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1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1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1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1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64.5" hidden="1" x14ac:dyDescent="0.25">
      <c r="A539" s="35">
        <v>5433</v>
      </c>
      <c r="B539" s="15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1"/>
        <v>0</v>
      </c>
      <c r="H539" s="19"/>
      <c r="I539" s="19">
        <f t="shared" ref="I539:Q539" si="162">I540</f>
        <v>0</v>
      </c>
      <c r="J539" s="19">
        <f t="shared" si="162"/>
        <v>0</v>
      </c>
      <c r="K539" s="19"/>
      <c r="L539" s="19">
        <f t="shared" si="162"/>
        <v>0</v>
      </c>
      <c r="M539" s="19"/>
      <c r="N539" s="19">
        <f t="shared" si="162"/>
        <v>0</v>
      </c>
      <c r="O539" s="19">
        <f t="shared" si="162"/>
        <v>0</v>
      </c>
      <c r="P539" s="19"/>
      <c r="Q539" s="19">
        <f t="shared" si="162"/>
        <v>0</v>
      </c>
    </row>
    <row r="540" spans="1:17" ht="39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1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35">
        <v>5435</v>
      </c>
      <c r="B541" s="23"/>
      <c r="C541" s="18" t="s">
        <v>462</v>
      </c>
      <c r="D541" s="18"/>
      <c r="E541" s="19">
        <f t="shared" ref="E541:Q541" si="163">E219+E485</f>
        <v>1500538</v>
      </c>
      <c r="F541" s="19">
        <f t="shared" si="163"/>
        <v>1484200</v>
      </c>
      <c r="G541" s="19">
        <f t="shared" si="163"/>
        <v>1428216</v>
      </c>
      <c r="H541" s="19">
        <f t="shared" si="163"/>
        <v>22238</v>
      </c>
      <c r="I541" s="19">
        <f t="shared" si="163"/>
        <v>17657</v>
      </c>
      <c r="J541" s="19">
        <f t="shared" si="163"/>
        <v>0</v>
      </c>
      <c r="K541" s="19">
        <f t="shared" si="163"/>
        <v>1000</v>
      </c>
      <c r="L541" s="19">
        <f t="shared" si="163"/>
        <v>1273</v>
      </c>
      <c r="M541" s="19">
        <f t="shared" si="163"/>
        <v>1443921</v>
      </c>
      <c r="N541" s="19">
        <f t="shared" si="163"/>
        <v>1398024</v>
      </c>
      <c r="O541" s="19">
        <f t="shared" si="163"/>
        <v>0</v>
      </c>
      <c r="P541" s="19">
        <f t="shared" si="163"/>
        <v>17041</v>
      </c>
      <c r="Q541" s="19">
        <f t="shared" si="163"/>
        <v>11162</v>
      </c>
    </row>
    <row r="542" spans="1:17" hidden="1" x14ac:dyDescent="0.25"/>
    <row r="543" spans="1:17" hidden="1" x14ac:dyDescent="0.25">
      <c r="F543" s="44">
        <f>F210-F541</f>
        <v>-5279</v>
      </c>
      <c r="G543" s="44"/>
      <c r="H543" s="44">
        <f>H210-H541</f>
        <v>-1038</v>
      </c>
      <c r="I543" s="44"/>
      <c r="J543" s="44">
        <f>J210-J541</f>
        <v>0</v>
      </c>
      <c r="K543" s="44">
        <f>K210-K541</f>
        <v>0</v>
      </c>
      <c r="L543" s="44"/>
      <c r="M543" s="44">
        <f>M210-M541</f>
        <v>0</v>
      </c>
      <c r="N543" s="44"/>
      <c r="O543" s="44">
        <f>O210-O541</f>
        <v>0</v>
      </c>
      <c r="P543" s="60">
        <f>P210-P541</f>
        <v>-4241</v>
      </c>
      <c r="Q543" s="44" t="s">
        <v>469</v>
      </c>
    </row>
    <row r="544" spans="1:17" hidden="1" x14ac:dyDescent="0.25"/>
    <row r="545" spans="1:16" hidden="1" x14ac:dyDescent="0.25"/>
    <row r="546" spans="1:16" hidden="1" x14ac:dyDescent="0.25">
      <c r="K546" s="12" t="s">
        <v>463</v>
      </c>
      <c r="L546" s="44">
        <v>50421</v>
      </c>
      <c r="M546" s="44">
        <f>M249+M251+M252+M253+M257+M264+M265+M266+M267+M269+M274+M278+M281+M282+M284+M285+M287+M289+M312+M313</f>
        <v>50421</v>
      </c>
      <c r="N546" s="44">
        <f>L546-M546</f>
        <v>0</v>
      </c>
    </row>
    <row r="547" spans="1:16" s="127" customFormat="1" ht="24.75" hidden="1" customHeight="1" x14ac:dyDescent="0.25">
      <c r="A547" s="531" t="s">
        <v>509</v>
      </c>
      <c r="B547" s="532"/>
      <c r="C547" s="533"/>
      <c r="D547" s="124"/>
      <c r="E547" s="125"/>
      <c r="F547" s="125">
        <f>F210-F541</f>
        <v>-5279</v>
      </c>
      <c r="G547" s="125"/>
      <c r="H547" s="125">
        <f>H210-H541</f>
        <v>-1038</v>
      </c>
      <c r="I547" s="125">
        <f t="shared" ref="I547:P547" si="164">I210-I541</f>
        <v>1081</v>
      </c>
      <c r="J547" s="125">
        <f t="shared" si="164"/>
        <v>0</v>
      </c>
      <c r="K547" s="126">
        <f t="shared" si="164"/>
        <v>0</v>
      </c>
      <c r="L547" s="126">
        <f t="shared" si="164"/>
        <v>-768</v>
      </c>
      <c r="M547" s="126">
        <f t="shared" si="164"/>
        <v>0</v>
      </c>
      <c r="N547" s="125">
        <f t="shared" si="164"/>
        <v>168</v>
      </c>
      <c r="O547" s="125">
        <f t="shared" si="164"/>
        <v>0</v>
      </c>
      <c r="P547" s="125">
        <f t="shared" si="164"/>
        <v>-4241</v>
      </c>
    </row>
    <row r="549" spans="1:16" x14ac:dyDescent="0.25">
      <c r="M549" s="65">
        <f>M249+M251+M252+M253+M257+M264+M265+M266+M267+M269+M274+M278+M281+M282+M284+M285+M287+M289+M312+M313</f>
        <v>50421</v>
      </c>
    </row>
  </sheetData>
  <mergeCells count="187">
    <mergeCell ref="G3:G4"/>
    <mergeCell ref="O3:O4"/>
    <mergeCell ref="P3:P4"/>
    <mergeCell ref="Q3:Q4"/>
    <mergeCell ref="F2:Q2"/>
    <mergeCell ref="A2:A4"/>
    <mergeCell ref="B2:B4"/>
    <mergeCell ref="C2:C4"/>
    <mergeCell ref="D2:D4"/>
    <mergeCell ref="E2:E4"/>
    <mergeCell ref="A11:A13"/>
    <mergeCell ref="B11:B13"/>
    <mergeCell ref="C11:C13"/>
    <mergeCell ref="E11:E13"/>
    <mergeCell ref="G11:Q11"/>
    <mergeCell ref="G12:G13"/>
    <mergeCell ref="I12:N12"/>
    <mergeCell ref="O12:O13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6:F217"/>
    <mergeCell ref="G216:G217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547:C547"/>
    <mergeCell ref="H216:N216"/>
    <mergeCell ref="F215:Q215"/>
    <mergeCell ref="H3:N3"/>
    <mergeCell ref="F3:F4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463:A465"/>
  </mergeCells>
  <dataValidations count="1">
    <dataValidation type="whole" allowBlank="1" showErrorMessage="1" errorTitle="Upozorenje" error="Niste uneli korektnu vrednost!_x000a_Ponovite unos." sqref="E495:Q517 E432:Q462 E15:Q42 E47:Q69 E159:Q180 E185:Q202 E207:Q211 E6:Q10 E74:E99 G74:Q99 G122:Q127 G132:Q154 E132:E154 E274:Q318 E238:Q269 E219:Q233 E522:Q541 E404:Q427 E323:Q348 E353:Q374 E379:Q399 E467:Q490 G104:Q119 G120:M121 E104:E127 F74:F154">
      <formula1>0</formula1>
      <formula2>999999999</formula2>
    </dataValidation>
  </dataValidations>
  <pageMargins left="0.16" right="0.21" top="0.72" bottom="0.75" header="0.24" footer="0.56999999999999995"/>
  <pageSetup paperSize="9" orientation="portrait" verticalDpi="4294967295" r:id="rId1"/>
  <headerFooter>
    <oddHeader>&amp;CФИНАНСИЈСКИ ПЛАН ОПШТЕ БОЛНИЦЕ ПИРОТ ЗА 2022. ГОДИНУ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1"/>
  <sheetViews>
    <sheetView workbookViewId="0">
      <selection activeCell="M288" sqref="M1:M1048576"/>
    </sheetView>
  </sheetViews>
  <sheetFormatPr defaultRowHeight="12.75" customHeight="1" x14ac:dyDescent="0.25"/>
  <cols>
    <col min="1" max="1" width="5.85546875" style="80" customWidth="1"/>
    <col min="2" max="2" width="6.85546875" style="80" customWidth="1"/>
    <col min="3" max="3" width="64.28515625" style="80" customWidth="1"/>
    <col min="4" max="4" width="10.28515625" style="80" customWidth="1"/>
    <col min="5" max="5" width="10.5703125" style="80" customWidth="1"/>
    <col min="6" max="6" width="8.5703125" style="80" customWidth="1"/>
    <col min="7" max="7" width="8.7109375" style="80" hidden="1" customWidth="1"/>
    <col min="8" max="9" width="9.140625" style="80"/>
    <col min="10" max="10" width="0" style="80" hidden="1" customWidth="1"/>
    <col min="11" max="11" width="9.140625" style="80"/>
    <col min="12" max="12" width="9.85546875" style="115" customWidth="1"/>
    <col min="13" max="16384" width="9.140625" style="80"/>
  </cols>
  <sheetData>
    <row r="1" spans="1:12" ht="12.75" customHeight="1" x14ac:dyDescent="0.25">
      <c r="A1" s="78" t="s">
        <v>513</v>
      </c>
      <c r="B1" s="78"/>
      <c r="C1" s="78"/>
      <c r="D1" s="78"/>
      <c r="E1" s="78"/>
    </row>
    <row r="2" spans="1:12" ht="12.75" customHeight="1" x14ac:dyDescent="0.25">
      <c r="A2" s="116" t="s">
        <v>544</v>
      </c>
      <c r="B2" s="79"/>
      <c r="C2" s="79"/>
      <c r="D2" s="79"/>
      <c r="E2" s="79"/>
    </row>
    <row r="3" spans="1:12" ht="12.75" customHeight="1" x14ac:dyDescent="0.25">
      <c r="A3" s="92" t="s">
        <v>514</v>
      </c>
    </row>
    <row r="4" spans="1:12" ht="12.75" customHeight="1" thickBot="1" x14ac:dyDescent="0.3">
      <c r="A4" s="117"/>
      <c r="K4" s="118" t="s">
        <v>196</v>
      </c>
    </row>
    <row r="5" spans="1:12" ht="12.75" customHeight="1" x14ac:dyDescent="0.25">
      <c r="A5" s="572" t="s">
        <v>0</v>
      </c>
      <c r="B5" s="574" t="s">
        <v>1</v>
      </c>
      <c r="C5" s="574" t="s">
        <v>2</v>
      </c>
      <c r="D5" s="574" t="s">
        <v>3</v>
      </c>
      <c r="E5" s="574" t="s">
        <v>4</v>
      </c>
      <c r="F5" s="574"/>
      <c r="G5" s="574"/>
      <c r="H5" s="574"/>
      <c r="I5" s="574"/>
      <c r="J5" s="574"/>
      <c r="K5" s="577"/>
      <c r="L5" s="578" t="s">
        <v>530</v>
      </c>
    </row>
    <row r="6" spans="1:12" ht="12.75" customHeight="1" x14ac:dyDescent="0.25">
      <c r="A6" s="573"/>
      <c r="B6" s="575"/>
      <c r="C6" s="576"/>
      <c r="D6" s="575"/>
      <c r="E6" s="581" t="s">
        <v>5</v>
      </c>
      <c r="F6" s="575" t="s">
        <v>6</v>
      </c>
      <c r="G6" s="575"/>
      <c r="H6" s="575"/>
      <c r="I6" s="575"/>
      <c r="J6" s="575" t="s">
        <v>7</v>
      </c>
      <c r="K6" s="582" t="s">
        <v>8</v>
      </c>
      <c r="L6" s="579"/>
    </row>
    <row r="7" spans="1:12" ht="12.75" customHeight="1" x14ac:dyDescent="0.25">
      <c r="A7" s="573"/>
      <c r="B7" s="575"/>
      <c r="C7" s="576"/>
      <c r="D7" s="575"/>
      <c r="E7" s="581"/>
      <c r="F7" s="224" t="s">
        <v>9</v>
      </c>
      <c r="G7" s="224" t="s">
        <v>10</v>
      </c>
      <c r="H7" s="224" t="s">
        <v>11</v>
      </c>
      <c r="I7" s="224" t="s">
        <v>12</v>
      </c>
      <c r="J7" s="575"/>
      <c r="K7" s="582"/>
      <c r="L7" s="580"/>
    </row>
    <row r="8" spans="1:12" ht="12.75" customHeight="1" x14ac:dyDescent="0.25">
      <c r="A8" s="226">
        <v>1</v>
      </c>
      <c r="B8" s="224">
        <v>2</v>
      </c>
      <c r="C8" s="224">
        <v>3</v>
      </c>
      <c r="D8" s="224">
        <v>4</v>
      </c>
      <c r="E8" s="224">
        <v>5</v>
      </c>
      <c r="F8" s="224">
        <v>6</v>
      </c>
      <c r="G8" s="224">
        <v>7</v>
      </c>
      <c r="H8" s="224">
        <v>8</v>
      </c>
      <c r="I8" s="224">
        <v>9</v>
      </c>
      <c r="J8" s="224">
        <v>10</v>
      </c>
      <c r="K8" s="225">
        <v>11</v>
      </c>
      <c r="L8" s="227" t="s">
        <v>531</v>
      </c>
    </row>
    <row r="9" spans="1:12" ht="12.75" customHeight="1" x14ac:dyDescent="0.25">
      <c r="A9" s="81">
        <v>5001</v>
      </c>
      <c r="B9" s="224"/>
      <c r="C9" s="82" t="s">
        <v>13</v>
      </c>
      <c r="D9" s="100">
        <f>D10+D134</f>
        <v>1522451</v>
      </c>
      <c r="E9" s="100">
        <f t="shared" ref="E9:E72" si="0">SUM(F9:K9)</f>
        <v>1153554</v>
      </c>
      <c r="F9" s="100">
        <f t="shared" ref="F9:K9" si="1">F10+F134</f>
        <v>11653</v>
      </c>
      <c r="G9" s="100">
        <f t="shared" si="1"/>
        <v>0</v>
      </c>
      <c r="H9" s="100">
        <f t="shared" si="1"/>
        <v>0</v>
      </c>
      <c r="I9" s="100">
        <f t="shared" si="1"/>
        <v>1132192</v>
      </c>
      <c r="J9" s="100">
        <f t="shared" si="1"/>
        <v>0</v>
      </c>
      <c r="K9" s="101">
        <f t="shared" si="1"/>
        <v>9709</v>
      </c>
      <c r="L9" s="137">
        <f>E9/D9</f>
        <v>0.75769532155714703</v>
      </c>
    </row>
    <row r="10" spans="1:12" ht="12.75" customHeight="1" x14ac:dyDescent="0.25">
      <c r="A10" s="81">
        <v>5002</v>
      </c>
      <c r="B10" s="224">
        <v>700000</v>
      </c>
      <c r="C10" s="82" t="s">
        <v>532</v>
      </c>
      <c r="D10" s="100">
        <f>D11+D63+D77+D89+D118+D123+D127</f>
        <v>1522196</v>
      </c>
      <c r="E10" s="100">
        <f t="shared" si="0"/>
        <v>1153299</v>
      </c>
      <c r="F10" s="100">
        <f t="shared" ref="F10:K10" si="2">F11+F63+F77+F89+F118+F123+F127</f>
        <v>11653</v>
      </c>
      <c r="G10" s="100">
        <f t="shared" si="2"/>
        <v>0</v>
      </c>
      <c r="H10" s="100">
        <f t="shared" si="2"/>
        <v>0</v>
      </c>
      <c r="I10" s="100">
        <f t="shared" si="2"/>
        <v>1132192</v>
      </c>
      <c r="J10" s="100">
        <f t="shared" si="2"/>
        <v>0</v>
      </c>
      <c r="K10" s="101">
        <f t="shared" si="2"/>
        <v>9454</v>
      </c>
      <c r="L10" s="137">
        <f t="shared" ref="L10:L73" si="3">E10/D10</f>
        <v>0.75765473040265507</v>
      </c>
    </row>
    <row r="11" spans="1:12" ht="16.5" hidden="1" customHeight="1" x14ac:dyDescent="0.25">
      <c r="A11" s="226">
        <v>5003</v>
      </c>
      <c r="B11" s="224">
        <v>710000</v>
      </c>
      <c r="C11" s="82" t="s">
        <v>15</v>
      </c>
      <c r="D11" s="102">
        <f>D12+D20+D22+D29+D35+D42+D45+D56</f>
        <v>0</v>
      </c>
      <c r="E11" s="102">
        <f t="shared" si="0"/>
        <v>0</v>
      </c>
      <c r="F11" s="102">
        <f t="shared" ref="F11:K11" si="4">F12+F20+F22+F29+F35+F42+F45+F56</f>
        <v>0</v>
      </c>
      <c r="G11" s="102">
        <f t="shared" si="4"/>
        <v>0</v>
      </c>
      <c r="H11" s="102">
        <f t="shared" si="4"/>
        <v>0</v>
      </c>
      <c r="I11" s="102">
        <f t="shared" si="4"/>
        <v>0</v>
      </c>
      <c r="J11" s="102">
        <f t="shared" si="4"/>
        <v>0</v>
      </c>
      <c r="K11" s="103">
        <f t="shared" si="4"/>
        <v>0</v>
      </c>
      <c r="L11" s="137" t="e">
        <f t="shared" si="3"/>
        <v>#DIV/0!</v>
      </c>
    </row>
    <row r="12" spans="1:12" ht="16.5" hidden="1" customHeight="1" x14ac:dyDescent="0.25">
      <c r="A12" s="226">
        <v>5004</v>
      </c>
      <c r="B12" s="224">
        <v>711000</v>
      </c>
      <c r="C12" s="82" t="s">
        <v>16</v>
      </c>
      <c r="D12" s="102">
        <f>SUM(D13:D19)</f>
        <v>0</v>
      </c>
      <c r="E12" s="102">
        <f t="shared" si="0"/>
        <v>0</v>
      </c>
      <c r="F12" s="102">
        <f t="shared" ref="F12:K12" si="5">SUM(F13:F19)</f>
        <v>0</v>
      </c>
      <c r="G12" s="102">
        <f t="shared" si="5"/>
        <v>0</v>
      </c>
      <c r="H12" s="102">
        <f t="shared" si="5"/>
        <v>0</v>
      </c>
      <c r="I12" s="102">
        <f t="shared" si="5"/>
        <v>0</v>
      </c>
      <c r="J12" s="102">
        <f t="shared" si="5"/>
        <v>0</v>
      </c>
      <c r="K12" s="103">
        <f t="shared" si="5"/>
        <v>0</v>
      </c>
      <c r="L12" s="137" t="e">
        <f t="shared" si="3"/>
        <v>#DIV/0!</v>
      </c>
    </row>
    <row r="13" spans="1:12" ht="16.5" hidden="1" customHeight="1" x14ac:dyDescent="0.25">
      <c r="A13" s="83">
        <v>5005</v>
      </c>
      <c r="B13" s="229">
        <v>711100</v>
      </c>
      <c r="C13" s="84" t="s">
        <v>17</v>
      </c>
      <c r="D13" s="104"/>
      <c r="E13" s="104">
        <f t="shared" si="0"/>
        <v>0</v>
      </c>
      <c r="F13" s="104"/>
      <c r="G13" s="104"/>
      <c r="H13" s="104"/>
      <c r="I13" s="104"/>
      <c r="J13" s="104"/>
      <c r="K13" s="105"/>
      <c r="L13" s="137" t="e">
        <f t="shared" si="3"/>
        <v>#DIV/0!</v>
      </c>
    </row>
    <row r="14" spans="1:12" ht="16.5" hidden="1" customHeight="1" x14ac:dyDescent="0.25">
      <c r="A14" s="583" t="s">
        <v>0</v>
      </c>
      <c r="B14" s="584" t="s">
        <v>1</v>
      </c>
      <c r="C14" s="585" t="s">
        <v>2</v>
      </c>
      <c r="D14" s="575" t="s">
        <v>3</v>
      </c>
      <c r="E14" s="575" t="s">
        <v>4</v>
      </c>
      <c r="F14" s="575"/>
      <c r="G14" s="575"/>
      <c r="H14" s="575"/>
      <c r="I14" s="575"/>
      <c r="J14" s="575"/>
      <c r="K14" s="582"/>
      <c r="L14" s="137" t="e">
        <f t="shared" si="3"/>
        <v>#VALUE!</v>
      </c>
    </row>
    <row r="15" spans="1:12" ht="16.5" hidden="1" customHeight="1" x14ac:dyDescent="0.25">
      <c r="A15" s="583"/>
      <c r="B15" s="584"/>
      <c r="C15" s="585"/>
      <c r="D15" s="575"/>
      <c r="E15" s="581" t="s">
        <v>5</v>
      </c>
      <c r="F15" s="575" t="s">
        <v>6</v>
      </c>
      <c r="G15" s="575"/>
      <c r="H15" s="575"/>
      <c r="I15" s="575"/>
      <c r="J15" s="575" t="s">
        <v>7</v>
      </c>
      <c r="K15" s="582" t="s">
        <v>8</v>
      </c>
      <c r="L15" s="137" t="e">
        <f t="shared" si="3"/>
        <v>#VALUE!</v>
      </c>
    </row>
    <row r="16" spans="1:12" ht="16.5" hidden="1" customHeight="1" x14ac:dyDescent="0.25">
      <c r="A16" s="583"/>
      <c r="B16" s="584"/>
      <c r="C16" s="585"/>
      <c r="D16" s="575"/>
      <c r="E16" s="581"/>
      <c r="F16" s="224" t="s">
        <v>9</v>
      </c>
      <c r="G16" s="224" t="s">
        <v>10</v>
      </c>
      <c r="H16" s="224" t="s">
        <v>11</v>
      </c>
      <c r="I16" s="224" t="s">
        <v>12</v>
      </c>
      <c r="J16" s="575"/>
      <c r="K16" s="582"/>
      <c r="L16" s="137" t="e">
        <f t="shared" si="3"/>
        <v>#DIV/0!</v>
      </c>
    </row>
    <row r="17" spans="1:12" ht="16.5" hidden="1" customHeight="1" x14ac:dyDescent="0.25">
      <c r="A17" s="85" t="s">
        <v>18</v>
      </c>
      <c r="B17" s="223" t="s">
        <v>19</v>
      </c>
      <c r="C17" s="223" t="s">
        <v>20</v>
      </c>
      <c r="D17" s="86" t="s">
        <v>21</v>
      </c>
      <c r="E17" s="86" t="s">
        <v>22</v>
      </c>
      <c r="F17" s="86" t="s">
        <v>23</v>
      </c>
      <c r="G17" s="86" t="s">
        <v>24</v>
      </c>
      <c r="H17" s="86" t="s">
        <v>25</v>
      </c>
      <c r="I17" s="86" t="s">
        <v>26</v>
      </c>
      <c r="J17" s="86" t="s">
        <v>27</v>
      </c>
      <c r="K17" s="98" t="s">
        <v>28</v>
      </c>
      <c r="L17" s="137">
        <f t="shared" si="3"/>
        <v>1.25</v>
      </c>
    </row>
    <row r="18" spans="1:12" ht="16.5" hidden="1" customHeight="1" x14ac:dyDescent="0.25">
      <c r="A18" s="83">
        <v>5006</v>
      </c>
      <c r="B18" s="229">
        <v>711200</v>
      </c>
      <c r="C18" s="84" t="s">
        <v>29</v>
      </c>
      <c r="D18" s="106"/>
      <c r="E18" s="106">
        <f t="shared" si="0"/>
        <v>0</v>
      </c>
      <c r="F18" s="106"/>
      <c r="G18" s="106"/>
      <c r="H18" s="106"/>
      <c r="I18" s="106"/>
      <c r="J18" s="106"/>
      <c r="K18" s="107"/>
      <c r="L18" s="137" t="e">
        <f t="shared" si="3"/>
        <v>#DIV/0!</v>
      </c>
    </row>
    <row r="19" spans="1:12" ht="16.5" hidden="1" customHeight="1" x14ac:dyDescent="0.25">
      <c r="A19" s="83">
        <v>5007</v>
      </c>
      <c r="B19" s="229">
        <v>711300</v>
      </c>
      <c r="C19" s="84" t="s">
        <v>30</v>
      </c>
      <c r="D19" s="106"/>
      <c r="E19" s="106">
        <f t="shared" si="0"/>
        <v>0</v>
      </c>
      <c r="F19" s="106"/>
      <c r="G19" s="106"/>
      <c r="H19" s="106"/>
      <c r="I19" s="106"/>
      <c r="J19" s="106"/>
      <c r="K19" s="107"/>
      <c r="L19" s="137" t="e">
        <f t="shared" si="3"/>
        <v>#DIV/0!</v>
      </c>
    </row>
    <row r="20" spans="1:12" ht="16.5" hidden="1" customHeight="1" x14ac:dyDescent="0.25">
      <c r="A20" s="226">
        <v>5008</v>
      </c>
      <c r="B20" s="224">
        <v>712000</v>
      </c>
      <c r="C20" s="82" t="s">
        <v>31</v>
      </c>
      <c r="D20" s="102">
        <f>D21</f>
        <v>0</v>
      </c>
      <c r="E20" s="102">
        <f t="shared" si="0"/>
        <v>0</v>
      </c>
      <c r="F20" s="102">
        <f t="shared" ref="F20:K20" si="6">F21</f>
        <v>0</v>
      </c>
      <c r="G20" s="102">
        <f t="shared" si="6"/>
        <v>0</v>
      </c>
      <c r="H20" s="102">
        <f t="shared" si="6"/>
        <v>0</v>
      </c>
      <c r="I20" s="102">
        <f t="shared" si="6"/>
        <v>0</v>
      </c>
      <c r="J20" s="102">
        <f t="shared" si="6"/>
        <v>0</v>
      </c>
      <c r="K20" s="103">
        <f t="shared" si="6"/>
        <v>0</v>
      </c>
      <c r="L20" s="137" t="e">
        <f t="shared" si="3"/>
        <v>#DIV/0!</v>
      </c>
    </row>
    <row r="21" spans="1:12" ht="16.5" hidden="1" customHeight="1" x14ac:dyDescent="0.25">
      <c r="A21" s="83">
        <v>5009</v>
      </c>
      <c r="B21" s="229">
        <v>712100</v>
      </c>
      <c r="C21" s="84" t="s">
        <v>32</v>
      </c>
      <c r="D21" s="106"/>
      <c r="E21" s="106">
        <f t="shared" si="0"/>
        <v>0</v>
      </c>
      <c r="F21" s="106"/>
      <c r="G21" s="106"/>
      <c r="H21" s="106"/>
      <c r="I21" s="106"/>
      <c r="J21" s="106"/>
      <c r="K21" s="107"/>
      <c r="L21" s="137" t="e">
        <f t="shared" si="3"/>
        <v>#DIV/0!</v>
      </c>
    </row>
    <row r="22" spans="1:12" ht="16.5" hidden="1" customHeight="1" x14ac:dyDescent="0.25">
      <c r="A22" s="226">
        <v>5010</v>
      </c>
      <c r="B22" s="224">
        <v>713000</v>
      </c>
      <c r="C22" s="82" t="s">
        <v>33</v>
      </c>
      <c r="D22" s="102">
        <f>SUM(D23:D28)</f>
        <v>0</v>
      </c>
      <c r="E22" s="102">
        <f t="shared" si="0"/>
        <v>0</v>
      </c>
      <c r="F22" s="102">
        <f t="shared" ref="F22:K22" si="7">SUM(F23:F28)</f>
        <v>0</v>
      </c>
      <c r="G22" s="102">
        <f t="shared" si="7"/>
        <v>0</v>
      </c>
      <c r="H22" s="102">
        <f t="shared" si="7"/>
        <v>0</v>
      </c>
      <c r="I22" s="102">
        <f t="shared" si="7"/>
        <v>0</v>
      </c>
      <c r="J22" s="102">
        <f t="shared" si="7"/>
        <v>0</v>
      </c>
      <c r="K22" s="103">
        <f t="shared" si="7"/>
        <v>0</v>
      </c>
      <c r="L22" s="137" t="e">
        <f t="shared" si="3"/>
        <v>#DIV/0!</v>
      </c>
    </row>
    <row r="23" spans="1:12" ht="16.5" hidden="1" customHeight="1" x14ac:dyDescent="0.25">
      <c r="A23" s="83">
        <v>5011</v>
      </c>
      <c r="B23" s="229">
        <v>713100</v>
      </c>
      <c r="C23" s="84" t="s">
        <v>34</v>
      </c>
      <c r="D23" s="106"/>
      <c r="E23" s="106">
        <f t="shared" si="0"/>
        <v>0</v>
      </c>
      <c r="F23" s="106"/>
      <c r="G23" s="106"/>
      <c r="H23" s="106"/>
      <c r="I23" s="106"/>
      <c r="J23" s="106"/>
      <c r="K23" s="107"/>
      <c r="L23" s="137" t="e">
        <f t="shared" si="3"/>
        <v>#DIV/0!</v>
      </c>
    </row>
    <row r="24" spans="1:12" ht="16.5" hidden="1" customHeight="1" x14ac:dyDescent="0.25">
      <c r="A24" s="83">
        <v>5012</v>
      </c>
      <c r="B24" s="229">
        <v>713200</v>
      </c>
      <c r="C24" s="84" t="s">
        <v>35</v>
      </c>
      <c r="D24" s="106"/>
      <c r="E24" s="106">
        <f t="shared" si="0"/>
        <v>0</v>
      </c>
      <c r="F24" s="106"/>
      <c r="G24" s="106"/>
      <c r="H24" s="106"/>
      <c r="I24" s="106"/>
      <c r="J24" s="106"/>
      <c r="K24" s="107"/>
      <c r="L24" s="137" t="e">
        <f t="shared" si="3"/>
        <v>#DIV/0!</v>
      </c>
    </row>
    <row r="25" spans="1:12" ht="16.5" hidden="1" customHeight="1" x14ac:dyDescent="0.25">
      <c r="A25" s="83">
        <v>5013</v>
      </c>
      <c r="B25" s="229">
        <v>713300</v>
      </c>
      <c r="C25" s="84" t="s">
        <v>36</v>
      </c>
      <c r="D25" s="106"/>
      <c r="E25" s="106">
        <f t="shared" si="0"/>
        <v>0</v>
      </c>
      <c r="F25" s="106"/>
      <c r="G25" s="106"/>
      <c r="H25" s="106"/>
      <c r="I25" s="106"/>
      <c r="J25" s="106"/>
      <c r="K25" s="107"/>
      <c r="L25" s="137" t="e">
        <f t="shared" si="3"/>
        <v>#DIV/0!</v>
      </c>
    </row>
    <row r="26" spans="1:12" ht="16.5" hidden="1" customHeight="1" x14ac:dyDescent="0.25">
      <c r="A26" s="83">
        <v>5014</v>
      </c>
      <c r="B26" s="229">
        <v>713400</v>
      </c>
      <c r="C26" s="84" t="s">
        <v>37</v>
      </c>
      <c r="D26" s="106"/>
      <c r="E26" s="106">
        <f t="shared" si="0"/>
        <v>0</v>
      </c>
      <c r="F26" s="106"/>
      <c r="G26" s="106"/>
      <c r="H26" s="106"/>
      <c r="I26" s="106"/>
      <c r="J26" s="106"/>
      <c r="K26" s="107"/>
      <c r="L26" s="137" t="e">
        <f t="shared" si="3"/>
        <v>#DIV/0!</v>
      </c>
    </row>
    <row r="27" spans="1:12" ht="16.5" hidden="1" customHeight="1" x14ac:dyDescent="0.25">
      <c r="A27" s="83">
        <v>5015</v>
      </c>
      <c r="B27" s="229">
        <v>713500</v>
      </c>
      <c r="C27" s="84" t="s">
        <v>38</v>
      </c>
      <c r="D27" s="106"/>
      <c r="E27" s="106">
        <f t="shared" si="0"/>
        <v>0</v>
      </c>
      <c r="F27" s="106"/>
      <c r="G27" s="106"/>
      <c r="H27" s="106"/>
      <c r="I27" s="106"/>
      <c r="J27" s="106"/>
      <c r="K27" s="107"/>
      <c r="L27" s="137" t="e">
        <f t="shared" si="3"/>
        <v>#DIV/0!</v>
      </c>
    </row>
    <row r="28" spans="1:12" ht="16.5" hidden="1" customHeight="1" x14ac:dyDescent="0.25">
      <c r="A28" s="83">
        <v>5016</v>
      </c>
      <c r="B28" s="229">
        <v>713600</v>
      </c>
      <c r="C28" s="84" t="s">
        <v>39</v>
      </c>
      <c r="D28" s="102"/>
      <c r="E28" s="106">
        <f t="shared" si="0"/>
        <v>0</v>
      </c>
      <c r="F28" s="102"/>
      <c r="G28" s="102"/>
      <c r="H28" s="102"/>
      <c r="I28" s="102"/>
      <c r="J28" s="102"/>
      <c r="K28" s="103"/>
      <c r="L28" s="137" t="e">
        <f t="shared" si="3"/>
        <v>#DIV/0!</v>
      </c>
    </row>
    <row r="29" spans="1:12" ht="16.5" hidden="1" customHeight="1" x14ac:dyDescent="0.25">
      <c r="A29" s="226">
        <v>5017</v>
      </c>
      <c r="B29" s="224">
        <v>714000</v>
      </c>
      <c r="C29" s="82" t="s">
        <v>40</v>
      </c>
      <c r="D29" s="102">
        <f>SUM(D30:D34)</f>
        <v>0</v>
      </c>
      <c r="E29" s="102">
        <f t="shared" si="0"/>
        <v>0</v>
      </c>
      <c r="F29" s="102">
        <f t="shared" ref="F29:K29" si="8">SUM(F30:F34)</f>
        <v>0</v>
      </c>
      <c r="G29" s="102">
        <f t="shared" si="8"/>
        <v>0</v>
      </c>
      <c r="H29" s="102">
        <f t="shared" si="8"/>
        <v>0</v>
      </c>
      <c r="I29" s="102">
        <f t="shared" si="8"/>
        <v>0</v>
      </c>
      <c r="J29" s="102">
        <f t="shared" si="8"/>
        <v>0</v>
      </c>
      <c r="K29" s="103">
        <f t="shared" si="8"/>
        <v>0</v>
      </c>
      <c r="L29" s="137" t="e">
        <f t="shared" si="3"/>
        <v>#DIV/0!</v>
      </c>
    </row>
    <row r="30" spans="1:12" ht="16.5" hidden="1" customHeight="1" x14ac:dyDescent="0.25">
      <c r="A30" s="83">
        <v>5018</v>
      </c>
      <c r="B30" s="229">
        <v>714100</v>
      </c>
      <c r="C30" s="84" t="s">
        <v>41</v>
      </c>
      <c r="D30" s="106"/>
      <c r="E30" s="106">
        <f t="shared" si="0"/>
        <v>0</v>
      </c>
      <c r="F30" s="106"/>
      <c r="G30" s="106"/>
      <c r="H30" s="106"/>
      <c r="I30" s="106"/>
      <c r="J30" s="106"/>
      <c r="K30" s="107"/>
      <c r="L30" s="137" t="e">
        <f t="shared" si="3"/>
        <v>#DIV/0!</v>
      </c>
    </row>
    <row r="31" spans="1:12" ht="16.5" hidden="1" customHeight="1" x14ac:dyDescent="0.25">
      <c r="A31" s="83">
        <v>5019</v>
      </c>
      <c r="B31" s="229">
        <v>714300</v>
      </c>
      <c r="C31" s="84" t="s">
        <v>42</v>
      </c>
      <c r="D31" s="106"/>
      <c r="E31" s="106">
        <f t="shared" si="0"/>
        <v>0</v>
      </c>
      <c r="F31" s="106"/>
      <c r="G31" s="106"/>
      <c r="H31" s="106"/>
      <c r="I31" s="106"/>
      <c r="J31" s="106"/>
      <c r="K31" s="107"/>
      <c r="L31" s="137" t="e">
        <f t="shared" si="3"/>
        <v>#DIV/0!</v>
      </c>
    </row>
    <row r="32" spans="1:12" ht="16.5" hidden="1" customHeight="1" x14ac:dyDescent="0.25">
      <c r="A32" s="83">
        <v>5020</v>
      </c>
      <c r="B32" s="229">
        <v>714400</v>
      </c>
      <c r="C32" s="84" t="s">
        <v>43</v>
      </c>
      <c r="D32" s="106"/>
      <c r="E32" s="106">
        <f t="shared" si="0"/>
        <v>0</v>
      </c>
      <c r="F32" s="106"/>
      <c r="G32" s="106"/>
      <c r="H32" s="106"/>
      <c r="I32" s="106"/>
      <c r="J32" s="106"/>
      <c r="K32" s="107"/>
      <c r="L32" s="137" t="e">
        <f t="shared" si="3"/>
        <v>#DIV/0!</v>
      </c>
    </row>
    <row r="33" spans="1:12" ht="16.5" hidden="1" customHeight="1" x14ac:dyDescent="0.25">
      <c r="A33" s="83">
        <v>5021</v>
      </c>
      <c r="B33" s="229">
        <v>714500</v>
      </c>
      <c r="C33" s="84" t="s">
        <v>44</v>
      </c>
      <c r="D33" s="106"/>
      <c r="E33" s="106">
        <f t="shared" si="0"/>
        <v>0</v>
      </c>
      <c r="F33" s="106"/>
      <c r="G33" s="106"/>
      <c r="H33" s="106"/>
      <c r="I33" s="106"/>
      <c r="J33" s="106"/>
      <c r="K33" s="107"/>
      <c r="L33" s="137" t="e">
        <f t="shared" si="3"/>
        <v>#DIV/0!</v>
      </c>
    </row>
    <row r="34" spans="1:12" ht="16.5" hidden="1" customHeight="1" x14ac:dyDescent="0.25">
      <c r="A34" s="83">
        <v>5022</v>
      </c>
      <c r="B34" s="229">
        <v>714600</v>
      </c>
      <c r="C34" s="84" t="s">
        <v>45</v>
      </c>
      <c r="D34" s="106"/>
      <c r="E34" s="106">
        <f t="shared" si="0"/>
        <v>0</v>
      </c>
      <c r="F34" s="106"/>
      <c r="G34" s="106"/>
      <c r="H34" s="106"/>
      <c r="I34" s="106"/>
      <c r="J34" s="106"/>
      <c r="K34" s="107"/>
      <c r="L34" s="137" t="e">
        <f t="shared" si="3"/>
        <v>#DIV/0!</v>
      </c>
    </row>
    <row r="35" spans="1:12" ht="16.5" hidden="1" customHeight="1" x14ac:dyDescent="0.25">
      <c r="A35" s="226">
        <v>5023</v>
      </c>
      <c r="B35" s="224">
        <v>715000</v>
      </c>
      <c r="C35" s="82" t="s">
        <v>46</v>
      </c>
      <c r="D35" s="102">
        <f>SUM(D36:D41)</f>
        <v>0</v>
      </c>
      <c r="E35" s="102">
        <f t="shared" si="0"/>
        <v>0</v>
      </c>
      <c r="F35" s="102">
        <f t="shared" ref="F35:K35" si="9">SUM(F36:F41)</f>
        <v>0</v>
      </c>
      <c r="G35" s="102">
        <f t="shared" si="9"/>
        <v>0</v>
      </c>
      <c r="H35" s="102">
        <f t="shared" si="9"/>
        <v>0</v>
      </c>
      <c r="I35" s="102">
        <f t="shared" si="9"/>
        <v>0</v>
      </c>
      <c r="J35" s="102">
        <f t="shared" si="9"/>
        <v>0</v>
      </c>
      <c r="K35" s="103">
        <f t="shared" si="9"/>
        <v>0</v>
      </c>
      <c r="L35" s="137" t="e">
        <f t="shared" si="3"/>
        <v>#DIV/0!</v>
      </c>
    </row>
    <row r="36" spans="1:12" ht="16.5" hidden="1" customHeight="1" x14ac:dyDescent="0.25">
      <c r="A36" s="83">
        <v>5024</v>
      </c>
      <c r="B36" s="229">
        <v>715100</v>
      </c>
      <c r="C36" s="84" t="s">
        <v>47</v>
      </c>
      <c r="D36" s="106"/>
      <c r="E36" s="106">
        <f t="shared" si="0"/>
        <v>0</v>
      </c>
      <c r="F36" s="106"/>
      <c r="G36" s="106"/>
      <c r="H36" s="106"/>
      <c r="I36" s="106"/>
      <c r="J36" s="106"/>
      <c r="K36" s="107"/>
      <c r="L36" s="137" t="e">
        <f t="shared" si="3"/>
        <v>#DIV/0!</v>
      </c>
    </row>
    <row r="37" spans="1:12" ht="16.5" hidden="1" customHeight="1" x14ac:dyDescent="0.25">
      <c r="A37" s="83">
        <v>5025</v>
      </c>
      <c r="B37" s="229">
        <v>715200</v>
      </c>
      <c r="C37" s="84" t="s">
        <v>48</v>
      </c>
      <c r="D37" s="106"/>
      <c r="E37" s="106">
        <f t="shared" si="0"/>
        <v>0</v>
      </c>
      <c r="F37" s="106"/>
      <c r="G37" s="106"/>
      <c r="H37" s="106"/>
      <c r="I37" s="106"/>
      <c r="J37" s="106"/>
      <c r="K37" s="107"/>
      <c r="L37" s="137" t="e">
        <f t="shared" si="3"/>
        <v>#DIV/0!</v>
      </c>
    </row>
    <row r="38" spans="1:12" ht="16.5" hidden="1" customHeight="1" x14ac:dyDescent="0.25">
      <c r="A38" s="83">
        <v>5026</v>
      </c>
      <c r="B38" s="229">
        <v>715300</v>
      </c>
      <c r="C38" s="84" t="s">
        <v>49</v>
      </c>
      <c r="D38" s="106"/>
      <c r="E38" s="106">
        <f t="shared" si="0"/>
        <v>0</v>
      </c>
      <c r="F38" s="106"/>
      <c r="G38" s="106"/>
      <c r="H38" s="106"/>
      <c r="I38" s="106"/>
      <c r="J38" s="106"/>
      <c r="K38" s="107"/>
      <c r="L38" s="137" t="e">
        <f t="shared" si="3"/>
        <v>#DIV/0!</v>
      </c>
    </row>
    <row r="39" spans="1:12" ht="16.5" hidden="1" customHeight="1" x14ac:dyDescent="0.25">
      <c r="A39" s="83">
        <v>5027</v>
      </c>
      <c r="B39" s="229">
        <v>715400</v>
      </c>
      <c r="C39" s="84" t="s">
        <v>50</v>
      </c>
      <c r="D39" s="106"/>
      <c r="E39" s="106">
        <f t="shared" si="0"/>
        <v>0</v>
      </c>
      <c r="F39" s="106"/>
      <c r="G39" s="106"/>
      <c r="H39" s="106"/>
      <c r="I39" s="106"/>
      <c r="J39" s="106"/>
      <c r="K39" s="107"/>
      <c r="L39" s="137" t="e">
        <f t="shared" si="3"/>
        <v>#DIV/0!</v>
      </c>
    </row>
    <row r="40" spans="1:12" ht="16.5" hidden="1" customHeight="1" x14ac:dyDescent="0.25">
      <c r="A40" s="83">
        <v>5028</v>
      </c>
      <c r="B40" s="229">
        <v>715500</v>
      </c>
      <c r="C40" s="84" t="s">
        <v>51</v>
      </c>
      <c r="D40" s="106"/>
      <c r="E40" s="106">
        <f t="shared" si="0"/>
        <v>0</v>
      </c>
      <c r="F40" s="106"/>
      <c r="G40" s="106"/>
      <c r="H40" s="106"/>
      <c r="I40" s="106"/>
      <c r="J40" s="106"/>
      <c r="K40" s="107"/>
      <c r="L40" s="137" t="e">
        <f t="shared" si="3"/>
        <v>#DIV/0!</v>
      </c>
    </row>
    <row r="41" spans="1:12" ht="16.5" hidden="1" customHeight="1" x14ac:dyDescent="0.25">
      <c r="A41" s="83">
        <v>5029</v>
      </c>
      <c r="B41" s="229">
        <v>715600</v>
      </c>
      <c r="C41" s="84" t="s">
        <v>52</v>
      </c>
      <c r="D41" s="106"/>
      <c r="E41" s="106">
        <f t="shared" si="0"/>
        <v>0</v>
      </c>
      <c r="F41" s="106"/>
      <c r="G41" s="106"/>
      <c r="H41" s="106"/>
      <c r="I41" s="106"/>
      <c r="J41" s="106"/>
      <c r="K41" s="107"/>
      <c r="L41" s="137" t="e">
        <f t="shared" si="3"/>
        <v>#DIV/0!</v>
      </c>
    </row>
    <row r="42" spans="1:12" ht="16.5" hidden="1" customHeight="1" x14ac:dyDescent="0.25">
      <c r="A42" s="226">
        <v>5030</v>
      </c>
      <c r="B42" s="224">
        <v>716000</v>
      </c>
      <c r="C42" s="82" t="s">
        <v>53</v>
      </c>
      <c r="D42" s="102">
        <f>D43+D44</f>
        <v>0</v>
      </c>
      <c r="E42" s="102">
        <f t="shared" si="0"/>
        <v>0</v>
      </c>
      <c r="F42" s="102">
        <f t="shared" ref="F42:K42" si="10">F43+F44</f>
        <v>0</v>
      </c>
      <c r="G42" s="102">
        <f t="shared" si="10"/>
        <v>0</v>
      </c>
      <c r="H42" s="102">
        <f t="shared" si="10"/>
        <v>0</v>
      </c>
      <c r="I42" s="102">
        <f t="shared" si="10"/>
        <v>0</v>
      </c>
      <c r="J42" s="102">
        <f t="shared" si="10"/>
        <v>0</v>
      </c>
      <c r="K42" s="103">
        <f t="shared" si="10"/>
        <v>0</v>
      </c>
      <c r="L42" s="137" t="e">
        <f t="shared" si="3"/>
        <v>#DIV/0!</v>
      </c>
    </row>
    <row r="43" spans="1:12" ht="16.5" hidden="1" customHeight="1" x14ac:dyDescent="0.25">
      <c r="A43" s="83">
        <v>5031</v>
      </c>
      <c r="B43" s="229">
        <v>716100</v>
      </c>
      <c r="C43" s="84" t="s">
        <v>54</v>
      </c>
      <c r="D43" s="106"/>
      <c r="E43" s="106">
        <f t="shared" si="0"/>
        <v>0</v>
      </c>
      <c r="F43" s="106"/>
      <c r="G43" s="106"/>
      <c r="H43" s="106"/>
      <c r="I43" s="106"/>
      <c r="J43" s="106"/>
      <c r="K43" s="107"/>
      <c r="L43" s="137" t="e">
        <f t="shared" si="3"/>
        <v>#DIV/0!</v>
      </c>
    </row>
    <row r="44" spans="1:12" ht="16.5" hidden="1" customHeight="1" x14ac:dyDescent="0.25">
      <c r="A44" s="83">
        <v>5032</v>
      </c>
      <c r="B44" s="229">
        <v>716200</v>
      </c>
      <c r="C44" s="84" t="s">
        <v>55</v>
      </c>
      <c r="D44" s="106"/>
      <c r="E44" s="106">
        <f t="shared" si="0"/>
        <v>0</v>
      </c>
      <c r="F44" s="106"/>
      <c r="G44" s="106"/>
      <c r="H44" s="106"/>
      <c r="I44" s="106"/>
      <c r="J44" s="106"/>
      <c r="K44" s="107"/>
      <c r="L44" s="137" t="e">
        <f t="shared" si="3"/>
        <v>#DIV/0!</v>
      </c>
    </row>
    <row r="45" spans="1:12" ht="16.5" hidden="1" customHeight="1" x14ac:dyDescent="0.25">
      <c r="A45" s="226">
        <v>5033</v>
      </c>
      <c r="B45" s="224">
        <v>717000</v>
      </c>
      <c r="C45" s="82" t="s">
        <v>56</v>
      </c>
      <c r="D45" s="102">
        <f>SUM(D50:D55)</f>
        <v>0</v>
      </c>
      <c r="E45" s="102">
        <f t="shared" si="0"/>
        <v>0</v>
      </c>
      <c r="F45" s="102">
        <f t="shared" ref="F45:K45" si="11">SUM(F50:F55)</f>
        <v>0</v>
      </c>
      <c r="G45" s="102">
        <f t="shared" si="11"/>
        <v>0</v>
      </c>
      <c r="H45" s="102">
        <f t="shared" si="11"/>
        <v>0</v>
      </c>
      <c r="I45" s="102">
        <f t="shared" si="11"/>
        <v>0</v>
      </c>
      <c r="J45" s="102">
        <f t="shared" si="11"/>
        <v>0</v>
      </c>
      <c r="K45" s="103">
        <f t="shared" si="11"/>
        <v>0</v>
      </c>
      <c r="L45" s="137" t="e">
        <f t="shared" si="3"/>
        <v>#DIV/0!</v>
      </c>
    </row>
    <row r="46" spans="1:12" ht="16.5" hidden="1" customHeight="1" x14ac:dyDescent="0.25">
      <c r="A46" s="583" t="s">
        <v>0</v>
      </c>
      <c r="B46" s="584" t="s">
        <v>1</v>
      </c>
      <c r="C46" s="585" t="s">
        <v>2</v>
      </c>
      <c r="D46" s="586" t="s">
        <v>3</v>
      </c>
      <c r="E46" s="586" t="s">
        <v>4</v>
      </c>
      <c r="F46" s="586"/>
      <c r="G46" s="586"/>
      <c r="H46" s="586"/>
      <c r="I46" s="586"/>
      <c r="J46" s="586"/>
      <c r="K46" s="587"/>
      <c r="L46" s="137" t="e">
        <f t="shared" si="3"/>
        <v>#VALUE!</v>
      </c>
    </row>
    <row r="47" spans="1:12" ht="16.5" hidden="1" customHeight="1" x14ac:dyDescent="0.25">
      <c r="A47" s="583"/>
      <c r="B47" s="584"/>
      <c r="C47" s="585"/>
      <c r="D47" s="586"/>
      <c r="E47" s="585" t="s">
        <v>5</v>
      </c>
      <c r="F47" s="586" t="s">
        <v>6</v>
      </c>
      <c r="G47" s="586"/>
      <c r="H47" s="586"/>
      <c r="I47" s="586"/>
      <c r="J47" s="586" t="s">
        <v>7</v>
      </c>
      <c r="K47" s="587" t="s">
        <v>8</v>
      </c>
      <c r="L47" s="137" t="e">
        <f t="shared" si="3"/>
        <v>#VALUE!</v>
      </c>
    </row>
    <row r="48" spans="1:12" ht="16.5" hidden="1" customHeight="1" x14ac:dyDescent="0.25">
      <c r="A48" s="583"/>
      <c r="B48" s="584"/>
      <c r="C48" s="585"/>
      <c r="D48" s="586"/>
      <c r="E48" s="585"/>
      <c r="F48" s="228" t="s">
        <v>9</v>
      </c>
      <c r="G48" s="228" t="s">
        <v>10</v>
      </c>
      <c r="H48" s="228" t="s">
        <v>11</v>
      </c>
      <c r="I48" s="228" t="s">
        <v>12</v>
      </c>
      <c r="J48" s="586"/>
      <c r="K48" s="587"/>
      <c r="L48" s="137" t="e">
        <f t="shared" si="3"/>
        <v>#DIV/0!</v>
      </c>
    </row>
    <row r="49" spans="1:12" ht="16.5" hidden="1" customHeight="1" x14ac:dyDescent="0.25">
      <c r="A49" s="85" t="s">
        <v>18</v>
      </c>
      <c r="B49" s="223" t="s">
        <v>19</v>
      </c>
      <c r="C49" s="223" t="s">
        <v>20</v>
      </c>
      <c r="D49" s="223" t="s">
        <v>21</v>
      </c>
      <c r="E49" s="223" t="s">
        <v>22</v>
      </c>
      <c r="F49" s="223" t="s">
        <v>23</v>
      </c>
      <c r="G49" s="223" t="s">
        <v>24</v>
      </c>
      <c r="H49" s="223" t="s">
        <v>25</v>
      </c>
      <c r="I49" s="223" t="s">
        <v>26</v>
      </c>
      <c r="J49" s="223" t="s">
        <v>27</v>
      </c>
      <c r="K49" s="99" t="s">
        <v>28</v>
      </c>
      <c r="L49" s="137">
        <f t="shared" si="3"/>
        <v>1.25</v>
      </c>
    </row>
    <row r="50" spans="1:12" ht="16.5" hidden="1" customHeight="1" x14ac:dyDescent="0.25">
      <c r="A50" s="83">
        <v>5034</v>
      </c>
      <c r="B50" s="229">
        <v>717100</v>
      </c>
      <c r="C50" s="84" t="s">
        <v>57</v>
      </c>
      <c r="D50" s="106"/>
      <c r="E50" s="106">
        <f t="shared" si="0"/>
        <v>0</v>
      </c>
      <c r="F50" s="106"/>
      <c r="G50" s="106"/>
      <c r="H50" s="106"/>
      <c r="I50" s="106"/>
      <c r="J50" s="106"/>
      <c r="K50" s="107"/>
      <c r="L50" s="137" t="e">
        <f t="shared" si="3"/>
        <v>#DIV/0!</v>
      </c>
    </row>
    <row r="51" spans="1:12" ht="16.5" hidden="1" customHeight="1" x14ac:dyDescent="0.25">
      <c r="A51" s="83">
        <v>5035</v>
      </c>
      <c r="B51" s="229">
        <v>717200</v>
      </c>
      <c r="C51" s="84" t="s">
        <v>58</v>
      </c>
      <c r="D51" s="106"/>
      <c r="E51" s="106">
        <f t="shared" si="0"/>
        <v>0</v>
      </c>
      <c r="F51" s="106"/>
      <c r="G51" s="106"/>
      <c r="H51" s="106"/>
      <c r="I51" s="106"/>
      <c r="J51" s="106"/>
      <c r="K51" s="107"/>
      <c r="L51" s="137" t="e">
        <f t="shared" si="3"/>
        <v>#DIV/0!</v>
      </c>
    </row>
    <row r="52" spans="1:12" ht="16.5" hidden="1" customHeight="1" x14ac:dyDescent="0.25">
      <c r="A52" s="83">
        <v>5036</v>
      </c>
      <c r="B52" s="229">
        <v>717300</v>
      </c>
      <c r="C52" s="84" t="s">
        <v>59</v>
      </c>
      <c r="D52" s="106"/>
      <c r="E52" s="106">
        <f t="shared" si="0"/>
        <v>0</v>
      </c>
      <c r="F52" s="106"/>
      <c r="G52" s="106"/>
      <c r="H52" s="106"/>
      <c r="I52" s="106"/>
      <c r="J52" s="106"/>
      <c r="K52" s="107"/>
      <c r="L52" s="137" t="e">
        <f t="shared" si="3"/>
        <v>#DIV/0!</v>
      </c>
    </row>
    <row r="53" spans="1:12" ht="16.5" hidden="1" customHeight="1" x14ac:dyDescent="0.25">
      <c r="A53" s="83">
        <v>5037</v>
      </c>
      <c r="B53" s="229">
        <v>717400</v>
      </c>
      <c r="C53" s="84" t="s">
        <v>60</v>
      </c>
      <c r="D53" s="106"/>
      <c r="E53" s="106">
        <f t="shared" si="0"/>
        <v>0</v>
      </c>
      <c r="F53" s="106"/>
      <c r="G53" s="106"/>
      <c r="H53" s="106"/>
      <c r="I53" s="106"/>
      <c r="J53" s="106"/>
      <c r="K53" s="107"/>
      <c r="L53" s="137" t="e">
        <f t="shared" si="3"/>
        <v>#DIV/0!</v>
      </c>
    </row>
    <row r="54" spans="1:12" ht="16.5" hidden="1" customHeight="1" x14ac:dyDescent="0.25">
      <c r="A54" s="83">
        <v>5038</v>
      </c>
      <c r="B54" s="229">
        <v>717500</v>
      </c>
      <c r="C54" s="84" t="s">
        <v>61</v>
      </c>
      <c r="D54" s="106"/>
      <c r="E54" s="106">
        <f t="shared" si="0"/>
        <v>0</v>
      </c>
      <c r="F54" s="106"/>
      <c r="G54" s="106"/>
      <c r="H54" s="106"/>
      <c r="I54" s="106"/>
      <c r="J54" s="106"/>
      <c r="K54" s="107"/>
      <c r="L54" s="137" t="e">
        <f t="shared" si="3"/>
        <v>#DIV/0!</v>
      </c>
    </row>
    <row r="55" spans="1:12" ht="16.5" hidden="1" customHeight="1" x14ac:dyDescent="0.25">
      <c r="A55" s="83">
        <v>5039</v>
      </c>
      <c r="B55" s="229">
        <v>717600</v>
      </c>
      <c r="C55" s="84" t="s">
        <v>62</v>
      </c>
      <c r="D55" s="106"/>
      <c r="E55" s="106">
        <f t="shared" si="0"/>
        <v>0</v>
      </c>
      <c r="F55" s="106"/>
      <c r="G55" s="106"/>
      <c r="H55" s="106"/>
      <c r="I55" s="106"/>
      <c r="J55" s="106"/>
      <c r="K55" s="107"/>
      <c r="L55" s="137" t="e">
        <f t="shared" si="3"/>
        <v>#DIV/0!</v>
      </c>
    </row>
    <row r="56" spans="1:12" ht="16.5" hidden="1" customHeight="1" x14ac:dyDescent="0.25">
      <c r="A56" s="226">
        <v>5040</v>
      </c>
      <c r="B56" s="224">
        <v>719000</v>
      </c>
      <c r="C56" s="82" t="s">
        <v>63</v>
      </c>
      <c r="D56" s="102">
        <f>SUM(D57:D62)</f>
        <v>0</v>
      </c>
      <c r="E56" s="102">
        <f t="shared" si="0"/>
        <v>0</v>
      </c>
      <c r="F56" s="102">
        <f t="shared" ref="F56:K56" si="12">SUM(F57:F62)</f>
        <v>0</v>
      </c>
      <c r="G56" s="102">
        <f t="shared" si="12"/>
        <v>0</v>
      </c>
      <c r="H56" s="102">
        <f t="shared" si="12"/>
        <v>0</v>
      </c>
      <c r="I56" s="102">
        <f t="shared" si="12"/>
        <v>0</v>
      </c>
      <c r="J56" s="102">
        <f t="shared" si="12"/>
        <v>0</v>
      </c>
      <c r="K56" s="103">
        <f t="shared" si="12"/>
        <v>0</v>
      </c>
      <c r="L56" s="137" t="e">
        <f t="shared" si="3"/>
        <v>#DIV/0!</v>
      </c>
    </row>
    <row r="57" spans="1:12" ht="16.5" hidden="1" customHeight="1" x14ac:dyDescent="0.25">
      <c r="A57" s="83">
        <v>5041</v>
      </c>
      <c r="B57" s="229">
        <v>719100</v>
      </c>
      <c r="C57" s="84" t="s">
        <v>64</v>
      </c>
      <c r="D57" s="106"/>
      <c r="E57" s="106">
        <f t="shared" si="0"/>
        <v>0</v>
      </c>
      <c r="F57" s="106"/>
      <c r="G57" s="106"/>
      <c r="H57" s="106"/>
      <c r="I57" s="106"/>
      <c r="J57" s="106"/>
      <c r="K57" s="107"/>
      <c r="L57" s="137" t="e">
        <f t="shared" si="3"/>
        <v>#DIV/0!</v>
      </c>
    </row>
    <row r="58" spans="1:12" ht="16.5" hidden="1" customHeight="1" x14ac:dyDescent="0.25">
      <c r="A58" s="83">
        <v>5042</v>
      </c>
      <c r="B58" s="229">
        <v>719200</v>
      </c>
      <c r="C58" s="84" t="s">
        <v>65</v>
      </c>
      <c r="D58" s="106"/>
      <c r="E58" s="106">
        <f t="shared" si="0"/>
        <v>0</v>
      </c>
      <c r="F58" s="106"/>
      <c r="G58" s="106"/>
      <c r="H58" s="106"/>
      <c r="I58" s="106"/>
      <c r="J58" s="106"/>
      <c r="K58" s="107"/>
      <c r="L58" s="137" t="e">
        <f t="shared" si="3"/>
        <v>#DIV/0!</v>
      </c>
    </row>
    <row r="59" spans="1:12" ht="16.5" hidden="1" customHeight="1" x14ac:dyDescent="0.25">
      <c r="A59" s="83">
        <v>5043</v>
      </c>
      <c r="B59" s="229">
        <v>719300</v>
      </c>
      <c r="C59" s="84" t="s">
        <v>66</v>
      </c>
      <c r="D59" s="106"/>
      <c r="E59" s="106">
        <f t="shared" si="0"/>
        <v>0</v>
      </c>
      <c r="F59" s="106"/>
      <c r="G59" s="106"/>
      <c r="H59" s="106"/>
      <c r="I59" s="106"/>
      <c r="J59" s="106"/>
      <c r="K59" s="107"/>
      <c r="L59" s="137" t="e">
        <f t="shared" si="3"/>
        <v>#DIV/0!</v>
      </c>
    </row>
    <row r="60" spans="1:12" ht="16.5" hidden="1" customHeight="1" x14ac:dyDescent="0.25">
      <c r="A60" s="83">
        <v>5044</v>
      </c>
      <c r="B60" s="229">
        <v>719400</v>
      </c>
      <c r="C60" s="84" t="s">
        <v>67</v>
      </c>
      <c r="D60" s="106"/>
      <c r="E60" s="106">
        <f t="shared" si="0"/>
        <v>0</v>
      </c>
      <c r="F60" s="106"/>
      <c r="G60" s="106"/>
      <c r="H60" s="106"/>
      <c r="I60" s="106"/>
      <c r="J60" s="106"/>
      <c r="K60" s="107"/>
      <c r="L60" s="137" t="e">
        <f t="shared" si="3"/>
        <v>#DIV/0!</v>
      </c>
    </row>
    <row r="61" spans="1:12" ht="16.5" hidden="1" customHeight="1" x14ac:dyDescent="0.25">
      <c r="A61" s="83">
        <v>5045</v>
      </c>
      <c r="B61" s="229">
        <v>719500</v>
      </c>
      <c r="C61" s="84" t="s">
        <v>68</v>
      </c>
      <c r="D61" s="106"/>
      <c r="E61" s="106">
        <f t="shared" si="0"/>
        <v>0</v>
      </c>
      <c r="F61" s="106"/>
      <c r="G61" s="106"/>
      <c r="H61" s="106"/>
      <c r="I61" s="106"/>
      <c r="J61" s="106"/>
      <c r="K61" s="107"/>
      <c r="L61" s="137" t="e">
        <f t="shared" si="3"/>
        <v>#DIV/0!</v>
      </c>
    </row>
    <row r="62" spans="1:12" ht="16.5" hidden="1" customHeight="1" x14ac:dyDescent="0.25">
      <c r="A62" s="83">
        <v>5046</v>
      </c>
      <c r="B62" s="229">
        <v>719600</v>
      </c>
      <c r="C62" s="84" t="s">
        <v>69</v>
      </c>
      <c r="D62" s="106"/>
      <c r="E62" s="106">
        <f t="shared" si="0"/>
        <v>0</v>
      </c>
      <c r="F62" s="106"/>
      <c r="G62" s="106"/>
      <c r="H62" s="106"/>
      <c r="I62" s="106"/>
      <c r="J62" s="106"/>
      <c r="K62" s="107"/>
      <c r="L62" s="137" t="e">
        <f t="shared" si="3"/>
        <v>#DIV/0!</v>
      </c>
    </row>
    <row r="63" spans="1:12" ht="16.5" hidden="1" customHeight="1" x14ac:dyDescent="0.25">
      <c r="A63" s="226">
        <v>5047</v>
      </c>
      <c r="B63" s="224">
        <v>720000</v>
      </c>
      <c r="C63" s="82" t="s">
        <v>70</v>
      </c>
      <c r="D63" s="100">
        <f>D64+D69</f>
        <v>0</v>
      </c>
      <c r="E63" s="100">
        <f t="shared" si="0"/>
        <v>0</v>
      </c>
      <c r="F63" s="100">
        <f t="shared" ref="F63:K63" si="13">F64+F69</f>
        <v>0</v>
      </c>
      <c r="G63" s="100">
        <f t="shared" si="13"/>
        <v>0</v>
      </c>
      <c r="H63" s="100">
        <f t="shared" si="13"/>
        <v>0</v>
      </c>
      <c r="I63" s="100">
        <f t="shared" si="13"/>
        <v>0</v>
      </c>
      <c r="J63" s="100">
        <f t="shared" si="13"/>
        <v>0</v>
      </c>
      <c r="K63" s="101">
        <f t="shared" si="13"/>
        <v>0</v>
      </c>
      <c r="L63" s="137" t="e">
        <f t="shared" si="3"/>
        <v>#DIV/0!</v>
      </c>
    </row>
    <row r="64" spans="1:12" ht="16.5" hidden="1" customHeight="1" x14ac:dyDescent="0.25">
      <c r="A64" s="226">
        <v>5048</v>
      </c>
      <c r="B64" s="224">
        <v>721000</v>
      </c>
      <c r="C64" s="82" t="s">
        <v>71</v>
      </c>
      <c r="D64" s="100">
        <f>SUM(D65:D68)</f>
        <v>0</v>
      </c>
      <c r="E64" s="100">
        <f t="shared" si="0"/>
        <v>0</v>
      </c>
      <c r="F64" s="100">
        <f t="shared" ref="F64:K64" si="14">SUM(F65:F68)</f>
        <v>0</v>
      </c>
      <c r="G64" s="100">
        <f t="shared" si="14"/>
        <v>0</v>
      </c>
      <c r="H64" s="100">
        <f t="shared" si="14"/>
        <v>0</v>
      </c>
      <c r="I64" s="100">
        <f t="shared" si="14"/>
        <v>0</v>
      </c>
      <c r="J64" s="100">
        <f t="shared" si="14"/>
        <v>0</v>
      </c>
      <c r="K64" s="101">
        <f t="shared" si="14"/>
        <v>0</v>
      </c>
      <c r="L64" s="137" t="e">
        <f t="shared" si="3"/>
        <v>#DIV/0!</v>
      </c>
    </row>
    <row r="65" spans="1:12" ht="16.5" hidden="1" customHeight="1" x14ac:dyDescent="0.25">
      <c r="A65" s="83">
        <v>5049</v>
      </c>
      <c r="B65" s="229">
        <v>721100</v>
      </c>
      <c r="C65" s="84" t="s">
        <v>72</v>
      </c>
      <c r="D65" s="108"/>
      <c r="E65" s="109">
        <f t="shared" si="0"/>
        <v>0</v>
      </c>
      <c r="F65" s="108"/>
      <c r="G65" s="108"/>
      <c r="H65" s="108"/>
      <c r="I65" s="108"/>
      <c r="J65" s="108"/>
      <c r="K65" s="110"/>
      <c r="L65" s="137" t="e">
        <f t="shared" si="3"/>
        <v>#DIV/0!</v>
      </c>
    </row>
    <row r="66" spans="1:12" ht="16.5" hidden="1" customHeight="1" x14ac:dyDescent="0.25">
      <c r="A66" s="83">
        <v>5050</v>
      </c>
      <c r="B66" s="229">
        <v>721200</v>
      </c>
      <c r="C66" s="84" t="s">
        <v>73</v>
      </c>
      <c r="D66" s="108"/>
      <c r="E66" s="109">
        <f t="shared" si="0"/>
        <v>0</v>
      </c>
      <c r="F66" s="108"/>
      <c r="G66" s="108"/>
      <c r="H66" s="108"/>
      <c r="I66" s="108"/>
      <c r="J66" s="108"/>
      <c r="K66" s="110"/>
      <c r="L66" s="137" t="e">
        <f t="shared" si="3"/>
        <v>#DIV/0!</v>
      </c>
    </row>
    <row r="67" spans="1:12" ht="16.5" hidden="1" customHeight="1" x14ac:dyDescent="0.25">
      <c r="A67" s="83">
        <v>5051</v>
      </c>
      <c r="B67" s="229">
        <v>721300</v>
      </c>
      <c r="C67" s="84" t="s">
        <v>74</v>
      </c>
      <c r="D67" s="108"/>
      <c r="E67" s="109">
        <f t="shared" si="0"/>
        <v>0</v>
      </c>
      <c r="F67" s="108"/>
      <c r="G67" s="108"/>
      <c r="H67" s="108"/>
      <c r="I67" s="108"/>
      <c r="J67" s="108"/>
      <c r="K67" s="110"/>
      <c r="L67" s="137" t="e">
        <f t="shared" si="3"/>
        <v>#DIV/0!</v>
      </c>
    </row>
    <row r="68" spans="1:12" ht="16.5" hidden="1" customHeight="1" x14ac:dyDescent="0.25">
      <c r="A68" s="83">
        <v>5052</v>
      </c>
      <c r="B68" s="229">
        <v>721400</v>
      </c>
      <c r="C68" s="84" t="s">
        <v>75</v>
      </c>
      <c r="D68" s="108"/>
      <c r="E68" s="109">
        <f t="shared" si="0"/>
        <v>0</v>
      </c>
      <c r="F68" s="108"/>
      <c r="G68" s="108"/>
      <c r="H68" s="108"/>
      <c r="I68" s="108"/>
      <c r="J68" s="108"/>
      <c r="K68" s="110"/>
      <c r="L68" s="137" t="e">
        <f t="shared" si="3"/>
        <v>#DIV/0!</v>
      </c>
    </row>
    <row r="69" spans="1:12" ht="16.5" hidden="1" customHeight="1" x14ac:dyDescent="0.25">
      <c r="A69" s="226">
        <v>5053</v>
      </c>
      <c r="B69" s="224">
        <v>722000</v>
      </c>
      <c r="C69" s="82" t="s">
        <v>76</v>
      </c>
      <c r="D69" s="100">
        <f>SUM(D70:D72)</f>
        <v>0</v>
      </c>
      <c r="E69" s="100">
        <f t="shared" si="0"/>
        <v>0</v>
      </c>
      <c r="F69" s="100">
        <f t="shared" ref="F69:K69" si="15">SUM(F70:F72)</f>
        <v>0</v>
      </c>
      <c r="G69" s="100">
        <f t="shared" si="15"/>
        <v>0</v>
      </c>
      <c r="H69" s="100">
        <f t="shared" si="15"/>
        <v>0</v>
      </c>
      <c r="I69" s="100">
        <f t="shared" si="15"/>
        <v>0</v>
      </c>
      <c r="J69" s="100">
        <f t="shared" si="15"/>
        <v>0</v>
      </c>
      <c r="K69" s="101">
        <f t="shared" si="15"/>
        <v>0</v>
      </c>
      <c r="L69" s="137" t="e">
        <f t="shared" si="3"/>
        <v>#DIV/0!</v>
      </c>
    </row>
    <row r="70" spans="1:12" ht="16.5" hidden="1" customHeight="1" x14ac:dyDescent="0.25">
      <c r="A70" s="83">
        <v>5054</v>
      </c>
      <c r="B70" s="229">
        <v>722100</v>
      </c>
      <c r="C70" s="84" t="s">
        <v>77</v>
      </c>
      <c r="D70" s="108"/>
      <c r="E70" s="109">
        <f t="shared" si="0"/>
        <v>0</v>
      </c>
      <c r="F70" s="108"/>
      <c r="G70" s="108"/>
      <c r="H70" s="108"/>
      <c r="I70" s="108"/>
      <c r="J70" s="108"/>
      <c r="K70" s="110"/>
      <c r="L70" s="137" t="e">
        <f t="shared" si="3"/>
        <v>#DIV/0!</v>
      </c>
    </row>
    <row r="71" spans="1:12" ht="16.5" hidden="1" customHeight="1" x14ac:dyDescent="0.25">
      <c r="A71" s="83">
        <v>5055</v>
      </c>
      <c r="B71" s="229">
        <v>722200</v>
      </c>
      <c r="C71" s="84" t="s">
        <v>78</v>
      </c>
      <c r="D71" s="108"/>
      <c r="E71" s="109">
        <f t="shared" si="0"/>
        <v>0</v>
      </c>
      <c r="F71" s="108"/>
      <c r="G71" s="108"/>
      <c r="H71" s="108"/>
      <c r="I71" s="108"/>
      <c r="J71" s="108"/>
      <c r="K71" s="110"/>
      <c r="L71" s="137" t="e">
        <f t="shared" si="3"/>
        <v>#DIV/0!</v>
      </c>
    </row>
    <row r="72" spans="1:12" ht="16.5" hidden="1" customHeight="1" x14ac:dyDescent="0.25">
      <c r="A72" s="83">
        <v>5056</v>
      </c>
      <c r="B72" s="229">
        <v>722300</v>
      </c>
      <c r="C72" s="84" t="s">
        <v>79</v>
      </c>
      <c r="D72" s="108"/>
      <c r="E72" s="109">
        <f t="shared" si="0"/>
        <v>0</v>
      </c>
      <c r="F72" s="108"/>
      <c r="G72" s="108"/>
      <c r="H72" s="108"/>
      <c r="I72" s="108"/>
      <c r="J72" s="108"/>
      <c r="K72" s="110"/>
      <c r="L72" s="137" t="e">
        <f t="shared" si="3"/>
        <v>#DIV/0!</v>
      </c>
    </row>
    <row r="73" spans="1:12" ht="16.5" hidden="1" customHeight="1" x14ac:dyDescent="0.25">
      <c r="A73" s="583" t="s">
        <v>0</v>
      </c>
      <c r="B73" s="584" t="s">
        <v>1</v>
      </c>
      <c r="C73" s="585" t="s">
        <v>2</v>
      </c>
      <c r="D73" s="575" t="s">
        <v>3</v>
      </c>
      <c r="E73" s="575" t="s">
        <v>4</v>
      </c>
      <c r="F73" s="575"/>
      <c r="G73" s="575"/>
      <c r="H73" s="575"/>
      <c r="I73" s="575"/>
      <c r="J73" s="575"/>
      <c r="K73" s="582"/>
      <c r="L73" s="137" t="e">
        <f t="shared" si="3"/>
        <v>#VALUE!</v>
      </c>
    </row>
    <row r="74" spans="1:12" ht="16.5" hidden="1" customHeight="1" x14ac:dyDescent="0.25">
      <c r="A74" s="583"/>
      <c r="B74" s="584"/>
      <c r="C74" s="585"/>
      <c r="D74" s="575"/>
      <c r="E74" s="581" t="s">
        <v>5</v>
      </c>
      <c r="F74" s="575" t="s">
        <v>6</v>
      </c>
      <c r="G74" s="575"/>
      <c r="H74" s="575"/>
      <c r="I74" s="575"/>
      <c r="J74" s="575" t="s">
        <v>7</v>
      </c>
      <c r="K74" s="582" t="s">
        <v>8</v>
      </c>
      <c r="L74" s="137" t="e">
        <f t="shared" ref="L74:L137" si="16">E74/D74</f>
        <v>#VALUE!</v>
      </c>
    </row>
    <row r="75" spans="1:12" ht="16.5" hidden="1" customHeight="1" x14ac:dyDescent="0.25">
      <c r="A75" s="583"/>
      <c r="B75" s="584"/>
      <c r="C75" s="585"/>
      <c r="D75" s="575"/>
      <c r="E75" s="581"/>
      <c r="F75" s="224" t="s">
        <v>9</v>
      </c>
      <c r="G75" s="224" t="s">
        <v>10</v>
      </c>
      <c r="H75" s="224" t="s">
        <v>11</v>
      </c>
      <c r="I75" s="224" t="s">
        <v>12</v>
      </c>
      <c r="J75" s="575"/>
      <c r="K75" s="582"/>
      <c r="L75" s="137" t="e">
        <f t="shared" si="16"/>
        <v>#DIV/0!</v>
      </c>
    </row>
    <row r="76" spans="1:12" ht="16.5" hidden="1" customHeight="1" x14ac:dyDescent="0.25">
      <c r="A76" s="85" t="s">
        <v>18</v>
      </c>
      <c r="B76" s="223" t="s">
        <v>19</v>
      </c>
      <c r="C76" s="223" t="s">
        <v>20</v>
      </c>
      <c r="D76" s="86" t="s">
        <v>21</v>
      </c>
      <c r="E76" s="86" t="s">
        <v>22</v>
      </c>
      <c r="F76" s="86" t="s">
        <v>23</v>
      </c>
      <c r="G76" s="86" t="s">
        <v>24</v>
      </c>
      <c r="H76" s="86" t="s">
        <v>25</v>
      </c>
      <c r="I76" s="86" t="s">
        <v>26</v>
      </c>
      <c r="J76" s="86" t="s">
        <v>27</v>
      </c>
      <c r="K76" s="98" t="s">
        <v>28</v>
      </c>
      <c r="L76" s="137">
        <f t="shared" si="16"/>
        <v>1.25</v>
      </c>
    </row>
    <row r="77" spans="1:12" ht="16.5" hidden="1" customHeight="1" x14ac:dyDescent="0.25">
      <c r="A77" s="226">
        <v>5057</v>
      </c>
      <c r="B77" s="224">
        <v>730000</v>
      </c>
      <c r="C77" s="82" t="s">
        <v>80</v>
      </c>
      <c r="D77" s="100">
        <f>D78+D81+D86</f>
        <v>0</v>
      </c>
      <c r="E77" s="100">
        <f t="shared" ref="E77:E86" si="17">SUM(F77:K77)</f>
        <v>0</v>
      </c>
      <c r="F77" s="100">
        <f t="shared" ref="F77:K77" si="18">F78+F81+F86</f>
        <v>0</v>
      </c>
      <c r="G77" s="100">
        <f t="shared" si="18"/>
        <v>0</v>
      </c>
      <c r="H77" s="100">
        <f t="shared" si="18"/>
        <v>0</v>
      </c>
      <c r="I77" s="100">
        <f t="shared" si="18"/>
        <v>0</v>
      </c>
      <c r="J77" s="100">
        <f t="shared" si="18"/>
        <v>0</v>
      </c>
      <c r="K77" s="101">
        <f t="shared" si="18"/>
        <v>0</v>
      </c>
      <c r="L77" s="137" t="e">
        <f t="shared" si="16"/>
        <v>#DIV/0!</v>
      </c>
    </row>
    <row r="78" spans="1:12" ht="16.5" hidden="1" customHeight="1" x14ac:dyDescent="0.25">
      <c r="A78" s="226">
        <v>5058</v>
      </c>
      <c r="B78" s="224">
        <v>731000</v>
      </c>
      <c r="C78" s="82" t="s">
        <v>81</v>
      </c>
      <c r="D78" s="100">
        <f>D79+D80</f>
        <v>0</v>
      </c>
      <c r="E78" s="100">
        <f t="shared" si="17"/>
        <v>0</v>
      </c>
      <c r="F78" s="100">
        <f t="shared" ref="F78:K78" si="19">F79+F80</f>
        <v>0</v>
      </c>
      <c r="G78" s="100">
        <f t="shared" si="19"/>
        <v>0</v>
      </c>
      <c r="H78" s="100">
        <f t="shared" si="19"/>
        <v>0</v>
      </c>
      <c r="I78" s="100">
        <f t="shared" si="19"/>
        <v>0</v>
      </c>
      <c r="J78" s="100">
        <f t="shared" si="19"/>
        <v>0</v>
      </c>
      <c r="K78" s="101">
        <f t="shared" si="19"/>
        <v>0</v>
      </c>
      <c r="L78" s="137" t="e">
        <f t="shared" si="16"/>
        <v>#DIV/0!</v>
      </c>
    </row>
    <row r="79" spans="1:12" ht="16.5" hidden="1" customHeight="1" x14ac:dyDescent="0.25">
      <c r="A79" s="83">
        <v>5059</v>
      </c>
      <c r="B79" s="229">
        <v>731100</v>
      </c>
      <c r="C79" s="84" t="s">
        <v>82</v>
      </c>
      <c r="D79" s="108"/>
      <c r="E79" s="109">
        <f t="shared" si="17"/>
        <v>0</v>
      </c>
      <c r="F79" s="108"/>
      <c r="G79" s="108"/>
      <c r="H79" s="108"/>
      <c r="I79" s="108"/>
      <c r="J79" s="108"/>
      <c r="K79" s="110"/>
      <c r="L79" s="137" t="e">
        <f t="shared" si="16"/>
        <v>#DIV/0!</v>
      </c>
    </row>
    <row r="80" spans="1:12" ht="16.5" hidden="1" customHeight="1" x14ac:dyDescent="0.25">
      <c r="A80" s="83">
        <v>5060</v>
      </c>
      <c r="B80" s="229">
        <v>731200</v>
      </c>
      <c r="C80" s="84" t="s">
        <v>83</v>
      </c>
      <c r="D80" s="108"/>
      <c r="E80" s="109">
        <f t="shared" si="17"/>
        <v>0</v>
      </c>
      <c r="F80" s="108"/>
      <c r="G80" s="108"/>
      <c r="H80" s="108"/>
      <c r="I80" s="108"/>
      <c r="J80" s="108"/>
      <c r="K80" s="110"/>
      <c r="L80" s="137" t="e">
        <f t="shared" si="16"/>
        <v>#DIV/0!</v>
      </c>
    </row>
    <row r="81" spans="1:12" ht="16.5" hidden="1" customHeight="1" x14ac:dyDescent="0.25">
      <c r="A81" s="226">
        <v>5061</v>
      </c>
      <c r="B81" s="224">
        <v>732000</v>
      </c>
      <c r="C81" s="82" t="s">
        <v>84</v>
      </c>
      <c r="D81" s="100">
        <f>D82+D83+D84+D85</f>
        <v>0</v>
      </c>
      <c r="E81" s="100">
        <f t="shared" si="17"/>
        <v>0</v>
      </c>
      <c r="F81" s="100">
        <f t="shared" ref="F81:K81" si="20">F82+F83+F84+F85</f>
        <v>0</v>
      </c>
      <c r="G81" s="100">
        <f t="shared" si="20"/>
        <v>0</v>
      </c>
      <c r="H81" s="100">
        <f t="shared" si="20"/>
        <v>0</v>
      </c>
      <c r="I81" s="100">
        <f t="shared" si="20"/>
        <v>0</v>
      </c>
      <c r="J81" s="100">
        <f t="shared" si="20"/>
        <v>0</v>
      </c>
      <c r="K81" s="101">
        <f t="shared" si="20"/>
        <v>0</v>
      </c>
      <c r="L81" s="137" t="e">
        <f t="shared" si="16"/>
        <v>#DIV/0!</v>
      </c>
    </row>
    <row r="82" spans="1:12" ht="16.5" hidden="1" customHeight="1" x14ac:dyDescent="0.25">
      <c r="A82" s="83">
        <v>5062</v>
      </c>
      <c r="B82" s="229">
        <v>732100</v>
      </c>
      <c r="C82" s="84" t="s">
        <v>85</v>
      </c>
      <c r="D82" s="108"/>
      <c r="E82" s="109">
        <f t="shared" si="17"/>
        <v>0</v>
      </c>
      <c r="F82" s="108"/>
      <c r="G82" s="108"/>
      <c r="H82" s="108"/>
      <c r="I82" s="108"/>
      <c r="J82" s="108"/>
      <c r="K82" s="110"/>
      <c r="L82" s="137" t="e">
        <f t="shared" si="16"/>
        <v>#DIV/0!</v>
      </c>
    </row>
    <row r="83" spans="1:12" ht="16.5" hidden="1" customHeight="1" x14ac:dyDescent="0.25">
      <c r="A83" s="83">
        <v>5063</v>
      </c>
      <c r="B83" s="229">
        <v>732200</v>
      </c>
      <c r="C83" s="84" t="s">
        <v>86</v>
      </c>
      <c r="D83" s="108"/>
      <c r="E83" s="109">
        <f t="shared" si="17"/>
        <v>0</v>
      </c>
      <c r="F83" s="108"/>
      <c r="G83" s="108"/>
      <c r="H83" s="108"/>
      <c r="I83" s="108"/>
      <c r="J83" s="108"/>
      <c r="K83" s="110"/>
      <c r="L83" s="137" t="e">
        <f t="shared" si="16"/>
        <v>#DIV/0!</v>
      </c>
    </row>
    <row r="84" spans="1:12" ht="16.5" hidden="1" customHeight="1" x14ac:dyDescent="0.25">
      <c r="A84" s="83">
        <v>5064</v>
      </c>
      <c r="B84" s="229">
        <v>732300</v>
      </c>
      <c r="C84" s="84" t="s">
        <v>87</v>
      </c>
      <c r="D84" s="108"/>
      <c r="E84" s="109">
        <f t="shared" si="17"/>
        <v>0</v>
      </c>
      <c r="F84" s="108"/>
      <c r="G84" s="108"/>
      <c r="H84" s="108"/>
      <c r="I84" s="108"/>
      <c r="J84" s="108"/>
      <c r="K84" s="110"/>
      <c r="L84" s="137" t="e">
        <f t="shared" si="16"/>
        <v>#DIV/0!</v>
      </c>
    </row>
    <row r="85" spans="1:12" ht="16.5" hidden="1" customHeight="1" x14ac:dyDescent="0.25">
      <c r="A85" s="83">
        <v>5065</v>
      </c>
      <c r="B85" s="229">
        <v>732400</v>
      </c>
      <c r="C85" s="84" t="s">
        <v>88</v>
      </c>
      <c r="D85" s="108"/>
      <c r="E85" s="109">
        <f t="shared" si="17"/>
        <v>0</v>
      </c>
      <c r="F85" s="108"/>
      <c r="G85" s="108"/>
      <c r="H85" s="108"/>
      <c r="I85" s="108"/>
      <c r="J85" s="108"/>
      <c r="K85" s="110"/>
      <c r="L85" s="137" t="e">
        <f t="shared" si="16"/>
        <v>#DIV/0!</v>
      </c>
    </row>
    <row r="86" spans="1:12" ht="16.5" hidden="1" customHeight="1" x14ac:dyDescent="0.25">
      <c r="A86" s="226">
        <v>5066</v>
      </c>
      <c r="B86" s="224">
        <v>733000</v>
      </c>
      <c r="C86" s="82" t="s">
        <v>89</v>
      </c>
      <c r="D86" s="100">
        <f>D87+D88</f>
        <v>0</v>
      </c>
      <c r="E86" s="100">
        <f t="shared" si="17"/>
        <v>0</v>
      </c>
      <c r="F86" s="100">
        <f t="shared" ref="F86:K86" si="21">F87+F88</f>
        <v>0</v>
      </c>
      <c r="G86" s="100">
        <f t="shared" si="21"/>
        <v>0</v>
      </c>
      <c r="H86" s="100">
        <f t="shared" si="21"/>
        <v>0</v>
      </c>
      <c r="I86" s="100">
        <f t="shared" si="21"/>
        <v>0</v>
      </c>
      <c r="J86" s="100">
        <f t="shared" si="21"/>
        <v>0</v>
      </c>
      <c r="K86" s="101">
        <f t="shared" si="21"/>
        <v>0</v>
      </c>
      <c r="L86" s="137" t="e">
        <f t="shared" si="16"/>
        <v>#DIV/0!</v>
      </c>
    </row>
    <row r="87" spans="1:12" ht="16.5" hidden="1" customHeight="1" x14ac:dyDescent="0.25">
      <c r="A87" s="83">
        <v>5067</v>
      </c>
      <c r="B87" s="229">
        <v>733100</v>
      </c>
      <c r="C87" s="84" t="s">
        <v>90</v>
      </c>
      <c r="D87" s="108"/>
      <c r="E87" s="109">
        <f t="shared" ref="E87:E122" si="22">SUM(F87:K87)</f>
        <v>0</v>
      </c>
      <c r="F87" s="108"/>
      <c r="G87" s="108"/>
      <c r="H87" s="108"/>
      <c r="I87" s="108"/>
      <c r="J87" s="108"/>
      <c r="K87" s="110"/>
      <c r="L87" s="137" t="e">
        <f t="shared" si="16"/>
        <v>#DIV/0!</v>
      </c>
    </row>
    <row r="88" spans="1:12" ht="16.5" hidden="1" customHeight="1" x14ac:dyDescent="0.25">
      <c r="A88" s="83">
        <v>5068</v>
      </c>
      <c r="B88" s="229">
        <v>733200</v>
      </c>
      <c r="C88" s="84" t="s">
        <v>91</v>
      </c>
      <c r="D88" s="108"/>
      <c r="E88" s="109">
        <f t="shared" si="22"/>
        <v>0</v>
      </c>
      <c r="F88" s="108"/>
      <c r="G88" s="108"/>
      <c r="H88" s="108"/>
      <c r="I88" s="108"/>
      <c r="J88" s="108"/>
      <c r="K88" s="110"/>
      <c r="L88" s="137" t="e">
        <f t="shared" si="16"/>
        <v>#DIV/0!</v>
      </c>
    </row>
    <row r="89" spans="1:12" ht="12.75" customHeight="1" x14ac:dyDescent="0.25">
      <c r="A89" s="226">
        <v>5069</v>
      </c>
      <c r="B89" s="224">
        <v>740000</v>
      </c>
      <c r="C89" s="82" t="s">
        <v>92</v>
      </c>
      <c r="D89" s="100">
        <f>D90+D97+D102+D113+D116</f>
        <v>14931</v>
      </c>
      <c r="E89" s="100">
        <f t="shared" si="22"/>
        <v>10446</v>
      </c>
      <c r="F89" s="100">
        <f t="shared" ref="F89:K89" si="23">F90+F97+F102+F113+F116</f>
        <v>512</v>
      </c>
      <c r="G89" s="100">
        <f t="shared" si="23"/>
        <v>0</v>
      </c>
      <c r="H89" s="100">
        <f t="shared" si="23"/>
        <v>0</v>
      </c>
      <c r="I89" s="100">
        <f t="shared" si="23"/>
        <v>480</v>
      </c>
      <c r="J89" s="100">
        <f t="shared" si="23"/>
        <v>0</v>
      </c>
      <c r="K89" s="101">
        <f t="shared" si="23"/>
        <v>9454</v>
      </c>
      <c r="L89" s="137">
        <f t="shared" si="16"/>
        <v>0.69961824392204142</v>
      </c>
    </row>
    <row r="90" spans="1:12" ht="12.75" customHeight="1" x14ac:dyDescent="0.25">
      <c r="A90" s="226">
        <v>5070</v>
      </c>
      <c r="B90" s="224">
        <v>741000</v>
      </c>
      <c r="C90" s="82" t="s">
        <v>93</v>
      </c>
      <c r="D90" s="100">
        <f>SUM(D91:D96)</f>
        <v>1131</v>
      </c>
      <c r="E90" s="100">
        <f t="shared" si="22"/>
        <v>480</v>
      </c>
      <c r="F90" s="100">
        <f t="shared" ref="F90:K90" si="24">SUM(F91:F96)</f>
        <v>0</v>
      </c>
      <c r="G90" s="100">
        <f t="shared" si="24"/>
        <v>0</v>
      </c>
      <c r="H90" s="100">
        <f t="shared" si="24"/>
        <v>0</v>
      </c>
      <c r="I90" s="100">
        <f t="shared" si="24"/>
        <v>480</v>
      </c>
      <c r="J90" s="100">
        <f t="shared" si="24"/>
        <v>0</v>
      </c>
      <c r="K90" s="101">
        <f t="shared" si="24"/>
        <v>0</v>
      </c>
      <c r="L90" s="137">
        <f t="shared" si="16"/>
        <v>0.4244031830238727</v>
      </c>
    </row>
    <row r="91" spans="1:12" ht="16.5" hidden="1" customHeight="1" x14ac:dyDescent="0.25">
      <c r="A91" s="83">
        <v>5071</v>
      </c>
      <c r="B91" s="229">
        <v>741100</v>
      </c>
      <c r="C91" s="84" t="s">
        <v>94</v>
      </c>
      <c r="D91" s="108"/>
      <c r="E91" s="109">
        <f t="shared" si="22"/>
        <v>0</v>
      </c>
      <c r="F91" s="108"/>
      <c r="G91" s="108"/>
      <c r="H91" s="108"/>
      <c r="I91" s="108"/>
      <c r="J91" s="108"/>
      <c r="K91" s="110"/>
      <c r="L91" s="137" t="e">
        <f t="shared" si="16"/>
        <v>#DIV/0!</v>
      </c>
    </row>
    <row r="92" spans="1:12" ht="16.5" hidden="1" customHeight="1" x14ac:dyDescent="0.25">
      <c r="A92" s="83">
        <v>5072</v>
      </c>
      <c r="B92" s="229">
        <v>741200</v>
      </c>
      <c r="C92" s="84" t="s">
        <v>95</v>
      </c>
      <c r="D92" s="108"/>
      <c r="E92" s="109">
        <f t="shared" si="22"/>
        <v>0</v>
      </c>
      <c r="F92" s="108"/>
      <c r="G92" s="108"/>
      <c r="H92" s="108"/>
      <c r="I92" s="108"/>
      <c r="J92" s="108"/>
      <c r="K92" s="110"/>
      <c r="L92" s="137" t="e">
        <f t="shared" si="16"/>
        <v>#DIV/0!</v>
      </c>
    </row>
    <row r="93" spans="1:12" ht="16.5" hidden="1" customHeight="1" x14ac:dyDescent="0.25">
      <c r="A93" s="83">
        <v>5073</v>
      </c>
      <c r="B93" s="229">
        <v>741300</v>
      </c>
      <c r="C93" s="84" t="s">
        <v>96</v>
      </c>
      <c r="D93" s="108"/>
      <c r="E93" s="109">
        <f t="shared" si="22"/>
        <v>0</v>
      </c>
      <c r="F93" s="108"/>
      <c r="G93" s="108"/>
      <c r="H93" s="108"/>
      <c r="I93" s="108"/>
      <c r="J93" s="108"/>
      <c r="K93" s="110"/>
      <c r="L93" s="137" t="e">
        <f t="shared" si="16"/>
        <v>#DIV/0!</v>
      </c>
    </row>
    <row r="94" spans="1:12" ht="12.75" customHeight="1" x14ac:dyDescent="0.25">
      <c r="A94" s="83">
        <v>5074</v>
      </c>
      <c r="B94" s="229">
        <v>741400</v>
      </c>
      <c r="C94" s="84" t="s">
        <v>97</v>
      </c>
      <c r="D94" s="111">
        <v>1131</v>
      </c>
      <c r="E94" s="109">
        <f t="shared" si="22"/>
        <v>480</v>
      </c>
      <c r="F94" s="111"/>
      <c r="G94" s="111"/>
      <c r="H94" s="111"/>
      <c r="I94" s="111">
        <v>480</v>
      </c>
      <c r="J94" s="111"/>
      <c r="K94" s="112"/>
      <c r="L94" s="137">
        <f t="shared" si="16"/>
        <v>0.4244031830238727</v>
      </c>
    </row>
    <row r="95" spans="1:12" ht="16.5" hidden="1" customHeight="1" x14ac:dyDescent="0.25">
      <c r="A95" s="83">
        <v>5075</v>
      </c>
      <c r="B95" s="229">
        <v>741500</v>
      </c>
      <c r="C95" s="84" t="s">
        <v>98</v>
      </c>
      <c r="D95" s="108"/>
      <c r="E95" s="109">
        <f t="shared" si="22"/>
        <v>0</v>
      </c>
      <c r="F95" s="108"/>
      <c r="G95" s="108"/>
      <c r="H95" s="108"/>
      <c r="I95" s="108"/>
      <c r="J95" s="108"/>
      <c r="K95" s="110"/>
      <c r="L95" s="137" t="e">
        <f t="shared" si="16"/>
        <v>#DIV/0!</v>
      </c>
    </row>
    <row r="96" spans="1:12" ht="16.5" hidden="1" customHeight="1" x14ac:dyDescent="0.25">
      <c r="A96" s="83">
        <v>5076</v>
      </c>
      <c r="B96" s="229">
        <v>741600</v>
      </c>
      <c r="C96" s="84" t="s">
        <v>99</v>
      </c>
      <c r="D96" s="108"/>
      <c r="E96" s="109">
        <f t="shared" si="22"/>
        <v>0</v>
      </c>
      <c r="F96" s="108"/>
      <c r="G96" s="108"/>
      <c r="H96" s="108"/>
      <c r="I96" s="108"/>
      <c r="J96" s="108"/>
      <c r="K96" s="110"/>
      <c r="L96" s="137" t="e">
        <f t="shared" si="16"/>
        <v>#DIV/0!</v>
      </c>
    </row>
    <row r="97" spans="1:12" ht="12.75" customHeight="1" x14ac:dyDescent="0.25">
      <c r="A97" s="226">
        <v>5077</v>
      </c>
      <c r="B97" s="224">
        <v>742000</v>
      </c>
      <c r="C97" s="82" t="s">
        <v>100</v>
      </c>
      <c r="D97" s="100">
        <f>SUM(D98:D101)</f>
        <v>13700</v>
      </c>
      <c r="E97" s="100">
        <f t="shared" si="22"/>
        <v>9866</v>
      </c>
      <c r="F97" s="100">
        <f t="shared" ref="F97:K97" si="25">SUM(F98:F101)</f>
        <v>512</v>
      </c>
      <c r="G97" s="100">
        <f t="shared" si="25"/>
        <v>0</v>
      </c>
      <c r="H97" s="100">
        <f t="shared" si="25"/>
        <v>0</v>
      </c>
      <c r="I97" s="100">
        <f t="shared" si="25"/>
        <v>0</v>
      </c>
      <c r="J97" s="100">
        <f t="shared" si="25"/>
        <v>0</v>
      </c>
      <c r="K97" s="101">
        <f t="shared" si="25"/>
        <v>9354</v>
      </c>
      <c r="L97" s="137">
        <f t="shared" si="16"/>
        <v>0.72014598540145991</v>
      </c>
    </row>
    <row r="98" spans="1:12" ht="12.75" customHeight="1" x14ac:dyDescent="0.25">
      <c r="A98" s="83">
        <v>5078</v>
      </c>
      <c r="B98" s="229">
        <v>742100</v>
      </c>
      <c r="C98" s="84" t="s">
        <v>101</v>
      </c>
      <c r="D98" s="108">
        <v>5000</v>
      </c>
      <c r="E98" s="109">
        <f t="shared" si="22"/>
        <v>3360</v>
      </c>
      <c r="F98" s="108"/>
      <c r="G98" s="108"/>
      <c r="H98" s="108"/>
      <c r="I98" s="108"/>
      <c r="J98" s="108"/>
      <c r="K98" s="110">
        <v>3360</v>
      </c>
      <c r="L98" s="137">
        <f t="shared" si="16"/>
        <v>0.67200000000000004</v>
      </c>
    </row>
    <row r="99" spans="1:12" ht="16.5" hidden="1" customHeight="1" x14ac:dyDescent="0.25">
      <c r="A99" s="83">
        <v>5079</v>
      </c>
      <c r="B99" s="229">
        <v>742200</v>
      </c>
      <c r="C99" s="84" t="s">
        <v>102</v>
      </c>
      <c r="D99" s="108"/>
      <c r="E99" s="109">
        <f t="shared" si="22"/>
        <v>0</v>
      </c>
      <c r="F99" s="108"/>
      <c r="G99" s="108"/>
      <c r="H99" s="108"/>
      <c r="I99" s="108"/>
      <c r="J99" s="108"/>
      <c r="K99" s="110"/>
      <c r="L99" s="137" t="e">
        <f t="shared" si="16"/>
        <v>#DIV/0!</v>
      </c>
    </row>
    <row r="100" spans="1:12" ht="15.75" customHeight="1" x14ac:dyDescent="0.25">
      <c r="A100" s="83">
        <v>5080</v>
      </c>
      <c r="B100" s="229">
        <v>742300</v>
      </c>
      <c r="C100" s="84" t="s">
        <v>103</v>
      </c>
      <c r="D100" s="108">
        <v>8700</v>
      </c>
      <c r="E100" s="109">
        <f t="shared" si="22"/>
        <v>6506</v>
      </c>
      <c r="F100" s="108">
        <v>512</v>
      </c>
      <c r="G100" s="108"/>
      <c r="H100" s="108"/>
      <c r="I100" s="108"/>
      <c r="J100" s="108"/>
      <c r="K100" s="110">
        <v>5994</v>
      </c>
      <c r="L100" s="137">
        <f t="shared" si="16"/>
        <v>0.74781609195402299</v>
      </c>
    </row>
    <row r="101" spans="1:12" ht="16.5" hidden="1" customHeight="1" x14ac:dyDescent="0.25">
      <c r="A101" s="83">
        <v>5081</v>
      </c>
      <c r="B101" s="229">
        <v>742400</v>
      </c>
      <c r="C101" s="84" t="s">
        <v>104</v>
      </c>
      <c r="D101" s="108"/>
      <c r="E101" s="109">
        <f t="shared" si="22"/>
        <v>0</v>
      </c>
      <c r="F101" s="108"/>
      <c r="G101" s="108"/>
      <c r="H101" s="108"/>
      <c r="I101" s="108"/>
      <c r="J101" s="108"/>
      <c r="K101" s="110"/>
      <c r="L101" s="137" t="e">
        <f t="shared" si="16"/>
        <v>#DIV/0!</v>
      </c>
    </row>
    <row r="102" spans="1:12" ht="16.5" hidden="1" customHeight="1" x14ac:dyDescent="0.25">
      <c r="A102" s="226">
        <v>5082</v>
      </c>
      <c r="B102" s="224">
        <v>743000</v>
      </c>
      <c r="C102" s="82" t="s">
        <v>105</v>
      </c>
      <c r="D102" s="100">
        <f>SUM(D107:D112)</f>
        <v>0</v>
      </c>
      <c r="E102" s="100">
        <f t="shared" si="22"/>
        <v>0</v>
      </c>
      <c r="F102" s="100">
        <f t="shared" ref="F102:K102" si="26">SUM(F107:F112)</f>
        <v>0</v>
      </c>
      <c r="G102" s="100">
        <f t="shared" si="26"/>
        <v>0</v>
      </c>
      <c r="H102" s="100">
        <f t="shared" si="26"/>
        <v>0</v>
      </c>
      <c r="I102" s="100">
        <f t="shared" si="26"/>
        <v>0</v>
      </c>
      <c r="J102" s="100">
        <f t="shared" si="26"/>
        <v>0</v>
      </c>
      <c r="K102" s="101">
        <f t="shared" si="26"/>
        <v>0</v>
      </c>
      <c r="L102" s="137" t="e">
        <f t="shared" si="16"/>
        <v>#DIV/0!</v>
      </c>
    </row>
    <row r="103" spans="1:12" ht="16.5" hidden="1" customHeight="1" x14ac:dyDescent="0.25">
      <c r="A103" s="583" t="s">
        <v>0</v>
      </c>
      <c r="B103" s="584" t="s">
        <v>1</v>
      </c>
      <c r="C103" s="585" t="s">
        <v>2</v>
      </c>
      <c r="D103" s="575" t="s">
        <v>3</v>
      </c>
      <c r="E103" s="575" t="s">
        <v>4</v>
      </c>
      <c r="F103" s="575"/>
      <c r="G103" s="575"/>
      <c r="H103" s="575"/>
      <c r="I103" s="575"/>
      <c r="J103" s="575"/>
      <c r="K103" s="582"/>
      <c r="L103" s="137" t="e">
        <f t="shared" si="16"/>
        <v>#VALUE!</v>
      </c>
    </row>
    <row r="104" spans="1:12" ht="16.5" hidden="1" customHeight="1" x14ac:dyDescent="0.25">
      <c r="A104" s="583"/>
      <c r="B104" s="584"/>
      <c r="C104" s="585"/>
      <c r="D104" s="575"/>
      <c r="E104" s="581" t="s">
        <v>5</v>
      </c>
      <c r="F104" s="575" t="s">
        <v>6</v>
      </c>
      <c r="G104" s="575"/>
      <c r="H104" s="575"/>
      <c r="I104" s="575"/>
      <c r="J104" s="575" t="s">
        <v>7</v>
      </c>
      <c r="K104" s="582" t="s">
        <v>8</v>
      </c>
      <c r="L104" s="137" t="e">
        <f t="shared" si="16"/>
        <v>#VALUE!</v>
      </c>
    </row>
    <row r="105" spans="1:12" ht="16.5" hidden="1" customHeight="1" x14ac:dyDescent="0.25">
      <c r="A105" s="583"/>
      <c r="B105" s="584"/>
      <c r="C105" s="585"/>
      <c r="D105" s="575"/>
      <c r="E105" s="581"/>
      <c r="F105" s="224" t="s">
        <v>9</v>
      </c>
      <c r="G105" s="224" t="s">
        <v>10</v>
      </c>
      <c r="H105" s="224" t="s">
        <v>11</v>
      </c>
      <c r="I105" s="224" t="s">
        <v>12</v>
      </c>
      <c r="J105" s="575"/>
      <c r="K105" s="582"/>
      <c r="L105" s="137" t="e">
        <f t="shared" si="16"/>
        <v>#DIV/0!</v>
      </c>
    </row>
    <row r="106" spans="1:12" ht="16.5" hidden="1" customHeight="1" x14ac:dyDescent="0.25">
      <c r="A106" s="85" t="s">
        <v>18</v>
      </c>
      <c r="B106" s="223" t="s">
        <v>19</v>
      </c>
      <c r="C106" s="223" t="s">
        <v>20</v>
      </c>
      <c r="D106" s="86" t="s">
        <v>21</v>
      </c>
      <c r="E106" s="86" t="s">
        <v>22</v>
      </c>
      <c r="F106" s="86" t="s">
        <v>23</v>
      </c>
      <c r="G106" s="86" t="s">
        <v>24</v>
      </c>
      <c r="H106" s="86" t="s">
        <v>25</v>
      </c>
      <c r="I106" s="86" t="s">
        <v>26</v>
      </c>
      <c r="J106" s="86" t="s">
        <v>27</v>
      </c>
      <c r="K106" s="98" t="s">
        <v>28</v>
      </c>
      <c r="L106" s="137">
        <f t="shared" si="16"/>
        <v>1.25</v>
      </c>
    </row>
    <row r="107" spans="1:12" ht="16.5" hidden="1" customHeight="1" x14ac:dyDescent="0.25">
      <c r="A107" s="83">
        <v>5083</v>
      </c>
      <c r="B107" s="229">
        <v>743100</v>
      </c>
      <c r="C107" s="84" t="s">
        <v>106</v>
      </c>
      <c r="D107" s="108"/>
      <c r="E107" s="109">
        <f t="shared" si="22"/>
        <v>0</v>
      </c>
      <c r="F107" s="108"/>
      <c r="G107" s="108"/>
      <c r="H107" s="108"/>
      <c r="I107" s="108"/>
      <c r="J107" s="108"/>
      <c r="K107" s="110"/>
      <c r="L107" s="137" t="e">
        <f t="shared" si="16"/>
        <v>#DIV/0!</v>
      </c>
    </row>
    <row r="108" spans="1:12" ht="16.5" hidden="1" customHeight="1" x14ac:dyDescent="0.25">
      <c r="A108" s="83">
        <v>5084</v>
      </c>
      <c r="B108" s="229">
        <v>743200</v>
      </c>
      <c r="C108" s="84" t="s">
        <v>107</v>
      </c>
      <c r="D108" s="108"/>
      <c r="E108" s="109">
        <f t="shared" si="22"/>
        <v>0</v>
      </c>
      <c r="F108" s="108"/>
      <c r="G108" s="108"/>
      <c r="H108" s="108"/>
      <c r="I108" s="108"/>
      <c r="J108" s="108"/>
      <c r="K108" s="110"/>
      <c r="L108" s="137" t="e">
        <f t="shared" si="16"/>
        <v>#DIV/0!</v>
      </c>
    </row>
    <row r="109" spans="1:12" ht="16.5" hidden="1" customHeight="1" x14ac:dyDescent="0.25">
      <c r="A109" s="83">
        <v>5085</v>
      </c>
      <c r="B109" s="229">
        <v>743300</v>
      </c>
      <c r="C109" s="84" t="s">
        <v>108</v>
      </c>
      <c r="D109" s="108"/>
      <c r="E109" s="109">
        <f t="shared" si="22"/>
        <v>0</v>
      </c>
      <c r="F109" s="108"/>
      <c r="G109" s="108"/>
      <c r="H109" s="108"/>
      <c r="I109" s="108"/>
      <c r="J109" s="108"/>
      <c r="K109" s="110"/>
      <c r="L109" s="137" t="e">
        <f t="shared" si="16"/>
        <v>#DIV/0!</v>
      </c>
    </row>
    <row r="110" spans="1:12" ht="16.5" hidden="1" customHeight="1" x14ac:dyDescent="0.25">
      <c r="A110" s="83">
        <v>5086</v>
      </c>
      <c r="B110" s="229">
        <v>743400</v>
      </c>
      <c r="C110" s="84" t="s">
        <v>109</v>
      </c>
      <c r="D110" s="108"/>
      <c r="E110" s="109">
        <f t="shared" si="22"/>
        <v>0</v>
      </c>
      <c r="F110" s="108"/>
      <c r="G110" s="108"/>
      <c r="H110" s="108"/>
      <c r="I110" s="108"/>
      <c r="J110" s="108"/>
      <c r="K110" s="110"/>
      <c r="L110" s="137" t="e">
        <f t="shared" si="16"/>
        <v>#DIV/0!</v>
      </c>
    </row>
    <row r="111" spans="1:12" ht="16.5" hidden="1" customHeight="1" x14ac:dyDescent="0.25">
      <c r="A111" s="83">
        <v>5087</v>
      </c>
      <c r="B111" s="229">
        <v>743500</v>
      </c>
      <c r="C111" s="84" t="s">
        <v>110</v>
      </c>
      <c r="D111" s="108"/>
      <c r="E111" s="109">
        <f t="shared" si="22"/>
        <v>0</v>
      </c>
      <c r="F111" s="108"/>
      <c r="G111" s="108"/>
      <c r="H111" s="108"/>
      <c r="I111" s="108"/>
      <c r="J111" s="108"/>
      <c r="K111" s="110"/>
      <c r="L111" s="137" t="e">
        <f t="shared" si="16"/>
        <v>#DIV/0!</v>
      </c>
    </row>
    <row r="112" spans="1:12" ht="1.5" hidden="1" customHeight="1" x14ac:dyDescent="0.25">
      <c r="A112" s="83">
        <v>5088</v>
      </c>
      <c r="B112" s="229">
        <v>743900</v>
      </c>
      <c r="C112" s="84" t="s">
        <v>111</v>
      </c>
      <c r="D112" s="108"/>
      <c r="E112" s="109">
        <f t="shared" si="22"/>
        <v>0</v>
      </c>
      <c r="F112" s="108"/>
      <c r="G112" s="108"/>
      <c r="H112" s="108"/>
      <c r="I112" s="108"/>
      <c r="J112" s="108"/>
      <c r="K112" s="110"/>
      <c r="L112" s="137" t="e">
        <f t="shared" si="16"/>
        <v>#DIV/0!</v>
      </c>
    </row>
    <row r="113" spans="1:12" ht="12.75" customHeight="1" x14ac:dyDescent="0.25">
      <c r="A113" s="226">
        <v>5089</v>
      </c>
      <c r="B113" s="224">
        <v>744000</v>
      </c>
      <c r="C113" s="82" t="s">
        <v>533</v>
      </c>
      <c r="D113" s="100">
        <f>D114+D115</f>
        <v>100</v>
      </c>
      <c r="E113" s="100">
        <f t="shared" si="22"/>
        <v>100</v>
      </c>
      <c r="F113" s="100">
        <f t="shared" ref="F113:K113" si="27">F114+F115</f>
        <v>0</v>
      </c>
      <c r="G113" s="100">
        <f t="shared" si="27"/>
        <v>0</v>
      </c>
      <c r="H113" s="100">
        <f t="shared" si="27"/>
        <v>0</v>
      </c>
      <c r="I113" s="100">
        <f t="shared" si="27"/>
        <v>0</v>
      </c>
      <c r="J113" s="100">
        <f t="shared" si="27"/>
        <v>0</v>
      </c>
      <c r="K113" s="101">
        <f t="shared" si="27"/>
        <v>100</v>
      </c>
      <c r="L113" s="137">
        <f t="shared" si="16"/>
        <v>1</v>
      </c>
    </row>
    <row r="114" spans="1:12" ht="12.75" customHeight="1" x14ac:dyDescent="0.25">
      <c r="A114" s="83">
        <v>5090</v>
      </c>
      <c r="B114" s="229">
        <v>744100</v>
      </c>
      <c r="C114" s="84" t="s">
        <v>113</v>
      </c>
      <c r="D114" s="108">
        <v>100</v>
      </c>
      <c r="E114" s="109">
        <f t="shared" si="22"/>
        <v>100</v>
      </c>
      <c r="F114" s="108"/>
      <c r="G114" s="108"/>
      <c r="H114" s="108"/>
      <c r="I114" s="108"/>
      <c r="J114" s="108"/>
      <c r="K114" s="110">
        <v>100</v>
      </c>
      <c r="L114" s="137">
        <f t="shared" si="16"/>
        <v>1</v>
      </c>
    </row>
    <row r="115" spans="1:12" ht="16.5" hidden="1" customHeight="1" x14ac:dyDescent="0.25">
      <c r="A115" s="83">
        <v>5091</v>
      </c>
      <c r="B115" s="229">
        <v>744200</v>
      </c>
      <c r="C115" s="84" t="s">
        <v>114</v>
      </c>
      <c r="D115" s="108"/>
      <c r="E115" s="109">
        <f t="shared" si="22"/>
        <v>0</v>
      </c>
      <c r="F115" s="108"/>
      <c r="G115" s="108"/>
      <c r="H115" s="108"/>
      <c r="I115" s="108"/>
      <c r="J115" s="108"/>
      <c r="K115" s="110"/>
      <c r="L115" s="137" t="e">
        <f t="shared" si="16"/>
        <v>#DIV/0!</v>
      </c>
    </row>
    <row r="116" spans="1:12" ht="16.5" hidden="1" customHeight="1" x14ac:dyDescent="0.25">
      <c r="A116" s="226">
        <v>5092</v>
      </c>
      <c r="B116" s="224">
        <v>745000</v>
      </c>
      <c r="C116" s="82" t="s">
        <v>115</v>
      </c>
      <c r="D116" s="100">
        <f>D117</f>
        <v>0</v>
      </c>
      <c r="E116" s="100">
        <f t="shared" si="22"/>
        <v>0</v>
      </c>
      <c r="F116" s="100">
        <f t="shared" ref="F116:K116" si="28">F117</f>
        <v>0</v>
      </c>
      <c r="G116" s="100">
        <f t="shared" si="28"/>
        <v>0</v>
      </c>
      <c r="H116" s="100">
        <f t="shared" si="28"/>
        <v>0</v>
      </c>
      <c r="I116" s="100">
        <f t="shared" si="28"/>
        <v>0</v>
      </c>
      <c r="J116" s="100">
        <f t="shared" si="28"/>
        <v>0</v>
      </c>
      <c r="K116" s="101">
        <f t="shared" si="28"/>
        <v>0</v>
      </c>
      <c r="L116" s="137" t="e">
        <f t="shared" si="16"/>
        <v>#DIV/0!</v>
      </c>
    </row>
    <row r="117" spans="1:12" ht="16.5" hidden="1" customHeight="1" x14ac:dyDescent="0.25">
      <c r="A117" s="83">
        <v>5093</v>
      </c>
      <c r="B117" s="229">
        <v>745100</v>
      </c>
      <c r="C117" s="84" t="s">
        <v>116</v>
      </c>
      <c r="D117" s="108"/>
      <c r="E117" s="109">
        <f t="shared" si="22"/>
        <v>0</v>
      </c>
      <c r="F117" s="108"/>
      <c r="G117" s="108"/>
      <c r="H117" s="108"/>
      <c r="I117" s="108"/>
      <c r="J117" s="108"/>
      <c r="K117" s="110"/>
      <c r="L117" s="137" t="e">
        <f t="shared" si="16"/>
        <v>#DIV/0!</v>
      </c>
    </row>
    <row r="118" spans="1:12" ht="16.5" hidden="1" customHeight="1" x14ac:dyDescent="0.25">
      <c r="A118" s="226">
        <v>5094</v>
      </c>
      <c r="B118" s="224">
        <v>770000</v>
      </c>
      <c r="C118" s="82" t="s">
        <v>117</v>
      </c>
      <c r="D118" s="100">
        <f>D119+D121</f>
        <v>0</v>
      </c>
      <c r="E118" s="100">
        <f t="shared" si="22"/>
        <v>0</v>
      </c>
      <c r="F118" s="100">
        <f t="shared" ref="F118:K118" si="29">F119+F121</f>
        <v>0</v>
      </c>
      <c r="G118" s="100">
        <f t="shared" si="29"/>
        <v>0</v>
      </c>
      <c r="H118" s="100">
        <f t="shared" si="29"/>
        <v>0</v>
      </c>
      <c r="I118" s="100">
        <f t="shared" si="29"/>
        <v>0</v>
      </c>
      <c r="J118" s="100">
        <f t="shared" si="29"/>
        <v>0</v>
      </c>
      <c r="K118" s="101">
        <f t="shared" si="29"/>
        <v>0</v>
      </c>
      <c r="L118" s="137" t="e">
        <f t="shared" si="16"/>
        <v>#DIV/0!</v>
      </c>
    </row>
    <row r="119" spans="1:12" ht="16.5" hidden="1" customHeight="1" x14ac:dyDescent="0.25">
      <c r="A119" s="226">
        <v>5095</v>
      </c>
      <c r="B119" s="224">
        <v>771000</v>
      </c>
      <c r="C119" s="82" t="s">
        <v>118</v>
      </c>
      <c r="D119" s="100">
        <f>D120</f>
        <v>0</v>
      </c>
      <c r="E119" s="100">
        <f t="shared" si="22"/>
        <v>0</v>
      </c>
      <c r="F119" s="100">
        <f t="shared" ref="F119:K119" si="30">F120</f>
        <v>0</v>
      </c>
      <c r="G119" s="100">
        <f t="shared" si="30"/>
        <v>0</v>
      </c>
      <c r="H119" s="100">
        <f t="shared" si="30"/>
        <v>0</v>
      </c>
      <c r="I119" s="100">
        <f t="shared" si="30"/>
        <v>0</v>
      </c>
      <c r="J119" s="100">
        <f t="shared" si="30"/>
        <v>0</v>
      </c>
      <c r="K119" s="101">
        <f t="shared" si="30"/>
        <v>0</v>
      </c>
      <c r="L119" s="137" t="e">
        <f t="shared" si="16"/>
        <v>#DIV/0!</v>
      </c>
    </row>
    <row r="120" spans="1:12" ht="16.5" hidden="1" customHeight="1" x14ac:dyDescent="0.25">
      <c r="A120" s="83">
        <v>5096</v>
      </c>
      <c r="B120" s="229">
        <v>771100</v>
      </c>
      <c r="C120" s="84" t="s">
        <v>119</v>
      </c>
      <c r="D120" s="108"/>
      <c r="E120" s="109">
        <f t="shared" si="22"/>
        <v>0</v>
      </c>
      <c r="F120" s="108"/>
      <c r="G120" s="108"/>
      <c r="H120" s="108"/>
      <c r="I120" s="108"/>
      <c r="J120" s="108"/>
      <c r="K120" s="110"/>
      <c r="L120" s="137" t="e">
        <f t="shared" si="16"/>
        <v>#DIV/0!</v>
      </c>
    </row>
    <row r="121" spans="1:12" ht="16.5" hidden="1" customHeight="1" x14ac:dyDescent="0.25">
      <c r="A121" s="226">
        <v>5097</v>
      </c>
      <c r="B121" s="224">
        <v>772000</v>
      </c>
      <c r="C121" s="82" t="s">
        <v>120</v>
      </c>
      <c r="D121" s="100">
        <f>D122</f>
        <v>0</v>
      </c>
      <c r="E121" s="100">
        <f t="shared" si="22"/>
        <v>0</v>
      </c>
      <c r="F121" s="100">
        <f t="shared" ref="F121:K121" si="31">F122</f>
        <v>0</v>
      </c>
      <c r="G121" s="100">
        <f t="shared" si="31"/>
        <v>0</v>
      </c>
      <c r="H121" s="100">
        <f t="shared" si="31"/>
        <v>0</v>
      </c>
      <c r="I121" s="100">
        <f t="shared" si="31"/>
        <v>0</v>
      </c>
      <c r="J121" s="100">
        <f t="shared" si="31"/>
        <v>0</v>
      </c>
      <c r="K121" s="101">
        <f t="shared" si="31"/>
        <v>0</v>
      </c>
      <c r="L121" s="137" t="e">
        <f t="shared" si="16"/>
        <v>#DIV/0!</v>
      </c>
    </row>
    <row r="122" spans="1:12" ht="16.5" hidden="1" customHeight="1" x14ac:dyDescent="0.25">
      <c r="A122" s="83">
        <v>5098</v>
      </c>
      <c r="B122" s="229">
        <v>772100</v>
      </c>
      <c r="C122" s="84" t="s">
        <v>121</v>
      </c>
      <c r="D122" s="108"/>
      <c r="E122" s="109">
        <f t="shared" si="22"/>
        <v>0</v>
      </c>
      <c r="F122" s="108"/>
      <c r="G122" s="108"/>
      <c r="H122" s="108"/>
      <c r="I122" s="108"/>
      <c r="J122" s="108"/>
      <c r="K122" s="110"/>
      <c r="L122" s="137" t="e">
        <f t="shared" si="16"/>
        <v>#DIV/0!</v>
      </c>
    </row>
    <row r="123" spans="1:12" ht="12.75" customHeight="1" x14ac:dyDescent="0.25">
      <c r="A123" s="226">
        <v>5099</v>
      </c>
      <c r="B123" s="224">
        <v>780000</v>
      </c>
      <c r="C123" s="82" t="s">
        <v>122</v>
      </c>
      <c r="D123" s="100">
        <f>D124</f>
        <v>1475538</v>
      </c>
      <c r="E123" s="100">
        <f t="shared" ref="E123:E162" si="32">SUM(F123:K123)</f>
        <v>1131712</v>
      </c>
      <c r="F123" s="100">
        <f t="shared" ref="F123:K123" si="33">F124</f>
        <v>0</v>
      </c>
      <c r="G123" s="100">
        <f t="shared" si="33"/>
        <v>0</v>
      </c>
      <c r="H123" s="100">
        <f t="shared" si="33"/>
        <v>0</v>
      </c>
      <c r="I123" s="100">
        <f t="shared" si="33"/>
        <v>1131712</v>
      </c>
      <c r="J123" s="100">
        <f t="shared" si="33"/>
        <v>0</v>
      </c>
      <c r="K123" s="101">
        <f t="shared" si="33"/>
        <v>0</v>
      </c>
      <c r="L123" s="137">
        <f t="shared" si="16"/>
        <v>0.76698261922092148</v>
      </c>
    </row>
    <row r="124" spans="1:12" ht="12.75" customHeight="1" x14ac:dyDescent="0.25">
      <c r="A124" s="226">
        <v>5100</v>
      </c>
      <c r="B124" s="224">
        <v>781000</v>
      </c>
      <c r="C124" s="82" t="s">
        <v>123</v>
      </c>
      <c r="D124" s="100">
        <f>D125+D126</f>
        <v>1475538</v>
      </c>
      <c r="E124" s="100">
        <f t="shared" si="32"/>
        <v>1131712</v>
      </c>
      <c r="F124" s="100">
        <f t="shared" ref="F124:K124" si="34">F125+F126</f>
        <v>0</v>
      </c>
      <c r="G124" s="100">
        <f t="shared" si="34"/>
        <v>0</v>
      </c>
      <c r="H124" s="100">
        <f t="shared" si="34"/>
        <v>0</v>
      </c>
      <c r="I124" s="100">
        <f t="shared" si="34"/>
        <v>1131712</v>
      </c>
      <c r="J124" s="100">
        <f t="shared" si="34"/>
        <v>0</v>
      </c>
      <c r="K124" s="101">
        <f t="shared" si="34"/>
        <v>0</v>
      </c>
      <c r="L124" s="137">
        <f t="shared" si="16"/>
        <v>0.76698261922092148</v>
      </c>
    </row>
    <row r="125" spans="1:12" ht="12.75" customHeight="1" x14ac:dyDescent="0.25">
      <c r="A125" s="83">
        <v>5101</v>
      </c>
      <c r="B125" s="229">
        <v>781100</v>
      </c>
      <c r="C125" s="84" t="s">
        <v>124</v>
      </c>
      <c r="D125" s="108">
        <f>1442790+315+8072+399+2586+274+18289+2813</f>
        <v>1475538</v>
      </c>
      <c r="E125" s="109">
        <f>SUM(F125:K125)</f>
        <v>1131712</v>
      </c>
      <c r="F125" s="108"/>
      <c r="G125" s="108"/>
      <c r="H125" s="108"/>
      <c r="I125" s="108">
        <v>1131712</v>
      </c>
      <c r="J125" s="108"/>
      <c r="K125" s="110"/>
      <c r="L125" s="137">
        <f t="shared" si="16"/>
        <v>0.76698261922092148</v>
      </c>
    </row>
    <row r="126" spans="1:12" ht="16.5" hidden="1" customHeight="1" x14ac:dyDescent="0.25">
      <c r="A126" s="83">
        <v>5102</v>
      </c>
      <c r="B126" s="229">
        <v>781300</v>
      </c>
      <c r="C126" s="84" t="s">
        <v>125</v>
      </c>
      <c r="D126" s="108"/>
      <c r="E126" s="109">
        <f t="shared" si="32"/>
        <v>0</v>
      </c>
      <c r="F126" s="108"/>
      <c r="G126" s="108"/>
      <c r="H126" s="108"/>
      <c r="I126" s="108"/>
      <c r="J126" s="108"/>
      <c r="K126" s="110"/>
      <c r="L126" s="137" t="e">
        <f t="shared" si="16"/>
        <v>#DIV/0!</v>
      </c>
    </row>
    <row r="127" spans="1:12" ht="12.75" customHeight="1" x14ac:dyDescent="0.25">
      <c r="A127" s="226">
        <v>5103</v>
      </c>
      <c r="B127" s="224">
        <v>790000</v>
      </c>
      <c r="C127" s="82" t="s">
        <v>126</v>
      </c>
      <c r="D127" s="100">
        <f>D128</f>
        <v>31727</v>
      </c>
      <c r="E127" s="100">
        <f t="shared" si="32"/>
        <v>11141</v>
      </c>
      <c r="F127" s="100">
        <f t="shared" ref="F127:K127" si="35">F128</f>
        <v>11141</v>
      </c>
      <c r="G127" s="100">
        <f t="shared" si="35"/>
        <v>0</v>
      </c>
      <c r="H127" s="100">
        <f t="shared" si="35"/>
        <v>0</v>
      </c>
      <c r="I127" s="100">
        <f t="shared" si="35"/>
        <v>0</v>
      </c>
      <c r="J127" s="100">
        <f t="shared" si="35"/>
        <v>0</v>
      </c>
      <c r="K127" s="101">
        <f t="shared" si="35"/>
        <v>0</v>
      </c>
      <c r="L127" s="137">
        <f t="shared" si="16"/>
        <v>0.35115201563337223</v>
      </c>
    </row>
    <row r="128" spans="1:12" ht="12.75" customHeight="1" x14ac:dyDescent="0.25">
      <c r="A128" s="226">
        <v>5104</v>
      </c>
      <c r="B128" s="224">
        <v>791000</v>
      </c>
      <c r="C128" s="82" t="s">
        <v>127</v>
      </c>
      <c r="D128" s="100">
        <f>D133</f>
        <v>31727</v>
      </c>
      <c r="E128" s="100">
        <f t="shared" si="32"/>
        <v>11141</v>
      </c>
      <c r="F128" s="100">
        <f t="shared" ref="F128:K128" si="36">F133</f>
        <v>11141</v>
      </c>
      <c r="G128" s="100">
        <f t="shared" si="36"/>
        <v>0</v>
      </c>
      <c r="H128" s="100">
        <f t="shared" si="36"/>
        <v>0</v>
      </c>
      <c r="I128" s="100">
        <f t="shared" si="36"/>
        <v>0</v>
      </c>
      <c r="J128" s="100">
        <f t="shared" si="36"/>
        <v>0</v>
      </c>
      <c r="K128" s="101">
        <f t="shared" si="36"/>
        <v>0</v>
      </c>
      <c r="L128" s="137">
        <f t="shared" si="16"/>
        <v>0.35115201563337223</v>
      </c>
    </row>
    <row r="129" spans="1:12" ht="16.5" hidden="1" customHeight="1" x14ac:dyDescent="0.25">
      <c r="A129" s="583" t="s">
        <v>0</v>
      </c>
      <c r="B129" s="584" t="s">
        <v>1</v>
      </c>
      <c r="C129" s="585" t="s">
        <v>2</v>
      </c>
      <c r="D129" s="575" t="s">
        <v>3</v>
      </c>
      <c r="E129" s="575" t="s">
        <v>4</v>
      </c>
      <c r="F129" s="575"/>
      <c r="G129" s="575"/>
      <c r="H129" s="575"/>
      <c r="I129" s="575"/>
      <c r="J129" s="575"/>
      <c r="K129" s="582"/>
      <c r="L129" s="137" t="e">
        <f t="shared" si="16"/>
        <v>#VALUE!</v>
      </c>
    </row>
    <row r="130" spans="1:12" ht="16.5" hidden="1" customHeight="1" x14ac:dyDescent="0.25">
      <c r="A130" s="583"/>
      <c r="B130" s="584"/>
      <c r="C130" s="585"/>
      <c r="D130" s="575"/>
      <c r="E130" s="581" t="s">
        <v>5</v>
      </c>
      <c r="F130" s="575" t="s">
        <v>6</v>
      </c>
      <c r="G130" s="575"/>
      <c r="H130" s="575"/>
      <c r="I130" s="575"/>
      <c r="J130" s="575" t="s">
        <v>7</v>
      </c>
      <c r="K130" s="582" t="s">
        <v>8</v>
      </c>
      <c r="L130" s="137" t="e">
        <f t="shared" si="16"/>
        <v>#VALUE!</v>
      </c>
    </row>
    <row r="131" spans="1:12" ht="16.5" hidden="1" customHeight="1" x14ac:dyDescent="0.25">
      <c r="A131" s="583"/>
      <c r="B131" s="584"/>
      <c r="C131" s="585"/>
      <c r="D131" s="575"/>
      <c r="E131" s="581"/>
      <c r="F131" s="224" t="s">
        <v>9</v>
      </c>
      <c r="G131" s="224" t="s">
        <v>10</v>
      </c>
      <c r="H131" s="224" t="s">
        <v>11</v>
      </c>
      <c r="I131" s="224" t="s">
        <v>12</v>
      </c>
      <c r="J131" s="575"/>
      <c r="K131" s="582"/>
      <c r="L131" s="137" t="e">
        <f t="shared" si="16"/>
        <v>#DIV/0!</v>
      </c>
    </row>
    <row r="132" spans="1:12" ht="16.5" hidden="1" customHeight="1" x14ac:dyDescent="0.25">
      <c r="A132" s="85" t="s">
        <v>18</v>
      </c>
      <c r="B132" s="223" t="s">
        <v>19</v>
      </c>
      <c r="C132" s="223" t="s">
        <v>20</v>
      </c>
      <c r="D132" s="86" t="s">
        <v>21</v>
      </c>
      <c r="E132" s="86" t="s">
        <v>22</v>
      </c>
      <c r="F132" s="86" t="s">
        <v>23</v>
      </c>
      <c r="G132" s="86" t="s">
        <v>24</v>
      </c>
      <c r="H132" s="86" t="s">
        <v>25</v>
      </c>
      <c r="I132" s="86" t="s">
        <v>26</v>
      </c>
      <c r="J132" s="86" t="s">
        <v>27</v>
      </c>
      <c r="K132" s="98" t="s">
        <v>28</v>
      </c>
      <c r="L132" s="137">
        <f t="shared" si="16"/>
        <v>1.25</v>
      </c>
    </row>
    <row r="133" spans="1:12" ht="12.75" customHeight="1" x14ac:dyDescent="0.25">
      <c r="A133" s="83">
        <v>5105</v>
      </c>
      <c r="B133" s="229">
        <v>791100</v>
      </c>
      <c r="C133" s="84" t="s">
        <v>128</v>
      </c>
      <c r="D133" s="108">
        <f>21042-42+3280+7447</f>
        <v>31727</v>
      </c>
      <c r="E133" s="109">
        <f t="shared" si="32"/>
        <v>11141</v>
      </c>
      <c r="F133" s="108">
        <v>11141</v>
      </c>
      <c r="G133" s="108"/>
      <c r="H133" s="108"/>
      <c r="I133" s="108"/>
      <c r="J133" s="108"/>
      <c r="K133" s="110"/>
      <c r="L133" s="137">
        <f t="shared" si="16"/>
        <v>0.35115201563337223</v>
      </c>
    </row>
    <row r="134" spans="1:12" ht="12.75" customHeight="1" x14ac:dyDescent="0.25">
      <c r="A134" s="226">
        <v>5106</v>
      </c>
      <c r="B134" s="224">
        <v>800000</v>
      </c>
      <c r="C134" s="82" t="s">
        <v>534</v>
      </c>
      <c r="D134" s="100">
        <f>D135+D142+D149+D152</f>
        <v>255</v>
      </c>
      <c r="E134" s="100">
        <f t="shared" si="32"/>
        <v>255</v>
      </c>
      <c r="F134" s="100">
        <f t="shared" ref="F134:K134" si="37">F135+F142+F149+F152</f>
        <v>0</v>
      </c>
      <c r="G134" s="100">
        <f t="shared" si="37"/>
        <v>0</v>
      </c>
      <c r="H134" s="100">
        <f t="shared" si="37"/>
        <v>0</v>
      </c>
      <c r="I134" s="100">
        <f t="shared" si="37"/>
        <v>0</v>
      </c>
      <c r="J134" s="100">
        <f t="shared" si="37"/>
        <v>0</v>
      </c>
      <c r="K134" s="101">
        <f t="shared" si="37"/>
        <v>255</v>
      </c>
      <c r="L134" s="137">
        <f t="shared" si="16"/>
        <v>1</v>
      </c>
    </row>
    <row r="135" spans="1:12" ht="12.75" customHeight="1" x14ac:dyDescent="0.25">
      <c r="A135" s="226">
        <v>5107</v>
      </c>
      <c r="B135" s="224">
        <v>810000</v>
      </c>
      <c r="C135" s="82" t="s">
        <v>535</v>
      </c>
      <c r="D135" s="100">
        <f>D136+D138+D140</f>
        <v>255</v>
      </c>
      <c r="E135" s="100">
        <f t="shared" si="32"/>
        <v>255</v>
      </c>
      <c r="F135" s="100">
        <f t="shared" ref="F135:K135" si="38">F136+F138+F140</f>
        <v>0</v>
      </c>
      <c r="G135" s="100">
        <f t="shared" si="38"/>
        <v>0</v>
      </c>
      <c r="H135" s="100">
        <f t="shared" si="38"/>
        <v>0</v>
      </c>
      <c r="I135" s="100">
        <f t="shared" si="38"/>
        <v>0</v>
      </c>
      <c r="J135" s="100">
        <f t="shared" si="38"/>
        <v>0</v>
      </c>
      <c r="K135" s="101">
        <f t="shared" si="38"/>
        <v>255</v>
      </c>
      <c r="L135" s="137">
        <f t="shared" si="16"/>
        <v>1</v>
      </c>
    </row>
    <row r="136" spans="1:12" ht="16.5" hidden="1" customHeight="1" x14ac:dyDescent="0.25">
      <c r="A136" s="226">
        <v>5108</v>
      </c>
      <c r="B136" s="224">
        <v>811000</v>
      </c>
      <c r="C136" s="82" t="s">
        <v>131</v>
      </c>
      <c r="D136" s="100">
        <f>D137</f>
        <v>0</v>
      </c>
      <c r="E136" s="100">
        <f t="shared" si="32"/>
        <v>0</v>
      </c>
      <c r="F136" s="100">
        <f t="shared" ref="F136:K136" si="39">F137</f>
        <v>0</v>
      </c>
      <c r="G136" s="100">
        <f t="shared" si="39"/>
        <v>0</v>
      </c>
      <c r="H136" s="100">
        <f t="shared" si="39"/>
        <v>0</v>
      </c>
      <c r="I136" s="100">
        <f t="shared" si="39"/>
        <v>0</v>
      </c>
      <c r="J136" s="100">
        <f t="shared" si="39"/>
        <v>0</v>
      </c>
      <c r="K136" s="101">
        <f t="shared" si="39"/>
        <v>0</v>
      </c>
      <c r="L136" s="137" t="e">
        <f t="shared" si="16"/>
        <v>#DIV/0!</v>
      </c>
    </row>
    <row r="137" spans="1:12" ht="16.5" hidden="1" customHeight="1" x14ac:dyDescent="0.25">
      <c r="A137" s="83">
        <v>5109</v>
      </c>
      <c r="B137" s="229">
        <v>811100</v>
      </c>
      <c r="C137" s="84" t="s">
        <v>132</v>
      </c>
      <c r="D137" s="108"/>
      <c r="E137" s="109">
        <f t="shared" si="32"/>
        <v>0</v>
      </c>
      <c r="F137" s="108"/>
      <c r="G137" s="108"/>
      <c r="H137" s="108"/>
      <c r="I137" s="108"/>
      <c r="J137" s="108"/>
      <c r="K137" s="110"/>
      <c r="L137" s="137" t="e">
        <f t="shared" si="16"/>
        <v>#DIV/0!</v>
      </c>
    </row>
    <row r="138" spans="1:12" ht="12.75" customHeight="1" x14ac:dyDescent="0.25">
      <c r="A138" s="226">
        <v>5110</v>
      </c>
      <c r="B138" s="224">
        <v>812000</v>
      </c>
      <c r="C138" s="82" t="s">
        <v>133</v>
      </c>
      <c r="D138" s="100">
        <f>D139</f>
        <v>255</v>
      </c>
      <c r="E138" s="100">
        <f t="shared" si="32"/>
        <v>255</v>
      </c>
      <c r="F138" s="100">
        <f t="shared" ref="F138:K138" si="40">F139</f>
        <v>0</v>
      </c>
      <c r="G138" s="100">
        <f t="shared" si="40"/>
        <v>0</v>
      </c>
      <c r="H138" s="100">
        <f t="shared" si="40"/>
        <v>0</v>
      </c>
      <c r="I138" s="100">
        <f t="shared" si="40"/>
        <v>0</v>
      </c>
      <c r="J138" s="100">
        <f t="shared" si="40"/>
        <v>0</v>
      </c>
      <c r="K138" s="101">
        <f t="shared" si="40"/>
        <v>255</v>
      </c>
      <c r="L138" s="137">
        <f t="shared" ref="L138:L201" si="41">E138/D138</f>
        <v>1</v>
      </c>
    </row>
    <row r="139" spans="1:12" ht="12.75" customHeight="1" x14ac:dyDescent="0.25">
      <c r="A139" s="83">
        <v>5111</v>
      </c>
      <c r="B139" s="229">
        <v>812100</v>
      </c>
      <c r="C139" s="84" t="s">
        <v>134</v>
      </c>
      <c r="D139" s="108">
        <v>255</v>
      </c>
      <c r="E139" s="109">
        <f t="shared" si="32"/>
        <v>255</v>
      </c>
      <c r="F139" s="108"/>
      <c r="G139" s="108"/>
      <c r="H139" s="108"/>
      <c r="I139" s="108"/>
      <c r="J139" s="108"/>
      <c r="K139" s="110">
        <v>255</v>
      </c>
      <c r="L139" s="137">
        <f t="shared" si="41"/>
        <v>1</v>
      </c>
    </row>
    <row r="140" spans="1:12" ht="16.5" hidden="1" customHeight="1" x14ac:dyDescent="0.25">
      <c r="A140" s="226">
        <v>5112</v>
      </c>
      <c r="B140" s="224">
        <v>813000</v>
      </c>
      <c r="C140" s="82" t="s">
        <v>135</v>
      </c>
      <c r="D140" s="100">
        <f>D141</f>
        <v>0</v>
      </c>
      <c r="E140" s="100">
        <f t="shared" si="32"/>
        <v>0</v>
      </c>
      <c r="F140" s="100">
        <f t="shared" ref="F140:K140" si="42">F141</f>
        <v>0</v>
      </c>
      <c r="G140" s="100">
        <f t="shared" si="42"/>
        <v>0</v>
      </c>
      <c r="H140" s="100">
        <f t="shared" si="42"/>
        <v>0</v>
      </c>
      <c r="I140" s="100">
        <f t="shared" si="42"/>
        <v>0</v>
      </c>
      <c r="J140" s="100">
        <f t="shared" si="42"/>
        <v>0</v>
      </c>
      <c r="K140" s="101">
        <f t="shared" si="42"/>
        <v>0</v>
      </c>
      <c r="L140" s="137" t="e">
        <f t="shared" si="41"/>
        <v>#DIV/0!</v>
      </c>
    </row>
    <row r="141" spans="1:12" ht="16.5" hidden="1" customHeight="1" x14ac:dyDescent="0.25">
      <c r="A141" s="83">
        <v>5113</v>
      </c>
      <c r="B141" s="229">
        <v>813100</v>
      </c>
      <c r="C141" s="84" t="s">
        <v>136</v>
      </c>
      <c r="D141" s="108"/>
      <c r="E141" s="109">
        <f t="shared" si="32"/>
        <v>0</v>
      </c>
      <c r="F141" s="108"/>
      <c r="G141" s="108"/>
      <c r="H141" s="108"/>
      <c r="I141" s="108"/>
      <c r="J141" s="108"/>
      <c r="K141" s="110"/>
      <c r="L141" s="137" t="e">
        <f t="shared" si="41"/>
        <v>#DIV/0!</v>
      </c>
    </row>
    <row r="142" spans="1:12" ht="16.5" hidden="1" customHeight="1" x14ac:dyDescent="0.25">
      <c r="A142" s="226">
        <v>5114</v>
      </c>
      <c r="B142" s="224">
        <v>820000</v>
      </c>
      <c r="C142" s="82" t="s">
        <v>137</v>
      </c>
      <c r="D142" s="100">
        <f>D143+D145+D147</f>
        <v>0</v>
      </c>
      <c r="E142" s="100">
        <f t="shared" si="32"/>
        <v>0</v>
      </c>
      <c r="F142" s="100">
        <f t="shared" ref="F142:K142" si="43">F143+F145+F147</f>
        <v>0</v>
      </c>
      <c r="G142" s="100">
        <f t="shared" si="43"/>
        <v>0</v>
      </c>
      <c r="H142" s="100">
        <f t="shared" si="43"/>
        <v>0</v>
      </c>
      <c r="I142" s="100">
        <f t="shared" si="43"/>
        <v>0</v>
      </c>
      <c r="J142" s="100">
        <f t="shared" si="43"/>
        <v>0</v>
      </c>
      <c r="K142" s="101">
        <f t="shared" si="43"/>
        <v>0</v>
      </c>
      <c r="L142" s="137" t="e">
        <f t="shared" si="41"/>
        <v>#DIV/0!</v>
      </c>
    </row>
    <row r="143" spans="1:12" ht="16.5" hidden="1" customHeight="1" x14ac:dyDescent="0.25">
      <c r="A143" s="226">
        <v>5115</v>
      </c>
      <c r="B143" s="224">
        <v>821000</v>
      </c>
      <c r="C143" s="82" t="s">
        <v>138</v>
      </c>
      <c r="D143" s="100">
        <f>D144</f>
        <v>0</v>
      </c>
      <c r="E143" s="100">
        <f t="shared" si="32"/>
        <v>0</v>
      </c>
      <c r="F143" s="100">
        <f t="shared" ref="F143:K143" si="44">F144</f>
        <v>0</v>
      </c>
      <c r="G143" s="100">
        <f t="shared" si="44"/>
        <v>0</v>
      </c>
      <c r="H143" s="100">
        <f t="shared" si="44"/>
        <v>0</v>
      </c>
      <c r="I143" s="100">
        <f t="shared" si="44"/>
        <v>0</v>
      </c>
      <c r="J143" s="100">
        <f t="shared" si="44"/>
        <v>0</v>
      </c>
      <c r="K143" s="101">
        <f t="shared" si="44"/>
        <v>0</v>
      </c>
      <c r="L143" s="137" t="e">
        <f t="shared" si="41"/>
        <v>#DIV/0!</v>
      </c>
    </row>
    <row r="144" spans="1:12" ht="16.5" hidden="1" customHeight="1" x14ac:dyDescent="0.25">
      <c r="A144" s="83">
        <v>5116</v>
      </c>
      <c r="B144" s="229">
        <v>821100</v>
      </c>
      <c r="C144" s="84" t="s">
        <v>139</v>
      </c>
      <c r="D144" s="108"/>
      <c r="E144" s="109">
        <f t="shared" si="32"/>
        <v>0</v>
      </c>
      <c r="F144" s="108"/>
      <c r="G144" s="108"/>
      <c r="H144" s="108"/>
      <c r="I144" s="108"/>
      <c r="J144" s="108"/>
      <c r="K144" s="110"/>
      <c r="L144" s="137" t="e">
        <f t="shared" si="41"/>
        <v>#DIV/0!</v>
      </c>
    </row>
    <row r="145" spans="1:12" ht="16.5" hidden="1" customHeight="1" x14ac:dyDescent="0.25">
      <c r="A145" s="226">
        <v>5117</v>
      </c>
      <c r="B145" s="224">
        <v>822000</v>
      </c>
      <c r="C145" s="82" t="s">
        <v>140</v>
      </c>
      <c r="D145" s="100">
        <f>D146</f>
        <v>0</v>
      </c>
      <c r="E145" s="100">
        <f t="shared" si="32"/>
        <v>0</v>
      </c>
      <c r="F145" s="100">
        <f t="shared" ref="F145:K145" si="45">F146</f>
        <v>0</v>
      </c>
      <c r="G145" s="100">
        <f t="shared" si="45"/>
        <v>0</v>
      </c>
      <c r="H145" s="100">
        <f t="shared" si="45"/>
        <v>0</v>
      </c>
      <c r="I145" s="100">
        <f t="shared" si="45"/>
        <v>0</v>
      </c>
      <c r="J145" s="100">
        <f t="shared" si="45"/>
        <v>0</v>
      </c>
      <c r="K145" s="101">
        <f t="shared" si="45"/>
        <v>0</v>
      </c>
      <c r="L145" s="137" t="e">
        <f t="shared" si="41"/>
        <v>#DIV/0!</v>
      </c>
    </row>
    <row r="146" spans="1:12" ht="16.5" hidden="1" customHeight="1" x14ac:dyDescent="0.25">
      <c r="A146" s="83">
        <v>5118</v>
      </c>
      <c r="B146" s="229">
        <v>822100</v>
      </c>
      <c r="C146" s="84" t="s">
        <v>141</v>
      </c>
      <c r="D146" s="108"/>
      <c r="E146" s="109">
        <f t="shared" si="32"/>
        <v>0</v>
      </c>
      <c r="F146" s="108"/>
      <c r="G146" s="108"/>
      <c r="H146" s="108"/>
      <c r="I146" s="108"/>
      <c r="J146" s="108"/>
      <c r="K146" s="110"/>
      <c r="L146" s="137" t="e">
        <f t="shared" si="41"/>
        <v>#DIV/0!</v>
      </c>
    </row>
    <row r="147" spans="1:12" ht="16.5" hidden="1" customHeight="1" x14ac:dyDescent="0.25">
      <c r="A147" s="226">
        <v>5119</v>
      </c>
      <c r="B147" s="224">
        <v>823000</v>
      </c>
      <c r="C147" s="82" t="s">
        <v>142</v>
      </c>
      <c r="D147" s="100">
        <f>D148</f>
        <v>0</v>
      </c>
      <c r="E147" s="100">
        <f t="shared" si="32"/>
        <v>0</v>
      </c>
      <c r="F147" s="100">
        <f t="shared" ref="F147:K147" si="46">F148</f>
        <v>0</v>
      </c>
      <c r="G147" s="100">
        <f t="shared" si="46"/>
        <v>0</v>
      </c>
      <c r="H147" s="100">
        <f t="shared" si="46"/>
        <v>0</v>
      </c>
      <c r="I147" s="100">
        <f t="shared" si="46"/>
        <v>0</v>
      </c>
      <c r="J147" s="100">
        <f t="shared" si="46"/>
        <v>0</v>
      </c>
      <c r="K147" s="101">
        <f t="shared" si="46"/>
        <v>0</v>
      </c>
      <c r="L147" s="137" t="e">
        <f t="shared" si="41"/>
        <v>#DIV/0!</v>
      </c>
    </row>
    <row r="148" spans="1:12" ht="16.5" hidden="1" customHeight="1" x14ac:dyDescent="0.25">
      <c r="A148" s="83">
        <v>5120</v>
      </c>
      <c r="B148" s="229">
        <v>823100</v>
      </c>
      <c r="C148" s="84" t="s">
        <v>143</v>
      </c>
      <c r="D148" s="108"/>
      <c r="E148" s="109">
        <f t="shared" si="32"/>
        <v>0</v>
      </c>
      <c r="F148" s="108"/>
      <c r="G148" s="108"/>
      <c r="H148" s="108"/>
      <c r="I148" s="108"/>
      <c r="J148" s="108"/>
      <c r="K148" s="110"/>
      <c r="L148" s="137" t="e">
        <f t="shared" si="41"/>
        <v>#DIV/0!</v>
      </c>
    </row>
    <row r="149" spans="1:12" ht="16.5" hidden="1" customHeight="1" x14ac:dyDescent="0.25">
      <c r="A149" s="226">
        <v>5121</v>
      </c>
      <c r="B149" s="224">
        <v>830000</v>
      </c>
      <c r="C149" s="82" t="s">
        <v>144</v>
      </c>
      <c r="D149" s="100">
        <f>D150</f>
        <v>0</v>
      </c>
      <c r="E149" s="100">
        <f t="shared" si="32"/>
        <v>0</v>
      </c>
      <c r="F149" s="100">
        <f t="shared" ref="F149:K150" si="47">F150</f>
        <v>0</v>
      </c>
      <c r="G149" s="100">
        <f t="shared" si="47"/>
        <v>0</v>
      </c>
      <c r="H149" s="100">
        <f t="shared" si="47"/>
        <v>0</v>
      </c>
      <c r="I149" s="100">
        <f t="shared" si="47"/>
        <v>0</v>
      </c>
      <c r="J149" s="100">
        <f t="shared" si="47"/>
        <v>0</v>
      </c>
      <c r="K149" s="101">
        <f t="shared" si="47"/>
        <v>0</v>
      </c>
      <c r="L149" s="137" t="e">
        <f t="shared" si="41"/>
        <v>#DIV/0!</v>
      </c>
    </row>
    <row r="150" spans="1:12" ht="16.5" hidden="1" customHeight="1" x14ac:dyDescent="0.25">
      <c r="A150" s="226">
        <v>5122</v>
      </c>
      <c r="B150" s="224">
        <v>831000</v>
      </c>
      <c r="C150" s="82" t="s">
        <v>145</v>
      </c>
      <c r="D150" s="100">
        <f>D151</f>
        <v>0</v>
      </c>
      <c r="E150" s="100">
        <f t="shared" si="32"/>
        <v>0</v>
      </c>
      <c r="F150" s="100">
        <f t="shared" si="47"/>
        <v>0</v>
      </c>
      <c r="G150" s="100">
        <f t="shared" si="47"/>
        <v>0</v>
      </c>
      <c r="H150" s="100">
        <f t="shared" si="47"/>
        <v>0</v>
      </c>
      <c r="I150" s="100">
        <f t="shared" si="47"/>
        <v>0</v>
      </c>
      <c r="J150" s="100">
        <f t="shared" si="47"/>
        <v>0</v>
      </c>
      <c r="K150" s="101">
        <f t="shared" si="47"/>
        <v>0</v>
      </c>
      <c r="L150" s="137" t="e">
        <f t="shared" si="41"/>
        <v>#DIV/0!</v>
      </c>
    </row>
    <row r="151" spans="1:12" ht="16.5" hidden="1" customHeight="1" x14ac:dyDescent="0.25">
      <c r="A151" s="83">
        <v>5123</v>
      </c>
      <c r="B151" s="229">
        <v>831100</v>
      </c>
      <c r="C151" s="84" t="s">
        <v>146</v>
      </c>
      <c r="D151" s="108"/>
      <c r="E151" s="109">
        <f t="shared" si="32"/>
        <v>0</v>
      </c>
      <c r="F151" s="108"/>
      <c r="G151" s="108"/>
      <c r="H151" s="108"/>
      <c r="I151" s="108"/>
      <c r="J151" s="108"/>
      <c r="K151" s="110"/>
      <c r="L151" s="137" t="e">
        <f t="shared" si="41"/>
        <v>#DIV/0!</v>
      </c>
    </row>
    <row r="152" spans="1:12" ht="16.5" hidden="1" customHeight="1" x14ac:dyDescent="0.25">
      <c r="A152" s="226">
        <v>5124</v>
      </c>
      <c r="B152" s="224">
        <v>840000</v>
      </c>
      <c r="C152" s="82" t="s">
        <v>147</v>
      </c>
      <c r="D152" s="100">
        <f>D153+D155+D161</f>
        <v>0</v>
      </c>
      <c r="E152" s="100">
        <f t="shared" si="32"/>
        <v>0</v>
      </c>
      <c r="F152" s="100">
        <f t="shared" ref="F152:K152" si="48">F153+F155+F161</f>
        <v>0</v>
      </c>
      <c r="G152" s="100">
        <f t="shared" si="48"/>
        <v>0</v>
      </c>
      <c r="H152" s="100">
        <f t="shared" si="48"/>
        <v>0</v>
      </c>
      <c r="I152" s="100">
        <f t="shared" si="48"/>
        <v>0</v>
      </c>
      <c r="J152" s="100">
        <f t="shared" si="48"/>
        <v>0</v>
      </c>
      <c r="K152" s="101">
        <f t="shared" si="48"/>
        <v>0</v>
      </c>
      <c r="L152" s="137" t="e">
        <f t="shared" si="41"/>
        <v>#DIV/0!</v>
      </c>
    </row>
    <row r="153" spans="1:12" ht="16.5" hidden="1" customHeight="1" x14ac:dyDescent="0.25">
      <c r="A153" s="226">
        <v>5125</v>
      </c>
      <c r="B153" s="224">
        <v>841000</v>
      </c>
      <c r="C153" s="82" t="s">
        <v>148</v>
      </c>
      <c r="D153" s="100">
        <f>D154</f>
        <v>0</v>
      </c>
      <c r="E153" s="100">
        <f t="shared" si="32"/>
        <v>0</v>
      </c>
      <c r="F153" s="100">
        <f t="shared" ref="F153:K153" si="49">F154</f>
        <v>0</v>
      </c>
      <c r="G153" s="100">
        <f t="shared" si="49"/>
        <v>0</v>
      </c>
      <c r="H153" s="100">
        <f t="shared" si="49"/>
        <v>0</v>
      </c>
      <c r="I153" s="100">
        <f t="shared" si="49"/>
        <v>0</v>
      </c>
      <c r="J153" s="100">
        <f t="shared" si="49"/>
        <v>0</v>
      </c>
      <c r="K153" s="101">
        <f t="shared" si="49"/>
        <v>0</v>
      </c>
      <c r="L153" s="137" t="e">
        <f t="shared" si="41"/>
        <v>#DIV/0!</v>
      </c>
    </row>
    <row r="154" spans="1:12" ht="16.5" hidden="1" customHeight="1" x14ac:dyDescent="0.25">
      <c r="A154" s="83">
        <v>5126</v>
      </c>
      <c r="B154" s="229">
        <v>841100</v>
      </c>
      <c r="C154" s="84" t="s">
        <v>149</v>
      </c>
      <c r="D154" s="108"/>
      <c r="E154" s="109">
        <f t="shared" si="32"/>
        <v>0</v>
      </c>
      <c r="F154" s="108"/>
      <c r="G154" s="108"/>
      <c r="H154" s="108"/>
      <c r="I154" s="108"/>
      <c r="J154" s="108"/>
      <c r="K154" s="110"/>
      <c r="L154" s="137" t="e">
        <f t="shared" si="41"/>
        <v>#DIV/0!</v>
      </c>
    </row>
    <row r="155" spans="1:12" ht="16.5" hidden="1" customHeight="1" x14ac:dyDescent="0.25">
      <c r="A155" s="226">
        <v>5127</v>
      </c>
      <c r="B155" s="224">
        <v>842000</v>
      </c>
      <c r="C155" s="82" t="s">
        <v>150</v>
      </c>
      <c r="D155" s="100">
        <f>D160</f>
        <v>0</v>
      </c>
      <c r="E155" s="100">
        <f t="shared" si="32"/>
        <v>0</v>
      </c>
      <c r="F155" s="100">
        <f t="shared" ref="F155:K155" si="50">F160</f>
        <v>0</v>
      </c>
      <c r="G155" s="100">
        <f t="shared" si="50"/>
        <v>0</v>
      </c>
      <c r="H155" s="100">
        <f t="shared" si="50"/>
        <v>0</v>
      </c>
      <c r="I155" s="100">
        <f t="shared" si="50"/>
        <v>0</v>
      </c>
      <c r="J155" s="100">
        <f t="shared" si="50"/>
        <v>0</v>
      </c>
      <c r="K155" s="101">
        <f t="shared" si="50"/>
        <v>0</v>
      </c>
      <c r="L155" s="137" t="e">
        <f t="shared" si="41"/>
        <v>#DIV/0!</v>
      </c>
    </row>
    <row r="156" spans="1:12" ht="16.5" hidden="1" customHeight="1" x14ac:dyDescent="0.25">
      <c r="A156" s="583" t="s">
        <v>0</v>
      </c>
      <c r="B156" s="584" t="s">
        <v>1</v>
      </c>
      <c r="C156" s="585" t="s">
        <v>2</v>
      </c>
      <c r="D156" s="575" t="s">
        <v>3</v>
      </c>
      <c r="E156" s="575" t="s">
        <v>4</v>
      </c>
      <c r="F156" s="575"/>
      <c r="G156" s="575"/>
      <c r="H156" s="575"/>
      <c r="I156" s="575"/>
      <c r="J156" s="575"/>
      <c r="K156" s="582"/>
      <c r="L156" s="137" t="e">
        <f t="shared" si="41"/>
        <v>#VALUE!</v>
      </c>
    </row>
    <row r="157" spans="1:12" ht="16.5" hidden="1" customHeight="1" x14ac:dyDescent="0.25">
      <c r="A157" s="583"/>
      <c r="B157" s="584"/>
      <c r="C157" s="585"/>
      <c r="D157" s="575"/>
      <c r="E157" s="581" t="s">
        <v>5</v>
      </c>
      <c r="F157" s="575" t="s">
        <v>6</v>
      </c>
      <c r="G157" s="575"/>
      <c r="H157" s="575"/>
      <c r="I157" s="575"/>
      <c r="J157" s="575" t="s">
        <v>7</v>
      </c>
      <c r="K157" s="582" t="s">
        <v>8</v>
      </c>
      <c r="L157" s="137" t="e">
        <f t="shared" si="41"/>
        <v>#VALUE!</v>
      </c>
    </row>
    <row r="158" spans="1:12" ht="16.5" hidden="1" customHeight="1" x14ac:dyDescent="0.25">
      <c r="A158" s="583"/>
      <c r="B158" s="584"/>
      <c r="C158" s="585"/>
      <c r="D158" s="575"/>
      <c r="E158" s="581"/>
      <c r="F158" s="224" t="s">
        <v>9</v>
      </c>
      <c r="G158" s="224" t="s">
        <v>10</v>
      </c>
      <c r="H158" s="224" t="s">
        <v>11</v>
      </c>
      <c r="I158" s="224" t="s">
        <v>12</v>
      </c>
      <c r="J158" s="575"/>
      <c r="K158" s="582"/>
      <c r="L158" s="137" t="e">
        <f t="shared" si="41"/>
        <v>#DIV/0!</v>
      </c>
    </row>
    <row r="159" spans="1:12" ht="16.5" hidden="1" customHeight="1" x14ac:dyDescent="0.25">
      <c r="A159" s="85" t="s">
        <v>18</v>
      </c>
      <c r="B159" s="223" t="s">
        <v>19</v>
      </c>
      <c r="C159" s="223" t="s">
        <v>20</v>
      </c>
      <c r="D159" s="86" t="s">
        <v>21</v>
      </c>
      <c r="E159" s="86" t="s">
        <v>22</v>
      </c>
      <c r="F159" s="86" t="s">
        <v>23</v>
      </c>
      <c r="G159" s="86" t="s">
        <v>24</v>
      </c>
      <c r="H159" s="86" t="s">
        <v>25</v>
      </c>
      <c r="I159" s="86" t="s">
        <v>26</v>
      </c>
      <c r="J159" s="86" t="s">
        <v>27</v>
      </c>
      <c r="K159" s="98" t="s">
        <v>28</v>
      </c>
      <c r="L159" s="137">
        <f t="shared" si="41"/>
        <v>1.25</v>
      </c>
    </row>
    <row r="160" spans="1:12" ht="16.5" hidden="1" customHeight="1" x14ac:dyDescent="0.25">
      <c r="A160" s="83">
        <v>5128</v>
      </c>
      <c r="B160" s="229">
        <v>842100</v>
      </c>
      <c r="C160" s="84" t="s">
        <v>151</v>
      </c>
      <c r="D160" s="108"/>
      <c r="E160" s="109">
        <f t="shared" si="32"/>
        <v>0</v>
      </c>
      <c r="F160" s="108"/>
      <c r="G160" s="108"/>
      <c r="H160" s="108"/>
      <c r="I160" s="108"/>
      <c r="J160" s="108"/>
      <c r="K160" s="110"/>
      <c r="L160" s="137" t="e">
        <f t="shared" si="41"/>
        <v>#DIV/0!</v>
      </c>
    </row>
    <row r="161" spans="1:12" ht="16.5" hidden="1" customHeight="1" x14ac:dyDescent="0.25">
      <c r="A161" s="226">
        <v>5129</v>
      </c>
      <c r="B161" s="224">
        <v>843000</v>
      </c>
      <c r="C161" s="82" t="s">
        <v>152</v>
      </c>
      <c r="D161" s="100">
        <f>D162</f>
        <v>0</v>
      </c>
      <c r="E161" s="100">
        <f t="shared" si="32"/>
        <v>0</v>
      </c>
      <c r="F161" s="100">
        <f t="shared" ref="F161:K161" si="51">F162</f>
        <v>0</v>
      </c>
      <c r="G161" s="100">
        <f t="shared" si="51"/>
        <v>0</v>
      </c>
      <c r="H161" s="100">
        <f t="shared" si="51"/>
        <v>0</v>
      </c>
      <c r="I161" s="100">
        <f t="shared" si="51"/>
        <v>0</v>
      </c>
      <c r="J161" s="100">
        <f t="shared" si="51"/>
        <v>0</v>
      </c>
      <c r="K161" s="101">
        <f t="shared" si="51"/>
        <v>0</v>
      </c>
      <c r="L161" s="137" t="e">
        <f t="shared" si="41"/>
        <v>#DIV/0!</v>
      </c>
    </row>
    <row r="162" spans="1:12" ht="16.5" hidden="1" customHeight="1" x14ac:dyDescent="0.25">
      <c r="A162" s="83">
        <v>5130</v>
      </c>
      <c r="B162" s="229">
        <v>843100</v>
      </c>
      <c r="C162" s="84" t="s">
        <v>153</v>
      </c>
      <c r="D162" s="108"/>
      <c r="E162" s="109">
        <f t="shared" si="32"/>
        <v>0</v>
      </c>
      <c r="F162" s="108"/>
      <c r="G162" s="108"/>
      <c r="H162" s="108"/>
      <c r="I162" s="108"/>
      <c r="J162" s="108"/>
      <c r="K162" s="110"/>
      <c r="L162" s="137" t="e">
        <f t="shared" si="41"/>
        <v>#DIV/0!</v>
      </c>
    </row>
    <row r="163" spans="1:12" ht="16.5" hidden="1" customHeight="1" x14ac:dyDescent="0.25">
      <c r="A163" s="226">
        <v>5131</v>
      </c>
      <c r="B163" s="224">
        <v>900000</v>
      </c>
      <c r="C163" s="82" t="s">
        <v>154</v>
      </c>
      <c r="D163" s="100">
        <f>D164+D187</f>
        <v>0</v>
      </c>
      <c r="E163" s="100">
        <f t="shared" ref="E163:E198" si="52">SUM(F163:K163)</f>
        <v>0</v>
      </c>
      <c r="F163" s="100">
        <f t="shared" ref="F163:K163" si="53">F164+F187</f>
        <v>0</v>
      </c>
      <c r="G163" s="100">
        <f t="shared" si="53"/>
        <v>0</v>
      </c>
      <c r="H163" s="100">
        <f t="shared" si="53"/>
        <v>0</v>
      </c>
      <c r="I163" s="100">
        <f t="shared" si="53"/>
        <v>0</v>
      </c>
      <c r="J163" s="100">
        <f t="shared" si="53"/>
        <v>0</v>
      </c>
      <c r="K163" s="101">
        <f t="shared" si="53"/>
        <v>0</v>
      </c>
      <c r="L163" s="137" t="e">
        <f t="shared" si="41"/>
        <v>#DIV/0!</v>
      </c>
    </row>
    <row r="164" spans="1:12" ht="16.5" hidden="1" customHeight="1" x14ac:dyDescent="0.25">
      <c r="A164" s="226">
        <v>5132</v>
      </c>
      <c r="B164" s="224">
        <v>910000</v>
      </c>
      <c r="C164" s="82" t="s">
        <v>155</v>
      </c>
      <c r="D164" s="100">
        <f>D165+D175</f>
        <v>0</v>
      </c>
      <c r="E164" s="100">
        <f t="shared" si="52"/>
        <v>0</v>
      </c>
      <c r="F164" s="100">
        <f t="shared" ref="F164:K164" si="54">F165+F175</f>
        <v>0</v>
      </c>
      <c r="G164" s="100">
        <f t="shared" si="54"/>
        <v>0</v>
      </c>
      <c r="H164" s="100">
        <f t="shared" si="54"/>
        <v>0</v>
      </c>
      <c r="I164" s="100">
        <f t="shared" si="54"/>
        <v>0</v>
      </c>
      <c r="J164" s="100">
        <f t="shared" si="54"/>
        <v>0</v>
      </c>
      <c r="K164" s="101">
        <f t="shared" si="54"/>
        <v>0</v>
      </c>
      <c r="L164" s="137" t="e">
        <f t="shared" si="41"/>
        <v>#DIV/0!</v>
      </c>
    </row>
    <row r="165" spans="1:12" ht="16.5" hidden="1" customHeight="1" x14ac:dyDescent="0.25">
      <c r="A165" s="226">
        <v>5133</v>
      </c>
      <c r="B165" s="224">
        <v>911000</v>
      </c>
      <c r="C165" s="82" t="s">
        <v>156</v>
      </c>
      <c r="D165" s="100">
        <f>SUM(D166:D174)</f>
        <v>0</v>
      </c>
      <c r="E165" s="100">
        <f t="shared" si="52"/>
        <v>0</v>
      </c>
      <c r="F165" s="100">
        <f t="shared" ref="F165:K165" si="55">SUM(F166:F174)</f>
        <v>0</v>
      </c>
      <c r="G165" s="100">
        <f t="shared" si="55"/>
        <v>0</v>
      </c>
      <c r="H165" s="100">
        <f t="shared" si="55"/>
        <v>0</v>
      </c>
      <c r="I165" s="100">
        <f t="shared" si="55"/>
        <v>0</v>
      </c>
      <c r="J165" s="100">
        <f t="shared" si="55"/>
        <v>0</v>
      </c>
      <c r="K165" s="101">
        <f t="shared" si="55"/>
        <v>0</v>
      </c>
      <c r="L165" s="137" t="e">
        <f t="shared" si="41"/>
        <v>#DIV/0!</v>
      </c>
    </row>
    <row r="166" spans="1:12" ht="16.5" hidden="1" customHeight="1" x14ac:dyDescent="0.25">
      <c r="A166" s="83">
        <v>5134</v>
      </c>
      <c r="B166" s="229">
        <v>911100</v>
      </c>
      <c r="C166" s="84" t="s">
        <v>157</v>
      </c>
      <c r="D166" s="108"/>
      <c r="E166" s="109">
        <f t="shared" si="52"/>
        <v>0</v>
      </c>
      <c r="F166" s="108"/>
      <c r="G166" s="108"/>
      <c r="H166" s="108"/>
      <c r="I166" s="108"/>
      <c r="J166" s="108"/>
      <c r="K166" s="110"/>
      <c r="L166" s="137" t="e">
        <f t="shared" si="41"/>
        <v>#DIV/0!</v>
      </c>
    </row>
    <row r="167" spans="1:12" ht="16.5" hidden="1" customHeight="1" x14ac:dyDescent="0.25">
      <c r="A167" s="83">
        <v>5135</v>
      </c>
      <c r="B167" s="229">
        <v>911200</v>
      </c>
      <c r="C167" s="84" t="s">
        <v>158</v>
      </c>
      <c r="D167" s="108"/>
      <c r="E167" s="109">
        <f t="shared" si="52"/>
        <v>0</v>
      </c>
      <c r="F167" s="108"/>
      <c r="G167" s="108"/>
      <c r="H167" s="108"/>
      <c r="I167" s="108"/>
      <c r="J167" s="108"/>
      <c r="K167" s="110"/>
      <c r="L167" s="137" t="e">
        <f t="shared" si="41"/>
        <v>#DIV/0!</v>
      </c>
    </row>
    <row r="168" spans="1:12" ht="16.5" hidden="1" customHeight="1" x14ac:dyDescent="0.25">
      <c r="A168" s="83">
        <v>5136</v>
      </c>
      <c r="B168" s="229">
        <v>911300</v>
      </c>
      <c r="C168" s="84" t="s">
        <v>159</v>
      </c>
      <c r="D168" s="108"/>
      <c r="E168" s="109">
        <f t="shared" si="52"/>
        <v>0</v>
      </c>
      <c r="F168" s="108"/>
      <c r="G168" s="108"/>
      <c r="H168" s="108"/>
      <c r="I168" s="108"/>
      <c r="J168" s="108"/>
      <c r="K168" s="110"/>
      <c r="L168" s="137" t="e">
        <f t="shared" si="41"/>
        <v>#DIV/0!</v>
      </c>
    </row>
    <row r="169" spans="1:12" ht="16.5" hidden="1" customHeight="1" x14ac:dyDescent="0.25">
      <c r="A169" s="83">
        <v>5137</v>
      </c>
      <c r="B169" s="229">
        <v>911400</v>
      </c>
      <c r="C169" s="84" t="s">
        <v>160</v>
      </c>
      <c r="D169" s="108"/>
      <c r="E169" s="109">
        <f t="shared" si="52"/>
        <v>0</v>
      </c>
      <c r="F169" s="108"/>
      <c r="G169" s="108"/>
      <c r="H169" s="108"/>
      <c r="I169" s="108"/>
      <c r="J169" s="108"/>
      <c r="K169" s="110"/>
      <c r="L169" s="137" t="e">
        <f t="shared" si="41"/>
        <v>#DIV/0!</v>
      </c>
    </row>
    <row r="170" spans="1:12" ht="16.5" hidden="1" customHeight="1" x14ac:dyDescent="0.25">
      <c r="A170" s="83">
        <v>5138</v>
      </c>
      <c r="B170" s="229">
        <v>911500</v>
      </c>
      <c r="C170" s="84" t="s">
        <v>161</v>
      </c>
      <c r="D170" s="108"/>
      <c r="E170" s="109">
        <f t="shared" si="52"/>
        <v>0</v>
      </c>
      <c r="F170" s="108"/>
      <c r="G170" s="108"/>
      <c r="H170" s="108"/>
      <c r="I170" s="108"/>
      <c r="J170" s="108"/>
      <c r="K170" s="110"/>
      <c r="L170" s="137" t="e">
        <f t="shared" si="41"/>
        <v>#DIV/0!</v>
      </c>
    </row>
    <row r="171" spans="1:12" ht="16.5" hidden="1" customHeight="1" x14ac:dyDescent="0.25">
      <c r="A171" s="83">
        <v>5139</v>
      </c>
      <c r="B171" s="229">
        <v>911600</v>
      </c>
      <c r="C171" s="84" t="s">
        <v>162</v>
      </c>
      <c r="D171" s="108"/>
      <c r="E171" s="109">
        <f t="shared" si="52"/>
        <v>0</v>
      </c>
      <c r="F171" s="108"/>
      <c r="G171" s="108"/>
      <c r="H171" s="108"/>
      <c r="I171" s="108"/>
      <c r="J171" s="108"/>
      <c r="K171" s="110"/>
      <c r="L171" s="137" t="e">
        <f t="shared" si="41"/>
        <v>#DIV/0!</v>
      </c>
    </row>
    <row r="172" spans="1:12" ht="16.5" hidden="1" customHeight="1" x14ac:dyDescent="0.25">
      <c r="A172" s="83">
        <v>5140</v>
      </c>
      <c r="B172" s="229">
        <v>911700</v>
      </c>
      <c r="C172" s="84" t="s">
        <v>163</v>
      </c>
      <c r="D172" s="108"/>
      <c r="E172" s="109">
        <f t="shared" si="52"/>
        <v>0</v>
      </c>
      <c r="F172" s="108"/>
      <c r="G172" s="108"/>
      <c r="H172" s="108"/>
      <c r="I172" s="108"/>
      <c r="J172" s="108"/>
      <c r="K172" s="110"/>
      <c r="L172" s="137" t="e">
        <f t="shared" si="41"/>
        <v>#DIV/0!</v>
      </c>
    </row>
    <row r="173" spans="1:12" ht="16.5" hidden="1" customHeight="1" x14ac:dyDescent="0.25">
      <c r="A173" s="83">
        <v>5141</v>
      </c>
      <c r="B173" s="229">
        <v>911800</v>
      </c>
      <c r="C173" s="84" t="s">
        <v>164</v>
      </c>
      <c r="D173" s="108"/>
      <c r="E173" s="109">
        <f t="shared" si="52"/>
        <v>0</v>
      </c>
      <c r="F173" s="108"/>
      <c r="G173" s="108"/>
      <c r="H173" s="108"/>
      <c r="I173" s="108"/>
      <c r="J173" s="108"/>
      <c r="K173" s="110"/>
      <c r="L173" s="137" t="e">
        <f t="shared" si="41"/>
        <v>#DIV/0!</v>
      </c>
    </row>
    <row r="174" spans="1:12" ht="16.5" hidden="1" customHeight="1" x14ac:dyDescent="0.25">
      <c r="A174" s="83">
        <v>5142</v>
      </c>
      <c r="B174" s="229">
        <v>911900</v>
      </c>
      <c r="C174" s="84" t="s">
        <v>165</v>
      </c>
      <c r="D174" s="108"/>
      <c r="E174" s="109">
        <f t="shared" si="52"/>
        <v>0</v>
      </c>
      <c r="F174" s="108"/>
      <c r="G174" s="108"/>
      <c r="H174" s="108"/>
      <c r="I174" s="108"/>
      <c r="J174" s="108"/>
      <c r="K174" s="110"/>
      <c r="L174" s="137" t="e">
        <f t="shared" si="41"/>
        <v>#DIV/0!</v>
      </c>
    </row>
    <row r="175" spans="1:12" ht="16.5" hidden="1" customHeight="1" x14ac:dyDescent="0.25">
      <c r="A175" s="226">
        <v>5143</v>
      </c>
      <c r="B175" s="224">
        <v>912000</v>
      </c>
      <c r="C175" s="82" t="s">
        <v>166</v>
      </c>
      <c r="D175" s="100">
        <f>SUM(D176:D186)</f>
        <v>0</v>
      </c>
      <c r="E175" s="100">
        <f t="shared" si="52"/>
        <v>0</v>
      </c>
      <c r="F175" s="100">
        <f t="shared" ref="F175:K175" si="56">SUM(F176:F186)</f>
        <v>0</v>
      </c>
      <c r="G175" s="100">
        <f t="shared" si="56"/>
        <v>0</v>
      </c>
      <c r="H175" s="100">
        <f t="shared" si="56"/>
        <v>0</v>
      </c>
      <c r="I175" s="100">
        <f t="shared" si="56"/>
        <v>0</v>
      </c>
      <c r="J175" s="100">
        <f t="shared" si="56"/>
        <v>0</v>
      </c>
      <c r="K175" s="101">
        <f t="shared" si="56"/>
        <v>0</v>
      </c>
      <c r="L175" s="137" t="e">
        <f t="shared" si="41"/>
        <v>#DIV/0!</v>
      </c>
    </row>
    <row r="176" spans="1:12" ht="16.5" hidden="1" customHeight="1" x14ac:dyDescent="0.25">
      <c r="A176" s="83">
        <v>5144</v>
      </c>
      <c r="B176" s="229">
        <v>912100</v>
      </c>
      <c r="C176" s="84" t="s">
        <v>167</v>
      </c>
      <c r="D176" s="108"/>
      <c r="E176" s="109">
        <f t="shared" si="52"/>
        <v>0</v>
      </c>
      <c r="F176" s="108"/>
      <c r="G176" s="108"/>
      <c r="H176" s="108"/>
      <c r="I176" s="108"/>
      <c r="J176" s="108"/>
      <c r="K176" s="110"/>
      <c r="L176" s="137" t="e">
        <f t="shared" si="41"/>
        <v>#DIV/0!</v>
      </c>
    </row>
    <row r="177" spans="1:12" ht="16.5" hidden="1" customHeight="1" x14ac:dyDescent="0.25">
      <c r="A177" s="83">
        <v>5145</v>
      </c>
      <c r="B177" s="229">
        <v>912200</v>
      </c>
      <c r="C177" s="84" t="s">
        <v>168</v>
      </c>
      <c r="D177" s="108"/>
      <c r="E177" s="109">
        <f t="shared" si="52"/>
        <v>0</v>
      </c>
      <c r="F177" s="108"/>
      <c r="G177" s="108"/>
      <c r="H177" s="108"/>
      <c r="I177" s="108"/>
      <c r="J177" s="108"/>
      <c r="K177" s="110"/>
      <c r="L177" s="137" t="e">
        <f t="shared" si="41"/>
        <v>#DIV/0!</v>
      </c>
    </row>
    <row r="178" spans="1:12" ht="16.5" hidden="1" customHeight="1" x14ac:dyDescent="0.25">
      <c r="A178" s="83">
        <v>5146</v>
      </c>
      <c r="B178" s="229">
        <v>912300</v>
      </c>
      <c r="C178" s="84" t="s">
        <v>169</v>
      </c>
      <c r="D178" s="108"/>
      <c r="E178" s="109">
        <f t="shared" si="52"/>
        <v>0</v>
      </c>
      <c r="F178" s="108"/>
      <c r="G178" s="108"/>
      <c r="H178" s="108"/>
      <c r="I178" s="108"/>
      <c r="J178" s="108"/>
      <c r="K178" s="110"/>
      <c r="L178" s="137" t="e">
        <f t="shared" si="41"/>
        <v>#DIV/0!</v>
      </c>
    </row>
    <row r="179" spans="1:12" ht="16.5" hidden="1" customHeight="1" x14ac:dyDescent="0.25">
      <c r="A179" s="83">
        <v>5147</v>
      </c>
      <c r="B179" s="229">
        <v>912400</v>
      </c>
      <c r="C179" s="84" t="s">
        <v>170</v>
      </c>
      <c r="D179" s="108"/>
      <c r="E179" s="109">
        <f t="shared" si="52"/>
        <v>0</v>
      </c>
      <c r="F179" s="108"/>
      <c r="G179" s="108"/>
      <c r="H179" s="108"/>
      <c r="I179" s="108"/>
      <c r="J179" s="108"/>
      <c r="K179" s="110"/>
      <c r="L179" s="137" t="e">
        <f t="shared" si="41"/>
        <v>#DIV/0!</v>
      </c>
    </row>
    <row r="180" spans="1:12" ht="16.5" hidden="1" customHeight="1" x14ac:dyDescent="0.25">
      <c r="A180" s="83">
        <v>5148</v>
      </c>
      <c r="B180" s="229">
        <v>912500</v>
      </c>
      <c r="C180" s="84" t="s">
        <v>171</v>
      </c>
      <c r="D180" s="108"/>
      <c r="E180" s="109">
        <f t="shared" si="52"/>
        <v>0</v>
      </c>
      <c r="F180" s="108"/>
      <c r="G180" s="108"/>
      <c r="H180" s="108"/>
      <c r="I180" s="108"/>
      <c r="J180" s="108"/>
      <c r="K180" s="110"/>
      <c r="L180" s="137" t="e">
        <f t="shared" si="41"/>
        <v>#DIV/0!</v>
      </c>
    </row>
    <row r="181" spans="1:12" ht="16.5" hidden="1" customHeight="1" x14ac:dyDescent="0.25">
      <c r="A181" s="83">
        <v>5149</v>
      </c>
      <c r="B181" s="229">
        <v>912600</v>
      </c>
      <c r="C181" s="84" t="s">
        <v>172</v>
      </c>
      <c r="D181" s="108"/>
      <c r="E181" s="109">
        <f t="shared" si="52"/>
        <v>0</v>
      </c>
      <c r="F181" s="108"/>
      <c r="G181" s="108"/>
      <c r="H181" s="108"/>
      <c r="I181" s="108"/>
      <c r="J181" s="108"/>
      <c r="K181" s="110"/>
      <c r="L181" s="137" t="e">
        <f t="shared" si="41"/>
        <v>#DIV/0!</v>
      </c>
    </row>
    <row r="182" spans="1:12" ht="16.5" hidden="1" customHeight="1" x14ac:dyDescent="0.25">
      <c r="A182" s="583" t="s">
        <v>0</v>
      </c>
      <c r="B182" s="584" t="s">
        <v>1</v>
      </c>
      <c r="C182" s="585" t="s">
        <v>2</v>
      </c>
      <c r="D182" s="575" t="s">
        <v>3</v>
      </c>
      <c r="E182" s="575" t="s">
        <v>4</v>
      </c>
      <c r="F182" s="575"/>
      <c r="G182" s="575"/>
      <c r="H182" s="575"/>
      <c r="I182" s="575"/>
      <c r="J182" s="575"/>
      <c r="K182" s="582"/>
      <c r="L182" s="137" t="e">
        <f t="shared" si="41"/>
        <v>#VALUE!</v>
      </c>
    </row>
    <row r="183" spans="1:12" ht="16.5" hidden="1" customHeight="1" x14ac:dyDescent="0.25">
      <c r="A183" s="583"/>
      <c r="B183" s="584"/>
      <c r="C183" s="585"/>
      <c r="D183" s="575"/>
      <c r="E183" s="581" t="s">
        <v>5</v>
      </c>
      <c r="F183" s="575" t="s">
        <v>6</v>
      </c>
      <c r="G183" s="575"/>
      <c r="H183" s="575"/>
      <c r="I183" s="575"/>
      <c r="J183" s="575" t="s">
        <v>7</v>
      </c>
      <c r="K183" s="582" t="s">
        <v>8</v>
      </c>
      <c r="L183" s="137" t="e">
        <f t="shared" si="41"/>
        <v>#VALUE!</v>
      </c>
    </row>
    <row r="184" spans="1:12" ht="16.5" hidden="1" customHeight="1" x14ac:dyDescent="0.25">
      <c r="A184" s="583"/>
      <c r="B184" s="584"/>
      <c r="C184" s="585"/>
      <c r="D184" s="575"/>
      <c r="E184" s="581"/>
      <c r="F184" s="224" t="s">
        <v>9</v>
      </c>
      <c r="G184" s="224" t="s">
        <v>10</v>
      </c>
      <c r="H184" s="224" t="s">
        <v>11</v>
      </c>
      <c r="I184" s="224" t="s">
        <v>12</v>
      </c>
      <c r="J184" s="575"/>
      <c r="K184" s="582"/>
      <c r="L184" s="137" t="e">
        <f t="shared" si="41"/>
        <v>#DIV/0!</v>
      </c>
    </row>
    <row r="185" spans="1:12" ht="16.5" hidden="1" customHeight="1" x14ac:dyDescent="0.25">
      <c r="A185" s="85" t="s">
        <v>18</v>
      </c>
      <c r="B185" s="223" t="s">
        <v>19</v>
      </c>
      <c r="C185" s="223" t="s">
        <v>20</v>
      </c>
      <c r="D185" s="86" t="s">
        <v>21</v>
      </c>
      <c r="E185" s="86" t="s">
        <v>22</v>
      </c>
      <c r="F185" s="86" t="s">
        <v>23</v>
      </c>
      <c r="G185" s="86" t="s">
        <v>24</v>
      </c>
      <c r="H185" s="86" t="s">
        <v>25</v>
      </c>
      <c r="I185" s="86" t="s">
        <v>26</v>
      </c>
      <c r="J185" s="86" t="s">
        <v>27</v>
      </c>
      <c r="K185" s="98" t="s">
        <v>28</v>
      </c>
      <c r="L185" s="137">
        <f t="shared" si="41"/>
        <v>1.25</v>
      </c>
    </row>
    <row r="186" spans="1:12" ht="16.5" hidden="1" customHeight="1" x14ac:dyDescent="0.25">
      <c r="A186" s="83">
        <v>5150</v>
      </c>
      <c r="B186" s="229">
        <v>912900</v>
      </c>
      <c r="C186" s="84" t="s">
        <v>173</v>
      </c>
      <c r="D186" s="108"/>
      <c r="E186" s="109">
        <f t="shared" si="52"/>
        <v>0</v>
      </c>
      <c r="F186" s="108"/>
      <c r="G186" s="108"/>
      <c r="H186" s="108"/>
      <c r="I186" s="108"/>
      <c r="J186" s="108"/>
      <c r="K186" s="110"/>
      <c r="L186" s="137" t="e">
        <f t="shared" si="41"/>
        <v>#DIV/0!</v>
      </c>
    </row>
    <row r="187" spans="1:12" ht="16.5" hidden="1" customHeight="1" x14ac:dyDescent="0.25">
      <c r="A187" s="226">
        <v>5151</v>
      </c>
      <c r="B187" s="224">
        <v>920000</v>
      </c>
      <c r="C187" s="82" t="s">
        <v>174</v>
      </c>
      <c r="D187" s="100">
        <f>D188+D198</f>
        <v>0</v>
      </c>
      <c r="E187" s="100">
        <f t="shared" si="52"/>
        <v>0</v>
      </c>
      <c r="F187" s="100">
        <f t="shared" ref="F187:K187" si="57">F188+F198</f>
        <v>0</v>
      </c>
      <c r="G187" s="100">
        <f t="shared" si="57"/>
        <v>0</v>
      </c>
      <c r="H187" s="100">
        <f t="shared" si="57"/>
        <v>0</v>
      </c>
      <c r="I187" s="100">
        <f t="shared" si="57"/>
        <v>0</v>
      </c>
      <c r="J187" s="100">
        <f t="shared" si="57"/>
        <v>0</v>
      </c>
      <c r="K187" s="101">
        <f t="shared" si="57"/>
        <v>0</v>
      </c>
      <c r="L187" s="137" t="e">
        <f t="shared" si="41"/>
        <v>#DIV/0!</v>
      </c>
    </row>
    <row r="188" spans="1:12" ht="16.5" hidden="1" customHeight="1" x14ac:dyDescent="0.25">
      <c r="A188" s="226">
        <v>5152</v>
      </c>
      <c r="B188" s="224">
        <v>921000</v>
      </c>
      <c r="C188" s="82" t="s">
        <v>175</v>
      </c>
      <c r="D188" s="100">
        <f>SUM(D189:D197)</f>
        <v>0</v>
      </c>
      <c r="E188" s="100">
        <f t="shared" si="52"/>
        <v>0</v>
      </c>
      <c r="F188" s="100">
        <f t="shared" ref="F188:K188" si="58">SUM(F189:F197)</f>
        <v>0</v>
      </c>
      <c r="G188" s="100">
        <f t="shared" si="58"/>
        <v>0</v>
      </c>
      <c r="H188" s="100">
        <f t="shared" si="58"/>
        <v>0</v>
      </c>
      <c r="I188" s="100">
        <f t="shared" si="58"/>
        <v>0</v>
      </c>
      <c r="J188" s="100">
        <f t="shared" si="58"/>
        <v>0</v>
      </c>
      <c r="K188" s="101">
        <f t="shared" si="58"/>
        <v>0</v>
      </c>
      <c r="L188" s="137" t="e">
        <f t="shared" si="41"/>
        <v>#DIV/0!</v>
      </c>
    </row>
    <row r="189" spans="1:12" ht="16.5" hidden="1" customHeight="1" x14ac:dyDescent="0.25">
      <c r="A189" s="83">
        <v>5153</v>
      </c>
      <c r="B189" s="229">
        <v>921100</v>
      </c>
      <c r="C189" s="84" t="s">
        <v>176</v>
      </c>
      <c r="D189" s="108"/>
      <c r="E189" s="109">
        <f t="shared" si="52"/>
        <v>0</v>
      </c>
      <c r="F189" s="108"/>
      <c r="G189" s="108"/>
      <c r="H189" s="108"/>
      <c r="I189" s="108"/>
      <c r="J189" s="108"/>
      <c r="K189" s="110"/>
      <c r="L189" s="137" t="e">
        <f t="shared" si="41"/>
        <v>#DIV/0!</v>
      </c>
    </row>
    <row r="190" spans="1:12" ht="16.5" hidden="1" customHeight="1" x14ac:dyDescent="0.25">
      <c r="A190" s="83">
        <v>5154</v>
      </c>
      <c r="B190" s="229">
        <v>921200</v>
      </c>
      <c r="C190" s="84" t="s">
        <v>177</v>
      </c>
      <c r="D190" s="108"/>
      <c r="E190" s="109">
        <f t="shared" si="52"/>
        <v>0</v>
      </c>
      <c r="F190" s="108"/>
      <c r="G190" s="108"/>
      <c r="H190" s="108"/>
      <c r="I190" s="108"/>
      <c r="J190" s="108"/>
      <c r="K190" s="110"/>
      <c r="L190" s="137" t="e">
        <f t="shared" si="41"/>
        <v>#DIV/0!</v>
      </c>
    </row>
    <row r="191" spans="1:12" ht="16.5" hidden="1" customHeight="1" x14ac:dyDescent="0.25">
      <c r="A191" s="83">
        <v>5155</v>
      </c>
      <c r="B191" s="229">
        <v>921300</v>
      </c>
      <c r="C191" s="84" t="s">
        <v>178</v>
      </c>
      <c r="D191" s="108"/>
      <c r="E191" s="109">
        <f t="shared" si="52"/>
        <v>0</v>
      </c>
      <c r="F191" s="108"/>
      <c r="G191" s="108"/>
      <c r="H191" s="108"/>
      <c r="I191" s="108"/>
      <c r="J191" s="108"/>
      <c r="K191" s="110"/>
      <c r="L191" s="137" t="e">
        <f t="shared" si="41"/>
        <v>#DIV/0!</v>
      </c>
    </row>
    <row r="192" spans="1:12" ht="16.5" hidden="1" customHeight="1" x14ac:dyDescent="0.25">
      <c r="A192" s="83">
        <v>5156</v>
      </c>
      <c r="B192" s="229">
        <v>921400</v>
      </c>
      <c r="C192" s="84" t="s">
        <v>179</v>
      </c>
      <c r="D192" s="108"/>
      <c r="E192" s="109">
        <f t="shared" si="52"/>
        <v>0</v>
      </c>
      <c r="F192" s="108"/>
      <c r="G192" s="108"/>
      <c r="H192" s="108"/>
      <c r="I192" s="108"/>
      <c r="J192" s="108"/>
      <c r="K192" s="110"/>
      <c r="L192" s="137" t="e">
        <f t="shared" si="41"/>
        <v>#DIV/0!</v>
      </c>
    </row>
    <row r="193" spans="1:12" ht="16.5" hidden="1" customHeight="1" x14ac:dyDescent="0.25">
      <c r="A193" s="83">
        <v>5157</v>
      </c>
      <c r="B193" s="229">
        <v>921500</v>
      </c>
      <c r="C193" s="84" t="s">
        <v>180</v>
      </c>
      <c r="D193" s="108"/>
      <c r="E193" s="109">
        <f t="shared" si="52"/>
        <v>0</v>
      </c>
      <c r="F193" s="108"/>
      <c r="G193" s="108"/>
      <c r="H193" s="108"/>
      <c r="I193" s="108"/>
      <c r="J193" s="108"/>
      <c r="K193" s="110"/>
      <c r="L193" s="137" t="e">
        <f t="shared" si="41"/>
        <v>#DIV/0!</v>
      </c>
    </row>
    <row r="194" spans="1:12" ht="16.5" hidden="1" customHeight="1" x14ac:dyDescent="0.25">
      <c r="A194" s="83">
        <v>5158</v>
      </c>
      <c r="B194" s="229">
        <v>921600</v>
      </c>
      <c r="C194" s="84" t="s">
        <v>181</v>
      </c>
      <c r="D194" s="108"/>
      <c r="E194" s="109">
        <f t="shared" si="52"/>
        <v>0</v>
      </c>
      <c r="F194" s="108"/>
      <c r="G194" s="108"/>
      <c r="H194" s="108"/>
      <c r="I194" s="108"/>
      <c r="J194" s="108"/>
      <c r="K194" s="110"/>
      <c r="L194" s="137" t="e">
        <f t="shared" si="41"/>
        <v>#DIV/0!</v>
      </c>
    </row>
    <row r="195" spans="1:12" ht="16.5" hidden="1" customHeight="1" x14ac:dyDescent="0.25">
      <c r="A195" s="83">
        <v>5159</v>
      </c>
      <c r="B195" s="229">
        <v>921700</v>
      </c>
      <c r="C195" s="84" t="s">
        <v>182</v>
      </c>
      <c r="D195" s="108"/>
      <c r="E195" s="109">
        <f t="shared" si="52"/>
        <v>0</v>
      </c>
      <c r="F195" s="108"/>
      <c r="G195" s="108"/>
      <c r="H195" s="108"/>
      <c r="I195" s="108"/>
      <c r="J195" s="108"/>
      <c r="K195" s="110"/>
      <c r="L195" s="137" t="e">
        <f t="shared" si="41"/>
        <v>#DIV/0!</v>
      </c>
    </row>
    <row r="196" spans="1:12" ht="16.5" hidden="1" customHeight="1" x14ac:dyDescent="0.25">
      <c r="A196" s="83">
        <v>5160</v>
      </c>
      <c r="B196" s="229">
        <v>921800</v>
      </c>
      <c r="C196" s="84" t="s">
        <v>183</v>
      </c>
      <c r="D196" s="108"/>
      <c r="E196" s="109">
        <f t="shared" si="52"/>
        <v>0</v>
      </c>
      <c r="F196" s="108"/>
      <c r="G196" s="108"/>
      <c r="H196" s="108"/>
      <c r="I196" s="108"/>
      <c r="J196" s="108"/>
      <c r="K196" s="110"/>
      <c r="L196" s="137" t="e">
        <f t="shared" si="41"/>
        <v>#DIV/0!</v>
      </c>
    </row>
    <row r="197" spans="1:12" ht="16.5" hidden="1" customHeight="1" x14ac:dyDescent="0.25">
      <c r="A197" s="83">
        <v>5161</v>
      </c>
      <c r="B197" s="229">
        <v>921900</v>
      </c>
      <c r="C197" s="84" t="s">
        <v>184</v>
      </c>
      <c r="D197" s="108"/>
      <c r="E197" s="109">
        <f t="shared" si="52"/>
        <v>0</v>
      </c>
      <c r="F197" s="108"/>
      <c r="G197" s="108"/>
      <c r="H197" s="108"/>
      <c r="I197" s="108"/>
      <c r="J197" s="108"/>
      <c r="K197" s="110"/>
      <c r="L197" s="137" t="e">
        <f t="shared" si="41"/>
        <v>#DIV/0!</v>
      </c>
    </row>
    <row r="198" spans="1:12" ht="16.5" hidden="1" customHeight="1" x14ac:dyDescent="0.25">
      <c r="A198" s="226">
        <v>5162</v>
      </c>
      <c r="B198" s="224">
        <v>922000</v>
      </c>
      <c r="C198" s="82" t="s">
        <v>185</v>
      </c>
      <c r="D198" s="100">
        <f>SUM(D199:D210)</f>
        <v>0</v>
      </c>
      <c r="E198" s="100">
        <f t="shared" si="52"/>
        <v>0</v>
      </c>
      <c r="F198" s="100">
        <f t="shared" ref="F198:K198" si="59">SUM(F199:F210)</f>
        <v>0</v>
      </c>
      <c r="G198" s="100">
        <f t="shared" si="59"/>
        <v>0</v>
      </c>
      <c r="H198" s="100">
        <f t="shared" si="59"/>
        <v>0</v>
      </c>
      <c r="I198" s="100">
        <f t="shared" si="59"/>
        <v>0</v>
      </c>
      <c r="J198" s="100">
        <f t="shared" si="59"/>
        <v>0</v>
      </c>
      <c r="K198" s="101">
        <f t="shared" si="59"/>
        <v>0</v>
      </c>
      <c r="L198" s="137" t="e">
        <f t="shared" si="41"/>
        <v>#DIV/0!</v>
      </c>
    </row>
    <row r="199" spans="1:12" ht="16.5" hidden="1" customHeight="1" x14ac:dyDescent="0.25">
      <c r="A199" s="83">
        <v>5163</v>
      </c>
      <c r="B199" s="229">
        <v>922100</v>
      </c>
      <c r="C199" s="84" t="s">
        <v>186</v>
      </c>
      <c r="D199" s="108"/>
      <c r="E199" s="109">
        <f t="shared" ref="E199:E211" si="60">SUM(F199:K199)</f>
        <v>0</v>
      </c>
      <c r="F199" s="108"/>
      <c r="G199" s="108"/>
      <c r="H199" s="108"/>
      <c r="I199" s="108"/>
      <c r="J199" s="108"/>
      <c r="K199" s="110"/>
      <c r="L199" s="137" t="e">
        <f t="shared" si="41"/>
        <v>#DIV/0!</v>
      </c>
    </row>
    <row r="200" spans="1:12" ht="16.5" hidden="1" customHeight="1" x14ac:dyDescent="0.25">
      <c r="A200" s="83">
        <v>5164</v>
      </c>
      <c r="B200" s="229">
        <v>922200</v>
      </c>
      <c r="C200" s="84" t="s">
        <v>187</v>
      </c>
      <c r="D200" s="108"/>
      <c r="E200" s="109">
        <f t="shared" si="60"/>
        <v>0</v>
      </c>
      <c r="F200" s="108"/>
      <c r="G200" s="108"/>
      <c r="H200" s="108"/>
      <c r="I200" s="108"/>
      <c r="J200" s="108"/>
      <c r="K200" s="110"/>
      <c r="L200" s="137" t="e">
        <f t="shared" si="41"/>
        <v>#DIV/0!</v>
      </c>
    </row>
    <row r="201" spans="1:12" ht="16.5" hidden="1" customHeight="1" x14ac:dyDescent="0.25">
      <c r="A201" s="83">
        <v>5165</v>
      </c>
      <c r="B201" s="229">
        <v>922300</v>
      </c>
      <c r="C201" s="84" t="s">
        <v>188</v>
      </c>
      <c r="D201" s="108"/>
      <c r="E201" s="109">
        <f t="shared" si="60"/>
        <v>0</v>
      </c>
      <c r="F201" s="108"/>
      <c r="G201" s="108"/>
      <c r="H201" s="108"/>
      <c r="I201" s="108"/>
      <c r="J201" s="108"/>
      <c r="K201" s="110"/>
      <c r="L201" s="137" t="e">
        <f t="shared" si="41"/>
        <v>#DIV/0!</v>
      </c>
    </row>
    <row r="202" spans="1:12" ht="16.5" hidden="1" customHeight="1" x14ac:dyDescent="0.25">
      <c r="A202" s="83">
        <v>5166</v>
      </c>
      <c r="B202" s="229">
        <v>922400</v>
      </c>
      <c r="C202" s="84" t="s">
        <v>189</v>
      </c>
      <c r="D202" s="108"/>
      <c r="E202" s="109">
        <f t="shared" si="60"/>
        <v>0</v>
      </c>
      <c r="F202" s="108"/>
      <c r="G202" s="108"/>
      <c r="H202" s="108"/>
      <c r="I202" s="108"/>
      <c r="J202" s="108"/>
      <c r="K202" s="110"/>
      <c r="L202" s="137" t="e">
        <f t="shared" ref="L202:L211" si="61">E202/D202</f>
        <v>#DIV/0!</v>
      </c>
    </row>
    <row r="203" spans="1:12" ht="16.5" hidden="1" customHeight="1" x14ac:dyDescent="0.25">
      <c r="A203" s="83">
        <v>5167</v>
      </c>
      <c r="B203" s="229">
        <v>922500</v>
      </c>
      <c r="C203" s="84" t="s">
        <v>190</v>
      </c>
      <c r="D203" s="108"/>
      <c r="E203" s="109">
        <f t="shared" si="60"/>
        <v>0</v>
      </c>
      <c r="F203" s="108"/>
      <c r="G203" s="108"/>
      <c r="H203" s="108"/>
      <c r="I203" s="108"/>
      <c r="J203" s="108"/>
      <c r="K203" s="110"/>
      <c r="L203" s="137" t="e">
        <f t="shared" si="61"/>
        <v>#DIV/0!</v>
      </c>
    </row>
    <row r="204" spans="1:12" ht="16.5" hidden="1" customHeight="1" x14ac:dyDescent="0.25">
      <c r="A204" s="583" t="s">
        <v>0</v>
      </c>
      <c r="B204" s="584" t="s">
        <v>1</v>
      </c>
      <c r="C204" s="585" t="s">
        <v>2</v>
      </c>
      <c r="D204" s="575" t="s">
        <v>3</v>
      </c>
      <c r="E204" s="575" t="s">
        <v>4</v>
      </c>
      <c r="F204" s="575"/>
      <c r="G204" s="575"/>
      <c r="H204" s="575"/>
      <c r="I204" s="575"/>
      <c r="J204" s="575"/>
      <c r="K204" s="582"/>
      <c r="L204" s="137" t="e">
        <f t="shared" si="61"/>
        <v>#VALUE!</v>
      </c>
    </row>
    <row r="205" spans="1:12" ht="16.5" hidden="1" customHeight="1" x14ac:dyDescent="0.25">
      <c r="A205" s="583"/>
      <c r="B205" s="584"/>
      <c r="C205" s="585"/>
      <c r="D205" s="575"/>
      <c r="E205" s="581" t="s">
        <v>5</v>
      </c>
      <c r="F205" s="575" t="s">
        <v>6</v>
      </c>
      <c r="G205" s="575"/>
      <c r="H205" s="575"/>
      <c r="I205" s="575"/>
      <c r="J205" s="575" t="s">
        <v>7</v>
      </c>
      <c r="K205" s="582" t="s">
        <v>8</v>
      </c>
      <c r="L205" s="137" t="e">
        <f t="shared" si="61"/>
        <v>#VALUE!</v>
      </c>
    </row>
    <row r="206" spans="1:12" ht="16.5" hidden="1" customHeight="1" x14ac:dyDescent="0.25">
      <c r="A206" s="583"/>
      <c r="B206" s="584"/>
      <c r="C206" s="585"/>
      <c r="D206" s="575"/>
      <c r="E206" s="581"/>
      <c r="F206" s="224" t="s">
        <v>9</v>
      </c>
      <c r="G206" s="224" t="s">
        <v>10</v>
      </c>
      <c r="H206" s="224" t="s">
        <v>11</v>
      </c>
      <c r="I206" s="224" t="s">
        <v>12</v>
      </c>
      <c r="J206" s="575"/>
      <c r="K206" s="582"/>
      <c r="L206" s="137" t="e">
        <f t="shared" si="61"/>
        <v>#DIV/0!</v>
      </c>
    </row>
    <row r="207" spans="1:12" ht="16.5" hidden="1" customHeight="1" x14ac:dyDescent="0.25">
      <c r="A207" s="85" t="s">
        <v>18</v>
      </c>
      <c r="B207" s="223" t="s">
        <v>19</v>
      </c>
      <c r="C207" s="223" t="s">
        <v>20</v>
      </c>
      <c r="D207" s="86" t="s">
        <v>21</v>
      </c>
      <c r="E207" s="86" t="s">
        <v>22</v>
      </c>
      <c r="F207" s="86" t="s">
        <v>23</v>
      </c>
      <c r="G207" s="86" t="s">
        <v>24</v>
      </c>
      <c r="H207" s="86" t="s">
        <v>25</v>
      </c>
      <c r="I207" s="86" t="s">
        <v>26</v>
      </c>
      <c r="J207" s="86" t="s">
        <v>27</v>
      </c>
      <c r="K207" s="98" t="s">
        <v>28</v>
      </c>
      <c r="L207" s="137">
        <f t="shared" si="61"/>
        <v>1.25</v>
      </c>
    </row>
    <row r="208" spans="1:12" ht="16.5" hidden="1" customHeight="1" x14ac:dyDescent="0.25">
      <c r="A208" s="83">
        <v>5168</v>
      </c>
      <c r="B208" s="229">
        <v>922600</v>
      </c>
      <c r="C208" s="84" t="s">
        <v>191</v>
      </c>
      <c r="D208" s="108"/>
      <c r="E208" s="109">
        <f t="shared" si="60"/>
        <v>0</v>
      </c>
      <c r="F208" s="108"/>
      <c r="G208" s="108"/>
      <c r="H208" s="108"/>
      <c r="I208" s="108"/>
      <c r="J208" s="108"/>
      <c r="K208" s="110"/>
      <c r="L208" s="137" t="e">
        <f t="shared" si="61"/>
        <v>#DIV/0!</v>
      </c>
    </row>
    <row r="209" spans="1:12" ht="16.5" hidden="1" customHeight="1" x14ac:dyDescent="0.25">
      <c r="A209" s="83">
        <v>5169</v>
      </c>
      <c r="B209" s="229">
        <v>922700</v>
      </c>
      <c r="C209" s="84" t="s">
        <v>192</v>
      </c>
      <c r="D209" s="108"/>
      <c r="E209" s="109">
        <f t="shared" si="60"/>
        <v>0</v>
      </c>
      <c r="F209" s="108"/>
      <c r="G209" s="108"/>
      <c r="H209" s="108"/>
      <c r="I209" s="108"/>
      <c r="J209" s="108"/>
      <c r="K209" s="110"/>
      <c r="L209" s="137" t="e">
        <f t="shared" si="61"/>
        <v>#DIV/0!</v>
      </c>
    </row>
    <row r="210" spans="1:12" ht="16.5" hidden="1" customHeight="1" x14ac:dyDescent="0.25">
      <c r="A210" s="83">
        <v>5170</v>
      </c>
      <c r="B210" s="229">
        <v>922800</v>
      </c>
      <c r="C210" s="84" t="s">
        <v>193</v>
      </c>
      <c r="D210" s="108"/>
      <c r="E210" s="109">
        <f t="shared" si="60"/>
        <v>0</v>
      </c>
      <c r="F210" s="108"/>
      <c r="G210" s="108"/>
      <c r="H210" s="108"/>
      <c r="I210" s="108"/>
      <c r="J210" s="108"/>
      <c r="K210" s="110"/>
      <c r="L210" s="137" t="e">
        <f t="shared" si="61"/>
        <v>#DIV/0!</v>
      </c>
    </row>
    <row r="211" spans="1:12" ht="12.75" customHeight="1" thickBot="1" x14ac:dyDescent="0.3">
      <c r="A211" s="87">
        <v>5171</v>
      </c>
      <c r="B211" s="88"/>
      <c r="C211" s="89" t="s">
        <v>536</v>
      </c>
      <c r="D211" s="113">
        <f>D9+D163</f>
        <v>1522451</v>
      </c>
      <c r="E211" s="113">
        <f t="shared" si="60"/>
        <v>1153554</v>
      </c>
      <c r="F211" s="113">
        <f t="shared" ref="F211:K211" si="62">F9+F163</f>
        <v>11653</v>
      </c>
      <c r="G211" s="113">
        <f t="shared" si="62"/>
        <v>0</v>
      </c>
      <c r="H211" s="113">
        <f t="shared" si="62"/>
        <v>0</v>
      </c>
      <c r="I211" s="113">
        <f t="shared" si="62"/>
        <v>1132192</v>
      </c>
      <c r="J211" s="113">
        <f t="shared" si="62"/>
        <v>0</v>
      </c>
      <c r="K211" s="114">
        <f t="shared" si="62"/>
        <v>9709</v>
      </c>
      <c r="L211" s="138">
        <f t="shared" si="61"/>
        <v>0.75769532155714703</v>
      </c>
    </row>
    <row r="212" spans="1:12" ht="12.75" customHeight="1" x14ac:dyDescent="0.25">
      <c r="A212" s="90"/>
      <c r="B212" s="91"/>
      <c r="C212" s="91"/>
      <c r="D212" s="91"/>
      <c r="E212" s="91"/>
      <c r="F212" s="91"/>
      <c r="G212" s="91"/>
      <c r="H212" s="91"/>
      <c r="I212" s="91"/>
      <c r="J212" s="91"/>
      <c r="K212" s="91"/>
    </row>
    <row r="213" spans="1:12" ht="6" customHeight="1" x14ac:dyDescent="0.25">
      <c r="A213" s="90"/>
      <c r="B213" s="91"/>
      <c r="C213" s="91"/>
      <c r="D213" s="91"/>
      <c r="E213" s="91"/>
      <c r="F213" s="91"/>
      <c r="G213" s="91"/>
      <c r="H213" s="91"/>
      <c r="I213" s="91"/>
      <c r="J213" s="91"/>
      <c r="K213" s="91"/>
    </row>
    <row r="214" spans="1:12" ht="12.75" customHeight="1" x14ac:dyDescent="0.25">
      <c r="A214" s="92" t="s">
        <v>195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</row>
    <row r="215" spans="1:12" ht="12.75" customHeight="1" thickBot="1" x14ac:dyDescent="0.3">
      <c r="A215" s="90"/>
      <c r="B215" s="91"/>
      <c r="C215" s="91"/>
      <c r="D215" s="91"/>
      <c r="E215" s="91"/>
      <c r="F215" s="91"/>
      <c r="G215" s="91"/>
      <c r="H215" s="91"/>
      <c r="I215" s="91"/>
      <c r="J215" s="91" t="s">
        <v>196</v>
      </c>
      <c r="K215" s="91"/>
    </row>
    <row r="216" spans="1:12" ht="12.75" customHeight="1" x14ac:dyDescent="0.25">
      <c r="A216" s="572" t="s">
        <v>0</v>
      </c>
      <c r="B216" s="574" t="s">
        <v>1</v>
      </c>
      <c r="C216" s="574" t="s">
        <v>2</v>
      </c>
      <c r="D216" s="574" t="s">
        <v>197</v>
      </c>
      <c r="E216" s="574" t="s">
        <v>198</v>
      </c>
      <c r="F216" s="590"/>
      <c r="G216" s="590"/>
      <c r="H216" s="590"/>
      <c r="I216" s="590"/>
      <c r="J216" s="590"/>
      <c r="K216" s="591"/>
      <c r="L216" s="578" t="s">
        <v>530</v>
      </c>
    </row>
    <row r="217" spans="1:12" ht="12.75" customHeight="1" x14ac:dyDescent="0.25">
      <c r="A217" s="588"/>
      <c r="B217" s="589"/>
      <c r="C217" s="589"/>
      <c r="D217" s="589"/>
      <c r="E217" s="575" t="s">
        <v>199</v>
      </c>
      <c r="F217" s="575" t="s">
        <v>200</v>
      </c>
      <c r="G217" s="589"/>
      <c r="H217" s="589"/>
      <c r="I217" s="589"/>
      <c r="J217" s="575" t="s">
        <v>7</v>
      </c>
      <c r="K217" s="582" t="s">
        <v>8</v>
      </c>
      <c r="L217" s="579"/>
    </row>
    <row r="218" spans="1:12" ht="12.75" customHeight="1" x14ac:dyDescent="0.25">
      <c r="A218" s="588"/>
      <c r="B218" s="589"/>
      <c r="C218" s="589"/>
      <c r="D218" s="589"/>
      <c r="E218" s="589"/>
      <c r="F218" s="224" t="s">
        <v>201</v>
      </c>
      <c r="G218" s="224" t="s">
        <v>10</v>
      </c>
      <c r="H218" s="224" t="s">
        <v>11</v>
      </c>
      <c r="I218" s="224" t="s">
        <v>12</v>
      </c>
      <c r="J218" s="589"/>
      <c r="K218" s="592"/>
      <c r="L218" s="580"/>
    </row>
    <row r="219" spans="1:12" ht="12.75" customHeight="1" x14ac:dyDescent="0.25">
      <c r="A219" s="226">
        <v>1</v>
      </c>
      <c r="B219" s="224">
        <v>2</v>
      </c>
      <c r="C219" s="224">
        <v>3</v>
      </c>
      <c r="D219" s="224">
        <v>4</v>
      </c>
      <c r="E219" s="224">
        <v>5</v>
      </c>
      <c r="F219" s="224">
        <v>6</v>
      </c>
      <c r="G219" s="224">
        <v>7</v>
      </c>
      <c r="H219" s="224">
        <v>8</v>
      </c>
      <c r="I219" s="224">
        <v>9</v>
      </c>
      <c r="J219" s="224">
        <v>10</v>
      </c>
      <c r="K219" s="225">
        <v>11</v>
      </c>
      <c r="L219" s="227" t="s">
        <v>531</v>
      </c>
    </row>
    <row r="220" spans="1:12" ht="12.75" customHeight="1" x14ac:dyDescent="0.25">
      <c r="A220" s="93">
        <v>5172</v>
      </c>
      <c r="B220" s="224"/>
      <c r="C220" s="82" t="s">
        <v>202</v>
      </c>
      <c r="D220" s="100">
        <f>D221+D417</f>
        <v>1527836</v>
      </c>
      <c r="E220" s="100">
        <f t="shared" ref="E220:E291" si="63">SUM(F220:K220)</f>
        <v>1158819</v>
      </c>
      <c r="F220" s="100">
        <f t="shared" ref="F220:K220" si="64">F221+F417</f>
        <v>11839</v>
      </c>
      <c r="G220" s="100">
        <f t="shared" si="64"/>
        <v>0</v>
      </c>
      <c r="H220" s="100">
        <f t="shared" si="64"/>
        <v>0</v>
      </c>
      <c r="I220" s="100">
        <f t="shared" si="64"/>
        <v>1132382</v>
      </c>
      <c r="J220" s="100">
        <f t="shared" si="64"/>
        <v>0</v>
      </c>
      <c r="K220" s="101">
        <f t="shared" si="64"/>
        <v>14598</v>
      </c>
      <c r="L220" s="137">
        <f t="shared" ref="L220:L283" si="65">E220/D220</f>
        <v>0.75847080445807014</v>
      </c>
    </row>
    <row r="221" spans="1:12" ht="12.75" customHeight="1" x14ac:dyDescent="0.25">
      <c r="A221" s="93">
        <v>5173</v>
      </c>
      <c r="B221" s="224">
        <v>400000</v>
      </c>
      <c r="C221" s="82" t="s">
        <v>203</v>
      </c>
      <c r="D221" s="100">
        <f>D222+D248+D297+D316+D344+D357+D377+D396</f>
        <v>1500213</v>
      </c>
      <c r="E221" s="100">
        <f t="shared" si="63"/>
        <v>1145337</v>
      </c>
      <c r="F221" s="100">
        <f t="shared" ref="F221:K221" si="66">F222+F248+F297+F316+F344+F357+F377+F396</f>
        <v>2019</v>
      </c>
      <c r="G221" s="100">
        <f t="shared" si="66"/>
        <v>0</v>
      </c>
      <c r="H221" s="100">
        <f t="shared" si="66"/>
        <v>0</v>
      </c>
      <c r="I221" s="100">
        <f t="shared" si="66"/>
        <v>1132382</v>
      </c>
      <c r="J221" s="100">
        <f t="shared" si="66"/>
        <v>0</v>
      </c>
      <c r="K221" s="101">
        <f t="shared" si="66"/>
        <v>10936</v>
      </c>
      <c r="L221" s="137">
        <f t="shared" si="65"/>
        <v>0.76344959015819758</v>
      </c>
    </row>
    <row r="222" spans="1:12" ht="12.75" customHeight="1" x14ac:dyDescent="0.25">
      <c r="A222" s="93">
        <v>5174</v>
      </c>
      <c r="B222" s="224">
        <v>410000</v>
      </c>
      <c r="C222" s="82" t="s">
        <v>204</v>
      </c>
      <c r="D222" s="100">
        <f>D223+D225+D229+D231+D240+D242+D244+D246</f>
        <v>1063773</v>
      </c>
      <c r="E222" s="100">
        <f t="shared" si="63"/>
        <v>831830</v>
      </c>
      <c r="F222" s="100">
        <f t="shared" ref="F222:K222" si="67">F223+F225+F229+F231+F240+F242+F244+F246</f>
        <v>0</v>
      </c>
      <c r="G222" s="100">
        <f t="shared" si="67"/>
        <v>0</v>
      </c>
      <c r="H222" s="100">
        <f t="shared" si="67"/>
        <v>0</v>
      </c>
      <c r="I222" s="100">
        <f t="shared" si="67"/>
        <v>829359</v>
      </c>
      <c r="J222" s="100">
        <f t="shared" si="67"/>
        <v>0</v>
      </c>
      <c r="K222" s="101">
        <f t="shared" si="67"/>
        <v>2471</v>
      </c>
      <c r="L222" s="137">
        <f t="shared" si="65"/>
        <v>0.78196194112841744</v>
      </c>
    </row>
    <row r="223" spans="1:12" ht="12.75" customHeight="1" x14ac:dyDescent="0.25">
      <c r="A223" s="93">
        <v>5175</v>
      </c>
      <c r="B223" s="224">
        <v>411000</v>
      </c>
      <c r="C223" s="82" t="s">
        <v>205</v>
      </c>
      <c r="D223" s="100">
        <f>D224</f>
        <v>875010</v>
      </c>
      <c r="E223" s="100">
        <f t="shared" si="63"/>
        <v>679624</v>
      </c>
      <c r="F223" s="100">
        <f t="shared" ref="F223:K223" si="68">F224</f>
        <v>0</v>
      </c>
      <c r="G223" s="100">
        <f t="shared" si="68"/>
        <v>0</v>
      </c>
      <c r="H223" s="100">
        <f t="shared" si="68"/>
        <v>0</v>
      </c>
      <c r="I223" s="100">
        <f t="shared" si="68"/>
        <v>677634</v>
      </c>
      <c r="J223" s="100">
        <f t="shared" si="68"/>
        <v>0</v>
      </c>
      <c r="K223" s="101">
        <f t="shared" si="68"/>
        <v>1990</v>
      </c>
      <c r="L223" s="137">
        <f t="shared" si="65"/>
        <v>0.77670426623695732</v>
      </c>
    </row>
    <row r="224" spans="1:12" ht="12.75" customHeight="1" x14ac:dyDescent="0.25">
      <c r="A224" s="94">
        <v>5176</v>
      </c>
      <c r="B224" s="229">
        <v>411100</v>
      </c>
      <c r="C224" s="84" t="s">
        <v>206</v>
      </c>
      <c r="D224" s="108">
        <v>875010</v>
      </c>
      <c r="E224" s="109">
        <f t="shared" si="63"/>
        <v>679624</v>
      </c>
      <c r="F224" s="108"/>
      <c r="G224" s="108"/>
      <c r="H224" s="108"/>
      <c r="I224" s="108">
        <v>677634</v>
      </c>
      <c r="J224" s="108"/>
      <c r="K224" s="110">
        <v>1990</v>
      </c>
      <c r="L224" s="137">
        <f t="shared" si="65"/>
        <v>0.77670426623695732</v>
      </c>
    </row>
    <row r="225" spans="1:12" ht="12.75" customHeight="1" x14ac:dyDescent="0.25">
      <c r="A225" s="93">
        <v>5177</v>
      </c>
      <c r="B225" s="224">
        <v>412000</v>
      </c>
      <c r="C225" s="82" t="s">
        <v>207</v>
      </c>
      <c r="D225" s="100">
        <f>SUM(D226:D228)</f>
        <v>141315</v>
      </c>
      <c r="E225" s="100">
        <f t="shared" si="63"/>
        <v>109759</v>
      </c>
      <c r="F225" s="100">
        <f t="shared" ref="F225:K225" si="69">SUM(F226:F228)</f>
        <v>0</v>
      </c>
      <c r="G225" s="100">
        <f t="shared" si="69"/>
        <v>0</v>
      </c>
      <c r="H225" s="100">
        <f t="shared" si="69"/>
        <v>0</v>
      </c>
      <c r="I225" s="100">
        <f t="shared" si="69"/>
        <v>109438</v>
      </c>
      <c r="J225" s="100">
        <f t="shared" si="69"/>
        <v>0</v>
      </c>
      <c r="K225" s="101">
        <f t="shared" si="69"/>
        <v>321</v>
      </c>
      <c r="L225" s="137">
        <f t="shared" si="65"/>
        <v>0.7766974489615398</v>
      </c>
    </row>
    <row r="226" spans="1:12" ht="12.75" customHeight="1" x14ac:dyDescent="0.25">
      <c r="A226" s="94">
        <v>5178</v>
      </c>
      <c r="B226" s="229">
        <v>412100</v>
      </c>
      <c r="C226" s="84" t="s">
        <v>208</v>
      </c>
      <c r="D226" s="108">
        <v>96251</v>
      </c>
      <c r="E226" s="109">
        <f t="shared" si="63"/>
        <v>74759</v>
      </c>
      <c r="F226" s="108"/>
      <c r="G226" s="108"/>
      <c r="H226" s="108"/>
      <c r="I226" s="108">
        <v>74540</v>
      </c>
      <c r="J226" s="108"/>
      <c r="K226" s="110">
        <v>219</v>
      </c>
      <c r="L226" s="137">
        <f t="shared" si="65"/>
        <v>0.77670881341492559</v>
      </c>
    </row>
    <row r="227" spans="1:12" ht="12.75" customHeight="1" x14ac:dyDescent="0.25">
      <c r="A227" s="94">
        <v>5179</v>
      </c>
      <c r="B227" s="229">
        <v>412200</v>
      </c>
      <c r="C227" s="84" t="s">
        <v>209</v>
      </c>
      <c r="D227" s="108">
        <v>45064</v>
      </c>
      <c r="E227" s="109">
        <f t="shared" si="63"/>
        <v>35000</v>
      </c>
      <c r="F227" s="108"/>
      <c r="G227" s="108"/>
      <c r="H227" s="108"/>
      <c r="I227" s="108">
        <v>34898</v>
      </c>
      <c r="J227" s="108"/>
      <c r="K227" s="110">
        <v>102</v>
      </c>
      <c r="L227" s="137">
        <f t="shared" si="65"/>
        <v>0.77667317592756968</v>
      </c>
    </row>
    <row r="228" spans="1:12" ht="12.75" hidden="1" customHeight="1" x14ac:dyDescent="0.25">
      <c r="A228" s="94">
        <v>5180</v>
      </c>
      <c r="B228" s="229">
        <v>412300</v>
      </c>
      <c r="C228" s="84" t="s">
        <v>210</v>
      </c>
      <c r="D228" s="108"/>
      <c r="E228" s="109">
        <f t="shared" si="63"/>
        <v>0</v>
      </c>
      <c r="F228" s="108"/>
      <c r="G228" s="108"/>
      <c r="H228" s="108"/>
      <c r="I228" s="108"/>
      <c r="J228" s="108"/>
      <c r="K228" s="110"/>
      <c r="L228" s="137" t="e">
        <f t="shared" si="65"/>
        <v>#DIV/0!</v>
      </c>
    </row>
    <row r="229" spans="1:12" ht="12.75" hidden="1" customHeight="1" x14ac:dyDescent="0.25">
      <c r="A229" s="93">
        <v>5181</v>
      </c>
      <c r="B229" s="224">
        <v>413000</v>
      </c>
      <c r="C229" s="82" t="s">
        <v>211</v>
      </c>
      <c r="D229" s="100">
        <f>D230</f>
        <v>0</v>
      </c>
      <c r="E229" s="100">
        <f t="shared" si="63"/>
        <v>0</v>
      </c>
      <c r="F229" s="100">
        <f t="shared" ref="F229:K229" si="70">F230</f>
        <v>0</v>
      </c>
      <c r="G229" s="100">
        <f t="shared" si="70"/>
        <v>0</v>
      </c>
      <c r="H229" s="100">
        <f t="shared" si="70"/>
        <v>0</v>
      </c>
      <c r="I229" s="100">
        <f t="shared" si="70"/>
        <v>0</v>
      </c>
      <c r="J229" s="100">
        <f t="shared" si="70"/>
        <v>0</v>
      </c>
      <c r="K229" s="101">
        <f t="shared" si="70"/>
        <v>0</v>
      </c>
      <c r="L229" s="137" t="e">
        <f t="shared" si="65"/>
        <v>#DIV/0!</v>
      </c>
    </row>
    <row r="230" spans="1:12" ht="12.75" hidden="1" customHeight="1" x14ac:dyDescent="0.25">
      <c r="A230" s="94">
        <v>5182</v>
      </c>
      <c r="B230" s="229">
        <v>413100</v>
      </c>
      <c r="C230" s="84" t="s">
        <v>212</v>
      </c>
      <c r="D230" s="108"/>
      <c r="E230" s="109">
        <f t="shared" si="63"/>
        <v>0</v>
      </c>
      <c r="F230" s="108"/>
      <c r="G230" s="108"/>
      <c r="H230" s="108"/>
      <c r="I230" s="108"/>
      <c r="J230" s="108"/>
      <c r="K230" s="110"/>
      <c r="L230" s="137" t="e">
        <f t="shared" si="65"/>
        <v>#DIV/0!</v>
      </c>
    </row>
    <row r="231" spans="1:12" ht="12.75" customHeight="1" x14ac:dyDescent="0.25">
      <c r="A231" s="93">
        <v>5183</v>
      </c>
      <c r="B231" s="224">
        <v>414000</v>
      </c>
      <c r="C231" s="82" t="s">
        <v>213</v>
      </c>
      <c r="D231" s="100">
        <f>SUM(D232:D239)</f>
        <v>13972</v>
      </c>
      <c r="E231" s="100">
        <f t="shared" si="63"/>
        <v>15334</v>
      </c>
      <c r="F231" s="100">
        <f t="shared" ref="F231:K231" si="71">SUM(F232:F239)</f>
        <v>0</v>
      </c>
      <c r="G231" s="100">
        <f t="shared" si="71"/>
        <v>0</v>
      </c>
      <c r="H231" s="100">
        <f t="shared" si="71"/>
        <v>0</v>
      </c>
      <c r="I231" s="100">
        <f t="shared" si="71"/>
        <v>15174</v>
      </c>
      <c r="J231" s="100">
        <f t="shared" si="71"/>
        <v>0</v>
      </c>
      <c r="K231" s="101">
        <f t="shared" si="71"/>
        <v>160</v>
      </c>
      <c r="L231" s="137">
        <f t="shared" si="65"/>
        <v>1.0974806756369884</v>
      </c>
    </row>
    <row r="232" spans="1:12" ht="12.75" hidden="1" customHeight="1" x14ac:dyDescent="0.25">
      <c r="A232" s="94">
        <v>5184</v>
      </c>
      <c r="B232" s="229">
        <v>414100</v>
      </c>
      <c r="C232" s="84" t="s">
        <v>214</v>
      </c>
      <c r="D232" s="108"/>
      <c r="E232" s="109">
        <f t="shared" si="63"/>
        <v>0</v>
      </c>
      <c r="F232" s="108"/>
      <c r="G232" s="108"/>
      <c r="H232" s="108"/>
      <c r="I232" s="108"/>
      <c r="J232" s="108"/>
      <c r="K232" s="110"/>
      <c r="L232" s="137" t="e">
        <f t="shared" si="65"/>
        <v>#DIV/0!</v>
      </c>
    </row>
    <row r="233" spans="1:12" ht="12.75" hidden="1" customHeight="1" x14ac:dyDescent="0.25">
      <c r="A233" s="94">
        <v>5185</v>
      </c>
      <c r="B233" s="229">
        <v>414200</v>
      </c>
      <c r="C233" s="84" t="s">
        <v>215</v>
      </c>
      <c r="D233" s="108"/>
      <c r="E233" s="109">
        <f t="shared" si="63"/>
        <v>0</v>
      </c>
      <c r="F233" s="108"/>
      <c r="G233" s="108"/>
      <c r="H233" s="108"/>
      <c r="I233" s="108"/>
      <c r="J233" s="108"/>
      <c r="K233" s="110"/>
      <c r="L233" s="137" t="e">
        <f t="shared" si="65"/>
        <v>#DIV/0!</v>
      </c>
    </row>
    <row r="234" spans="1:12" ht="12.75" customHeight="1" x14ac:dyDescent="0.25">
      <c r="A234" s="94">
        <v>5186</v>
      </c>
      <c r="B234" s="229">
        <v>414300</v>
      </c>
      <c r="C234" s="84" t="s">
        <v>216</v>
      </c>
      <c r="D234" s="231">
        <v>5300</v>
      </c>
      <c r="E234" s="109">
        <f t="shared" si="63"/>
        <v>6594</v>
      </c>
      <c r="F234" s="108"/>
      <c r="G234" s="108"/>
      <c r="H234" s="108"/>
      <c r="I234" s="108">
        <v>6434</v>
      </c>
      <c r="J234" s="108"/>
      <c r="K234" s="110">
        <v>160</v>
      </c>
      <c r="L234" s="230">
        <f t="shared" si="65"/>
        <v>1.2441509433962263</v>
      </c>
    </row>
    <row r="235" spans="1:12" ht="12.75" hidden="1" customHeight="1" x14ac:dyDescent="0.25">
      <c r="A235" s="583" t="s">
        <v>0</v>
      </c>
      <c r="B235" s="584" t="s">
        <v>1</v>
      </c>
      <c r="C235" s="585" t="s">
        <v>2</v>
      </c>
      <c r="D235" s="636"/>
      <c r="E235" s="575" t="s">
        <v>198</v>
      </c>
      <c r="F235" s="589"/>
      <c r="G235" s="589"/>
      <c r="H235" s="589"/>
      <c r="I235" s="589"/>
      <c r="J235" s="589"/>
      <c r="K235" s="592"/>
      <c r="L235" s="137"/>
    </row>
    <row r="236" spans="1:12" ht="12.75" hidden="1" customHeight="1" x14ac:dyDescent="0.25">
      <c r="A236" s="583"/>
      <c r="B236" s="584"/>
      <c r="C236" s="585"/>
      <c r="D236" s="636"/>
      <c r="E236" s="575" t="s">
        <v>199</v>
      </c>
      <c r="F236" s="575" t="s">
        <v>200</v>
      </c>
      <c r="G236" s="589"/>
      <c r="H236" s="589"/>
      <c r="I236" s="589"/>
      <c r="J236" s="575" t="s">
        <v>7</v>
      </c>
      <c r="K236" s="582" t="s">
        <v>8</v>
      </c>
      <c r="L236" s="137"/>
    </row>
    <row r="237" spans="1:12" ht="12.75" hidden="1" customHeight="1" x14ac:dyDescent="0.25">
      <c r="A237" s="583"/>
      <c r="B237" s="584"/>
      <c r="C237" s="585"/>
      <c r="D237" s="636"/>
      <c r="E237" s="589"/>
      <c r="F237" s="224" t="s">
        <v>201</v>
      </c>
      <c r="G237" s="224" t="s">
        <v>10</v>
      </c>
      <c r="H237" s="224" t="s">
        <v>11</v>
      </c>
      <c r="I237" s="224" t="s">
        <v>12</v>
      </c>
      <c r="J237" s="589"/>
      <c r="K237" s="592"/>
      <c r="L237" s="137"/>
    </row>
    <row r="238" spans="1:12" ht="12.75" hidden="1" customHeight="1" x14ac:dyDescent="0.25">
      <c r="A238" s="95" t="s">
        <v>18</v>
      </c>
      <c r="B238" s="223" t="s">
        <v>19</v>
      </c>
      <c r="C238" s="223" t="s">
        <v>20</v>
      </c>
      <c r="D238" s="232"/>
      <c r="E238" s="223" t="s">
        <v>22</v>
      </c>
      <c r="F238" s="223" t="s">
        <v>23</v>
      </c>
      <c r="G238" s="223" t="s">
        <v>24</v>
      </c>
      <c r="H238" s="223" t="s">
        <v>25</v>
      </c>
      <c r="I238" s="223" t="s">
        <v>26</v>
      </c>
      <c r="J238" s="223" t="s">
        <v>27</v>
      </c>
      <c r="K238" s="99" t="s">
        <v>28</v>
      </c>
      <c r="L238" s="137" t="e">
        <f t="shared" si="65"/>
        <v>#DIV/0!</v>
      </c>
    </row>
    <row r="239" spans="1:12" ht="25.5" customHeight="1" x14ac:dyDescent="0.25">
      <c r="A239" s="94">
        <v>5187</v>
      </c>
      <c r="B239" s="229">
        <v>414400</v>
      </c>
      <c r="C239" s="84" t="s">
        <v>218</v>
      </c>
      <c r="D239" s="231">
        <f>600+8072</f>
        <v>8672</v>
      </c>
      <c r="E239" s="109">
        <f t="shared" si="63"/>
        <v>8740</v>
      </c>
      <c r="F239" s="108"/>
      <c r="G239" s="108"/>
      <c r="H239" s="108"/>
      <c r="I239" s="108">
        <v>8740</v>
      </c>
      <c r="J239" s="108"/>
      <c r="K239" s="110"/>
      <c r="L239" s="230">
        <f t="shared" si="65"/>
        <v>1.0078413284132841</v>
      </c>
    </row>
    <row r="240" spans="1:12" ht="12.75" customHeight="1" x14ac:dyDescent="0.25">
      <c r="A240" s="93">
        <v>5188</v>
      </c>
      <c r="B240" s="224">
        <v>415000</v>
      </c>
      <c r="C240" s="82" t="s">
        <v>219</v>
      </c>
      <c r="D240" s="100">
        <f>D241</f>
        <v>20976</v>
      </c>
      <c r="E240" s="100">
        <f t="shared" si="63"/>
        <v>16244</v>
      </c>
      <c r="F240" s="100">
        <f t="shared" ref="F240:K240" si="72">F241</f>
        <v>0</v>
      </c>
      <c r="G240" s="100">
        <f t="shared" si="72"/>
        <v>0</v>
      </c>
      <c r="H240" s="100">
        <f t="shared" si="72"/>
        <v>0</v>
      </c>
      <c r="I240" s="100">
        <f t="shared" si="72"/>
        <v>16244</v>
      </c>
      <c r="J240" s="100">
        <f t="shared" si="72"/>
        <v>0</v>
      </c>
      <c r="K240" s="101">
        <f t="shared" si="72"/>
        <v>0</v>
      </c>
      <c r="L240" s="137">
        <f t="shared" si="65"/>
        <v>0.77440884820747524</v>
      </c>
    </row>
    <row r="241" spans="1:12" ht="12.75" customHeight="1" x14ac:dyDescent="0.25">
      <c r="A241" s="94">
        <v>5189</v>
      </c>
      <c r="B241" s="229">
        <v>415100</v>
      </c>
      <c r="C241" s="84" t="s">
        <v>220</v>
      </c>
      <c r="D241" s="108">
        <v>20976</v>
      </c>
      <c r="E241" s="109">
        <f t="shared" si="63"/>
        <v>16244</v>
      </c>
      <c r="F241" s="108"/>
      <c r="G241" s="108"/>
      <c r="H241" s="108"/>
      <c r="I241" s="108">
        <v>16244</v>
      </c>
      <c r="J241" s="108"/>
      <c r="K241" s="110"/>
      <c r="L241" s="137">
        <f t="shared" si="65"/>
        <v>0.77440884820747524</v>
      </c>
    </row>
    <row r="242" spans="1:12" ht="12.75" customHeight="1" x14ac:dyDescent="0.25">
      <c r="A242" s="93">
        <v>5190</v>
      </c>
      <c r="B242" s="224">
        <v>416000</v>
      </c>
      <c r="C242" s="82" t="s">
        <v>221</v>
      </c>
      <c r="D242" s="233">
        <f>D243</f>
        <v>12500</v>
      </c>
      <c r="E242" s="119">
        <f t="shared" si="63"/>
        <v>10869</v>
      </c>
      <c r="F242" s="119">
        <f t="shared" ref="F242:K242" si="73">F243</f>
        <v>0</v>
      </c>
      <c r="G242" s="119">
        <f t="shared" si="73"/>
        <v>0</v>
      </c>
      <c r="H242" s="119">
        <f t="shared" si="73"/>
        <v>0</v>
      </c>
      <c r="I242" s="119">
        <f t="shared" si="73"/>
        <v>10869</v>
      </c>
      <c r="J242" s="119">
        <f t="shared" si="73"/>
        <v>0</v>
      </c>
      <c r="K242" s="120">
        <f t="shared" si="73"/>
        <v>0</v>
      </c>
      <c r="L242" s="137">
        <f t="shared" si="65"/>
        <v>0.86951999999999996</v>
      </c>
    </row>
    <row r="243" spans="1:12" ht="12.75" customHeight="1" x14ac:dyDescent="0.25">
      <c r="A243" s="94">
        <v>5191</v>
      </c>
      <c r="B243" s="229">
        <v>416100</v>
      </c>
      <c r="C243" s="84" t="s">
        <v>222</v>
      </c>
      <c r="D243" s="231">
        <v>12500</v>
      </c>
      <c r="E243" s="109">
        <f t="shared" si="63"/>
        <v>10869</v>
      </c>
      <c r="F243" s="108"/>
      <c r="G243" s="108"/>
      <c r="H243" s="108"/>
      <c r="I243" s="108">
        <v>10869</v>
      </c>
      <c r="J243" s="108"/>
      <c r="K243" s="110"/>
      <c r="L243" s="137">
        <f t="shared" si="65"/>
        <v>0.86951999999999996</v>
      </c>
    </row>
    <row r="244" spans="1:12" ht="12.75" hidden="1" customHeight="1" x14ac:dyDescent="0.25">
      <c r="A244" s="93">
        <v>5192</v>
      </c>
      <c r="B244" s="224">
        <v>417000</v>
      </c>
      <c r="C244" s="82" t="s">
        <v>223</v>
      </c>
      <c r="D244" s="100">
        <f>D245</f>
        <v>0</v>
      </c>
      <c r="E244" s="100">
        <f t="shared" si="63"/>
        <v>0</v>
      </c>
      <c r="F244" s="100">
        <f t="shared" ref="F244:K244" si="74">F245</f>
        <v>0</v>
      </c>
      <c r="G244" s="100">
        <f t="shared" si="74"/>
        <v>0</v>
      </c>
      <c r="H244" s="100">
        <f t="shared" si="74"/>
        <v>0</v>
      </c>
      <c r="I244" s="100">
        <f t="shared" si="74"/>
        <v>0</v>
      </c>
      <c r="J244" s="100">
        <f t="shared" si="74"/>
        <v>0</v>
      </c>
      <c r="K244" s="101">
        <f t="shared" si="74"/>
        <v>0</v>
      </c>
      <c r="L244" s="137" t="e">
        <f t="shared" si="65"/>
        <v>#DIV/0!</v>
      </c>
    </row>
    <row r="245" spans="1:12" ht="12.75" hidden="1" customHeight="1" x14ac:dyDescent="0.25">
      <c r="A245" s="94">
        <v>5193</v>
      </c>
      <c r="B245" s="229">
        <v>417100</v>
      </c>
      <c r="C245" s="84" t="s">
        <v>224</v>
      </c>
      <c r="D245" s="108"/>
      <c r="E245" s="109">
        <f t="shared" si="63"/>
        <v>0</v>
      </c>
      <c r="F245" s="108"/>
      <c r="G245" s="108"/>
      <c r="H245" s="108"/>
      <c r="I245" s="108"/>
      <c r="J245" s="108"/>
      <c r="K245" s="110"/>
      <c r="L245" s="137" t="e">
        <f t="shared" si="65"/>
        <v>#DIV/0!</v>
      </c>
    </row>
    <row r="246" spans="1:12" ht="12.75" hidden="1" customHeight="1" x14ac:dyDescent="0.25">
      <c r="A246" s="93">
        <v>5194</v>
      </c>
      <c r="B246" s="224">
        <v>418000</v>
      </c>
      <c r="C246" s="82" t="s">
        <v>225</v>
      </c>
      <c r="D246" s="100">
        <f>D247</f>
        <v>0</v>
      </c>
      <c r="E246" s="100">
        <f t="shared" si="63"/>
        <v>0</v>
      </c>
      <c r="F246" s="100">
        <f t="shared" ref="F246:K246" si="75">F247</f>
        <v>0</v>
      </c>
      <c r="G246" s="100">
        <f t="shared" si="75"/>
        <v>0</v>
      </c>
      <c r="H246" s="100">
        <f t="shared" si="75"/>
        <v>0</v>
      </c>
      <c r="I246" s="100">
        <f t="shared" si="75"/>
        <v>0</v>
      </c>
      <c r="J246" s="100">
        <f t="shared" si="75"/>
        <v>0</v>
      </c>
      <c r="K246" s="101">
        <f t="shared" si="75"/>
        <v>0</v>
      </c>
      <c r="L246" s="137" t="e">
        <f t="shared" si="65"/>
        <v>#DIV/0!</v>
      </c>
    </row>
    <row r="247" spans="1:12" ht="12.75" hidden="1" customHeight="1" x14ac:dyDescent="0.25">
      <c r="A247" s="94">
        <v>5195</v>
      </c>
      <c r="B247" s="229">
        <v>418100</v>
      </c>
      <c r="C247" s="84" t="s">
        <v>226</v>
      </c>
      <c r="D247" s="108"/>
      <c r="E247" s="109">
        <f t="shared" si="63"/>
        <v>0</v>
      </c>
      <c r="F247" s="108"/>
      <c r="G247" s="108"/>
      <c r="H247" s="108"/>
      <c r="I247" s="108"/>
      <c r="J247" s="108"/>
      <c r="K247" s="110"/>
      <c r="L247" s="137" t="e">
        <f t="shared" si="65"/>
        <v>#DIV/0!</v>
      </c>
    </row>
    <row r="248" spans="1:12" ht="12.75" customHeight="1" x14ac:dyDescent="0.25">
      <c r="A248" s="93">
        <v>5196</v>
      </c>
      <c r="B248" s="224">
        <v>420000</v>
      </c>
      <c r="C248" s="82" t="s">
        <v>227</v>
      </c>
      <c r="D248" s="100">
        <f>D249+D257+D263+D276+D284+D287</f>
        <v>427914</v>
      </c>
      <c r="E248" s="100">
        <f t="shared" si="63"/>
        <v>305981</v>
      </c>
      <c r="F248" s="100">
        <f t="shared" ref="F248:K248" si="76">F249+F257+F263+F276+F284+F287</f>
        <v>2019</v>
      </c>
      <c r="G248" s="100">
        <f t="shared" si="76"/>
        <v>0</v>
      </c>
      <c r="H248" s="100">
        <f t="shared" si="76"/>
        <v>0</v>
      </c>
      <c r="I248" s="100">
        <f t="shared" si="76"/>
        <v>296752</v>
      </c>
      <c r="J248" s="100">
        <f t="shared" si="76"/>
        <v>0</v>
      </c>
      <c r="K248" s="101">
        <f t="shared" si="76"/>
        <v>7210</v>
      </c>
      <c r="L248" s="137">
        <f t="shared" si="65"/>
        <v>0.71505255728954886</v>
      </c>
    </row>
    <row r="249" spans="1:12" ht="12.75" customHeight="1" x14ac:dyDescent="0.25">
      <c r="A249" s="93">
        <v>5197</v>
      </c>
      <c r="B249" s="224">
        <v>421000</v>
      </c>
      <c r="C249" s="82" t="s">
        <v>228</v>
      </c>
      <c r="D249" s="100">
        <f>SUM(D250:D256)</f>
        <v>108949</v>
      </c>
      <c r="E249" s="100">
        <f t="shared" si="63"/>
        <v>81115</v>
      </c>
      <c r="F249" s="100">
        <f t="shared" ref="F249:K249" si="77">SUM(F250:F256)</f>
        <v>0</v>
      </c>
      <c r="G249" s="100">
        <f t="shared" si="77"/>
        <v>0</v>
      </c>
      <c r="H249" s="100">
        <f t="shared" si="77"/>
        <v>0</v>
      </c>
      <c r="I249" s="100">
        <f t="shared" si="77"/>
        <v>79961</v>
      </c>
      <c r="J249" s="100">
        <f t="shared" si="77"/>
        <v>0</v>
      </c>
      <c r="K249" s="101">
        <f t="shared" si="77"/>
        <v>1154</v>
      </c>
      <c r="L249" s="137">
        <f t="shared" si="65"/>
        <v>0.74452266656876154</v>
      </c>
    </row>
    <row r="250" spans="1:12" ht="12.75" customHeight="1" x14ac:dyDescent="0.25">
      <c r="A250" s="94">
        <v>5198</v>
      </c>
      <c r="B250" s="229">
        <v>421100</v>
      </c>
      <c r="C250" s="84" t="s">
        <v>229</v>
      </c>
      <c r="D250" s="108">
        <v>1513</v>
      </c>
      <c r="E250" s="109">
        <f t="shared" si="63"/>
        <v>1015</v>
      </c>
      <c r="F250" s="108"/>
      <c r="G250" s="108"/>
      <c r="H250" s="108"/>
      <c r="I250" s="108">
        <v>964</v>
      </c>
      <c r="J250" s="108"/>
      <c r="K250" s="110">
        <v>51</v>
      </c>
      <c r="L250" s="137">
        <f t="shared" si="65"/>
        <v>0.67085261070720426</v>
      </c>
    </row>
    <row r="251" spans="1:12" ht="12.75" customHeight="1" x14ac:dyDescent="0.25">
      <c r="A251" s="94">
        <v>5199</v>
      </c>
      <c r="B251" s="229">
        <v>421200</v>
      </c>
      <c r="C251" s="84" t="s">
        <v>230</v>
      </c>
      <c r="D251" s="108">
        <f>73600+18289</f>
        <v>91889</v>
      </c>
      <c r="E251" s="109">
        <f t="shared" si="63"/>
        <v>68509</v>
      </c>
      <c r="F251" s="108"/>
      <c r="G251" s="108"/>
      <c r="H251" s="108"/>
      <c r="I251" s="108">
        <v>68317</v>
      </c>
      <c r="J251" s="108"/>
      <c r="K251" s="110">
        <v>192</v>
      </c>
      <c r="L251" s="137">
        <f t="shared" si="65"/>
        <v>0.74556258094004724</v>
      </c>
    </row>
    <row r="252" spans="1:12" ht="12.75" customHeight="1" x14ac:dyDescent="0.25">
      <c r="A252" s="94">
        <v>5200</v>
      </c>
      <c r="B252" s="229">
        <v>421300</v>
      </c>
      <c r="C252" s="84" t="s">
        <v>231</v>
      </c>
      <c r="D252" s="108">
        <v>10447</v>
      </c>
      <c r="E252" s="109">
        <f t="shared" si="63"/>
        <v>7834</v>
      </c>
      <c r="F252" s="108"/>
      <c r="G252" s="108"/>
      <c r="H252" s="108"/>
      <c r="I252" s="108">
        <v>7335</v>
      </c>
      <c r="J252" s="108"/>
      <c r="K252" s="110">
        <v>499</v>
      </c>
      <c r="L252" s="137">
        <f t="shared" si="65"/>
        <v>0.74988034842538531</v>
      </c>
    </row>
    <row r="253" spans="1:12" ht="12.75" customHeight="1" x14ac:dyDescent="0.25">
      <c r="A253" s="94">
        <v>5201</v>
      </c>
      <c r="B253" s="229">
        <v>421400</v>
      </c>
      <c r="C253" s="84" t="s">
        <v>232</v>
      </c>
      <c r="D253" s="108">
        <v>2208</v>
      </c>
      <c r="E253" s="109">
        <f t="shared" si="63"/>
        <v>1536</v>
      </c>
      <c r="F253" s="108"/>
      <c r="G253" s="108"/>
      <c r="H253" s="108"/>
      <c r="I253" s="108">
        <v>1215</v>
      </c>
      <c r="J253" s="108"/>
      <c r="K253" s="110">
        <v>321</v>
      </c>
      <c r="L253" s="137">
        <f t="shared" si="65"/>
        <v>0.69565217391304346</v>
      </c>
    </row>
    <row r="254" spans="1:12" ht="12.75" customHeight="1" x14ac:dyDescent="0.25">
      <c r="A254" s="94">
        <v>5202</v>
      </c>
      <c r="B254" s="229">
        <v>421500</v>
      </c>
      <c r="C254" s="84" t="s">
        <v>233</v>
      </c>
      <c r="D254" s="108">
        <v>2892</v>
      </c>
      <c r="E254" s="109">
        <f t="shared" si="63"/>
        <v>2221</v>
      </c>
      <c r="F254" s="108"/>
      <c r="G254" s="108"/>
      <c r="H254" s="108"/>
      <c r="I254" s="108">
        <v>2130</v>
      </c>
      <c r="J254" s="108"/>
      <c r="K254" s="110">
        <v>91</v>
      </c>
      <c r="L254" s="137">
        <f t="shared" si="65"/>
        <v>0.7679806362378977</v>
      </c>
    </row>
    <row r="255" spans="1:12" ht="12.75" hidden="1" customHeight="1" x14ac:dyDescent="0.25">
      <c r="A255" s="94">
        <v>5203</v>
      </c>
      <c r="B255" s="229">
        <v>421600</v>
      </c>
      <c r="C255" s="84" t="s">
        <v>234</v>
      </c>
      <c r="D255" s="108"/>
      <c r="E255" s="109">
        <f t="shared" si="63"/>
        <v>0</v>
      </c>
      <c r="F255" s="108"/>
      <c r="G255" s="108"/>
      <c r="H255" s="108"/>
      <c r="I255" s="108"/>
      <c r="J255" s="108"/>
      <c r="K255" s="110"/>
      <c r="L255" s="137" t="e">
        <f t="shared" si="65"/>
        <v>#DIV/0!</v>
      </c>
    </row>
    <row r="256" spans="1:12" ht="12.75" hidden="1" customHeight="1" x14ac:dyDescent="0.25">
      <c r="A256" s="94">
        <v>5204</v>
      </c>
      <c r="B256" s="229">
        <v>421900</v>
      </c>
      <c r="C256" s="84" t="s">
        <v>235</v>
      </c>
      <c r="D256" s="108"/>
      <c r="E256" s="109">
        <f t="shared" si="63"/>
        <v>0</v>
      </c>
      <c r="F256" s="108"/>
      <c r="G256" s="108"/>
      <c r="H256" s="108"/>
      <c r="I256" s="108"/>
      <c r="J256" s="108"/>
      <c r="K256" s="110"/>
      <c r="L256" s="137" t="e">
        <f t="shared" si="65"/>
        <v>#DIV/0!</v>
      </c>
    </row>
    <row r="257" spans="1:12" ht="12.75" customHeight="1" x14ac:dyDescent="0.25">
      <c r="A257" s="93">
        <v>5205</v>
      </c>
      <c r="B257" s="224">
        <v>422000</v>
      </c>
      <c r="C257" s="82" t="s">
        <v>236</v>
      </c>
      <c r="D257" s="100">
        <f>SUM(D258:D262)</f>
        <v>650</v>
      </c>
      <c r="E257" s="100">
        <f t="shared" si="63"/>
        <v>304</v>
      </c>
      <c r="F257" s="100">
        <f t="shared" ref="F257:K257" si="78">SUM(F258:F262)</f>
        <v>0</v>
      </c>
      <c r="G257" s="100">
        <f t="shared" si="78"/>
        <v>0</v>
      </c>
      <c r="H257" s="100">
        <f t="shared" si="78"/>
        <v>0</v>
      </c>
      <c r="I257" s="100">
        <f t="shared" si="78"/>
        <v>84</v>
      </c>
      <c r="J257" s="100">
        <f t="shared" si="78"/>
        <v>0</v>
      </c>
      <c r="K257" s="101">
        <f t="shared" si="78"/>
        <v>220</v>
      </c>
      <c r="L257" s="137">
        <f t="shared" si="65"/>
        <v>0.46769230769230768</v>
      </c>
    </row>
    <row r="258" spans="1:12" ht="12.75" customHeight="1" x14ac:dyDescent="0.25">
      <c r="A258" s="94">
        <v>5206</v>
      </c>
      <c r="B258" s="229">
        <v>422100</v>
      </c>
      <c r="C258" s="84" t="s">
        <v>237</v>
      </c>
      <c r="D258" s="108">
        <v>650</v>
      </c>
      <c r="E258" s="109">
        <f t="shared" si="63"/>
        <v>304</v>
      </c>
      <c r="F258" s="108"/>
      <c r="G258" s="108"/>
      <c r="H258" s="108"/>
      <c r="I258" s="108">
        <v>84</v>
      </c>
      <c r="J258" s="108"/>
      <c r="K258" s="110">
        <v>220</v>
      </c>
      <c r="L258" s="137">
        <f t="shared" si="65"/>
        <v>0.46769230769230768</v>
      </c>
    </row>
    <row r="259" spans="1:12" ht="12.75" hidden="1" customHeight="1" x14ac:dyDescent="0.25">
      <c r="A259" s="94">
        <v>5207</v>
      </c>
      <c r="B259" s="229">
        <v>422200</v>
      </c>
      <c r="C259" s="84" t="s">
        <v>238</v>
      </c>
      <c r="D259" s="108"/>
      <c r="E259" s="109">
        <f t="shared" si="63"/>
        <v>0</v>
      </c>
      <c r="F259" s="108"/>
      <c r="G259" s="108"/>
      <c r="H259" s="108"/>
      <c r="I259" s="108"/>
      <c r="J259" s="108"/>
      <c r="K259" s="110"/>
      <c r="L259" s="137" t="e">
        <f t="shared" si="65"/>
        <v>#DIV/0!</v>
      </c>
    </row>
    <row r="260" spans="1:12" ht="12.75" hidden="1" customHeight="1" x14ac:dyDescent="0.25">
      <c r="A260" s="94">
        <v>5208</v>
      </c>
      <c r="B260" s="229">
        <v>422300</v>
      </c>
      <c r="C260" s="84" t="s">
        <v>239</v>
      </c>
      <c r="D260" s="108"/>
      <c r="E260" s="109">
        <f t="shared" si="63"/>
        <v>0</v>
      </c>
      <c r="F260" s="108"/>
      <c r="G260" s="108"/>
      <c r="H260" s="108"/>
      <c r="I260" s="108"/>
      <c r="J260" s="108"/>
      <c r="K260" s="110"/>
      <c r="L260" s="137" t="e">
        <f t="shared" si="65"/>
        <v>#DIV/0!</v>
      </c>
    </row>
    <row r="261" spans="1:12" ht="12.75" hidden="1" customHeight="1" x14ac:dyDescent="0.25">
      <c r="A261" s="94">
        <v>5209</v>
      </c>
      <c r="B261" s="229">
        <v>422400</v>
      </c>
      <c r="C261" s="84" t="s">
        <v>240</v>
      </c>
      <c r="D261" s="108"/>
      <c r="E261" s="109">
        <f t="shared" si="63"/>
        <v>0</v>
      </c>
      <c r="F261" s="108"/>
      <c r="G261" s="108"/>
      <c r="H261" s="108"/>
      <c r="I261" s="108"/>
      <c r="J261" s="108"/>
      <c r="K261" s="110"/>
      <c r="L261" s="137" t="e">
        <f t="shared" si="65"/>
        <v>#DIV/0!</v>
      </c>
    </row>
    <row r="262" spans="1:12" ht="12.75" hidden="1" customHeight="1" x14ac:dyDescent="0.25">
      <c r="A262" s="94">
        <v>5210</v>
      </c>
      <c r="B262" s="229">
        <v>422900</v>
      </c>
      <c r="C262" s="84" t="s">
        <v>241</v>
      </c>
      <c r="D262" s="108"/>
      <c r="E262" s="109">
        <f t="shared" si="63"/>
        <v>0</v>
      </c>
      <c r="F262" s="108"/>
      <c r="G262" s="108"/>
      <c r="H262" s="108"/>
      <c r="I262" s="108"/>
      <c r="J262" s="108"/>
      <c r="K262" s="110"/>
      <c r="L262" s="137" t="e">
        <f t="shared" si="65"/>
        <v>#DIV/0!</v>
      </c>
    </row>
    <row r="263" spans="1:12" ht="12.75" customHeight="1" x14ac:dyDescent="0.25">
      <c r="A263" s="93">
        <v>5211</v>
      </c>
      <c r="B263" s="224">
        <v>423000</v>
      </c>
      <c r="C263" s="82" t="s">
        <v>242</v>
      </c>
      <c r="D263" s="100">
        <f>SUM(D264:D275)</f>
        <v>8511</v>
      </c>
      <c r="E263" s="100">
        <f t="shared" si="63"/>
        <v>6467</v>
      </c>
      <c r="F263" s="100">
        <f t="shared" ref="F263:K263" si="79">SUM(F264:F275)</f>
        <v>0</v>
      </c>
      <c r="G263" s="100">
        <f t="shared" si="79"/>
        <v>0</v>
      </c>
      <c r="H263" s="100">
        <f t="shared" si="79"/>
        <v>0</v>
      </c>
      <c r="I263" s="100">
        <f t="shared" si="79"/>
        <v>4115</v>
      </c>
      <c r="J263" s="100">
        <f t="shared" si="79"/>
        <v>0</v>
      </c>
      <c r="K263" s="101">
        <f t="shared" si="79"/>
        <v>2352</v>
      </c>
      <c r="L263" s="137">
        <f t="shared" si="65"/>
        <v>0.75984020679121134</v>
      </c>
    </row>
    <row r="264" spans="1:12" ht="12.75" hidden="1" customHeight="1" x14ac:dyDescent="0.25">
      <c r="A264" s="94">
        <v>5212</v>
      </c>
      <c r="B264" s="229">
        <v>423100</v>
      </c>
      <c r="C264" s="84" t="s">
        <v>243</v>
      </c>
      <c r="D264" s="108"/>
      <c r="E264" s="109">
        <f t="shared" si="63"/>
        <v>0</v>
      </c>
      <c r="F264" s="108"/>
      <c r="G264" s="108"/>
      <c r="H264" s="108"/>
      <c r="I264" s="108"/>
      <c r="J264" s="108"/>
      <c r="K264" s="110"/>
      <c r="L264" s="137" t="e">
        <f t="shared" si="65"/>
        <v>#DIV/0!</v>
      </c>
    </row>
    <row r="265" spans="1:12" ht="12.75" customHeight="1" x14ac:dyDescent="0.25">
      <c r="A265" s="94">
        <v>5213</v>
      </c>
      <c r="B265" s="229">
        <v>423200</v>
      </c>
      <c r="C265" s="84" t="s">
        <v>244</v>
      </c>
      <c r="D265" s="108">
        <v>3606</v>
      </c>
      <c r="E265" s="109">
        <f t="shared" si="63"/>
        <v>2961</v>
      </c>
      <c r="F265" s="108"/>
      <c r="G265" s="108"/>
      <c r="H265" s="108"/>
      <c r="I265" s="108">
        <v>2705</v>
      </c>
      <c r="J265" s="108"/>
      <c r="K265" s="110">
        <v>256</v>
      </c>
      <c r="L265" s="137">
        <f t="shared" si="65"/>
        <v>0.82113144758735446</v>
      </c>
    </row>
    <row r="266" spans="1:12" ht="12.75" customHeight="1" x14ac:dyDescent="0.25">
      <c r="A266" s="94">
        <v>5214</v>
      </c>
      <c r="B266" s="229">
        <v>423300</v>
      </c>
      <c r="C266" s="84" t="s">
        <v>245</v>
      </c>
      <c r="D266" s="108">
        <v>3060</v>
      </c>
      <c r="E266" s="109">
        <f t="shared" si="63"/>
        <v>2237</v>
      </c>
      <c r="F266" s="108"/>
      <c r="G266" s="108"/>
      <c r="H266" s="108"/>
      <c r="I266" s="108">
        <v>1329</v>
      </c>
      <c r="J266" s="108"/>
      <c r="K266" s="110">
        <v>908</v>
      </c>
      <c r="L266" s="137">
        <f t="shared" si="65"/>
        <v>0.73104575163398688</v>
      </c>
    </row>
    <row r="267" spans="1:12" ht="12.75" customHeight="1" x14ac:dyDescent="0.25">
      <c r="A267" s="94">
        <v>5215</v>
      </c>
      <c r="B267" s="229">
        <v>423400</v>
      </c>
      <c r="C267" s="84" t="s">
        <v>246</v>
      </c>
      <c r="D267" s="108">
        <v>260</v>
      </c>
      <c r="E267" s="109">
        <f t="shared" si="63"/>
        <v>81</v>
      </c>
      <c r="F267" s="108"/>
      <c r="G267" s="108"/>
      <c r="H267" s="108"/>
      <c r="I267" s="108">
        <v>81</v>
      </c>
      <c r="J267" s="108"/>
      <c r="K267" s="110"/>
      <c r="L267" s="137">
        <f t="shared" si="65"/>
        <v>0.31153846153846154</v>
      </c>
    </row>
    <row r="268" spans="1:12" ht="12.75" customHeight="1" x14ac:dyDescent="0.25">
      <c r="A268" s="94">
        <v>5216</v>
      </c>
      <c r="B268" s="229">
        <v>423500</v>
      </c>
      <c r="C268" s="84" t="s">
        <v>247</v>
      </c>
      <c r="D268" s="108">
        <v>1125</v>
      </c>
      <c r="E268" s="109">
        <f t="shared" si="63"/>
        <v>844</v>
      </c>
      <c r="F268" s="108"/>
      <c r="G268" s="108"/>
      <c r="H268" s="108"/>
      <c r="I268" s="108"/>
      <c r="J268" s="108"/>
      <c r="K268" s="110">
        <v>844</v>
      </c>
      <c r="L268" s="137">
        <f t="shared" si="65"/>
        <v>0.75022222222222223</v>
      </c>
    </row>
    <row r="269" spans="1:12" ht="12.75" hidden="1" customHeight="1" x14ac:dyDescent="0.25">
      <c r="A269" s="94">
        <v>5217</v>
      </c>
      <c r="B269" s="229">
        <v>423600</v>
      </c>
      <c r="C269" s="84" t="s">
        <v>248</v>
      </c>
      <c r="D269" s="108"/>
      <c r="E269" s="109">
        <f t="shared" si="63"/>
        <v>0</v>
      </c>
      <c r="F269" s="108"/>
      <c r="G269" s="108"/>
      <c r="H269" s="108"/>
      <c r="I269" s="108"/>
      <c r="J269" s="108"/>
      <c r="K269" s="110"/>
      <c r="L269" s="137" t="e">
        <f t="shared" si="65"/>
        <v>#DIV/0!</v>
      </c>
    </row>
    <row r="270" spans="1:12" ht="12.75" customHeight="1" x14ac:dyDescent="0.25">
      <c r="A270" s="94">
        <v>5218</v>
      </c>
      <c r="B270" s="229">
        <v>423700</v>
      </c>
      <c r="C270" s="84" t="s">
        <v>249</v>
      </c>
      <c r="D270" s="108">
        <v>200</v>
      </c>
      <c r="E270" s="109">
        <f t="shared" si="63"/>
        <v>133</v>
      </c>
      <c r="F270" s="108"/>
      <c r="G270" s="108"/>
      <c r="H270" s="108"/>
      <c r="I270" s="108"/>
      <c r="J270" s="108"/>
      <c r="K270" s="110">
        <v>133</v>
      </c>
      <c r="L270" s="137">
        <f t="shared" si="65"/>
        <v>0.66500000000000004</v>
      </c>
    </row>
    <row r="271" spans="1:12" ht="12.75" hidden="1" customHeight="1" x14ac:dyDescent="0.25">
      <c r="A271" s="583" t="s">
        <v>0</v>
      </c>
      <c r="B271" s="584" t="s">
        <v>1</v>
      </c>
      <c r="C271" s="585" t="s">
        <v>2</v>
      </c>
      <c r="D271" s="585"/>
      <c r="E271" s="575" t="s">
        <v>198</v>
      </c>
      <c r="F271" s="589"/>
      <c r="G271" s="589"/>
      <c r="H271" s="589"/>
      <c r="I271" s="589"/>
      <c r="J271" s="589"/>
      <c r="K271" s="592"/>
      <c r="L271" s="137" t="e">
        <f t="shared" si="65"/>
        <v>#VALUE!</v>
      </c>
    </row>
    <row r="272" spans="1:12" ht="12.75" hidden="1" customHeight="1" x14ac:dyDescent="0.25">
      <c r="A272" s="583"/>
      <c r="B272" s="584"/>
      <c r="C272" s="585"/>
      <c r="D272" s="585"/>
      <c r="E272" s="575" t="s">
        <v>199</v>
      </c>
      <c r="F272" s="575" t="s">
        <v>200</v>
      </c>
      <c r="G272" s="589"/>
      <c r="H272" s="589"/>
      <c r="I272" s="589"/>
      <c r="J272" s="575" t="s">
        <v>7</v>
      </c>
      <c r="K272" s="582" t="s">
        <v>8</v>
      </c>
      <c r="L272" s="137" t="e">
        <f t="shared" si="65"/>
        <v>#VALUE!</v>
      </c>
    </row>
    <row r="273" spans="1:12" ht="12.75" hidden="1" customHeight="1" x14ac:dyDescent="0.25">
      <c r="A273" s="583"/>
      <c r="B273" s="584"/>
      <c r="C273" s="585"/>
      <c r="D273" s="585"/>
      <c r="E273" s="589"/>
      <c r="F273" s="224" t="s">
        <v>201</v>
      </c>
      <c r="G273" s="224" t="s">
        <v>10</v>
      </c>
      <c r="H273" s="224" t="s">
        <v>11</v>
      </c>
      <c r="I273" s="224" t="s">
        <v>12</v>
      </c>
      <c r="J273" s="589"/>
      <c r="K273" s="592"/>
      <c r="L273" s="137" t="e">
        <f t="shared" si="65"/>
        <v>#DIV/0!</v>
      </c>
    </row>
    <row r="274" spans="1:12" ht="12.75" hidden="1" customHeight="1" x14ac:dyDescent="0.25">
      <c r="A274" s="95" t="s">
        <v>18</v>
      </c>
      <c r="B274" s="223" t="s">
        <v>19</v>
      </c>
      <c r="C274" s="223" t="s">
        <v>20</v>
      </c>
      <c r="D274" s="223"/>
      <c r="E274" s="223" t="s">
        <v>22</v>
      </c>
      <c r="F274" s="223" t="s">
        <v>23</v>
      </c>
      <c r="G274" s="223" t="s">
        <v>24</v>
      </c>
      <c r="H274" s="223" t="s">
        <v>25</v>
      </c>
      <c r="I274" s="223" t="s">
        <v>26</v>
      </c>
      <c r="J274" s="223" t="s">
        <v>27</v>
      </c>
      <c r="K274" s="99" t="s">
        <v>28</v>
      </c>
      <c r="L274" s="137" t="e">
        <f t="shared" si="65"/>
        <v>#DIV/0!</v>
      </c>
    </row>
    <row r="275" spans="1:12" ht="12.75" customHeight="1" x14ac:dyDescent="0.25">
      <c r="A275" s="94">
        <v>5219</v>
      </c>
      <c r="B275" s="229">
        <v>423900</v>
      </c>
      <c r="C275" s="84" t="s">
        <v>250</v>
      </c>
      <c r="D275" s="108">
        <v>260</v>
      </c>
      <c r="E275" s="109">
        <f t="shared" si="63"/>
        <v>211</v>
      </c>
      <c r="F275" s="108"/>
      <c r="G275" s="108"/>
      <c r="H275" s="108"/>
      <c r="I275" s="108"/>
      <c r="J275" s="108"/>
      <c r="K275" s="110">
        <v>211</v>
      </c>
      <c r="L275" s="137">
        <f t="shared" si="65"/>
        <v>0.81153846153846154</v>
      </c>
    </row>
    <row r="276" spans="1:12" ht="12.75" customHeight="1" x14ac:dyDescent="0.25">
      <c r="A276" s="93">
        <v>5220</v>
      </c>
      <c r="B276" s="224">
        <v>424000</v>
      </c>
      <c r="C276" s="82" t="s">
        <v>251</v>
      </c>
      <c r="D276" s="100">
        <f>SUM(D277:D283)</f>
        <v>6135</v>
      </c>
      <c r="E276" s="100">
        <f t="shared" si="63"/>
        <v>3595</v>
      </c>
      <c r="F276" s="100">
        <f t="shared" ref="F276:K276" si="80">SUM(F277:F283)</f>
        <v>1321</v>
      </c>
      <c r="G276" s="100">
        <f t="shared" si="80"/>
        <v>0</v>
      </c>
      <c r="H276" s="100">
        <f t="shared" si="80"/>
        <v>0</v>
      </c>
      <c r="I276" s="100">
        <f t="shared" si="80"/>
        <v>929</v>
      </c>
      <c r="J276" s="100">
        <f t="shared" si="80"/>
        <v>0</v>
      </c>
      <c r="K276" s="101">
        <f t="shared" si="80"/>
        <v>1345</v>
      </c>
      <c r="L276" s="137">
        <f t="shared" si="65"/>
        <v>0.58598207008964953</v>
      </c>
    </row>
    <row r="277" spans="1:12" ht="12.75" hidden="1" customHeight="1" x14ac:dyDescent="0.25">
      <c r="A277" s="94">
        <v>5221</v>
      </c>
      <c r="B277" s="229">
        <v>424100</v>
      </c>
      <c r="C277" s="84" t="s">
        <v>252</v>
      </c>
      <c r="D277" s="108"/>
      <c r="E277" s="109">
        <f t="shared" si="63"/>
        <v>0</v>
      </c>
      <c r="F277" s="108"/>
      <c r="G277" s="108"/>
      <c r="H277" s="108"/>
      <c r="I277" s="108"/>
      <c r="J277" s="108"/>
      <c r="K277" s="110"/>
      <c r="L277" s="137" t="e">
        <f t="shared" si="65"/>
        <v>#DIV/0!</v>
      </c>
    </row>
    <row r="278" spans="1:12" ht="12.75" hidden="1" customHeight="1" x14ac:dyDescent="0.25">
      <c r="A278" s="94">
        <v>5222</v>
      </c>
      <c r="B278" s="229">
        <v>424200</v>
      </c>
      <c r="C278" s="84" t="s">
        <v>253</v>
      </c>
      <c r="D278" s="108"/>
      <c r="E278" s="109">
        <f t="shared" si="63"/>
        <v>0</v>
      </c>
      <c r="F278" s="108"/>
      <c r="G278" s="108"/>
      <c r="H278" s="108"/>
      <c r="I278" s="108"/>
      <c r="J278" s="108"/>
      <c r="K278" s="110"/>
      <c r="L278" s="137" t="e">
        <f t="shared" si="65"/>
        <v>#DIV/0!</v>
      </c>
    </row>
    <row r="279" spans="1:12" ht="12.75" customHeight="1" x14ac:dyDescent="0.25">
      <c r="A279" s="94">
        <v>5223</v>
      </c>
      <c r="B279" s="229">
        <v>424300</v>
      </c>
      <c r="C279" s="84" t="s">
        <v>254</v>
      </c>
      <c r="D279" s="108">
        <v>1480</v>
      </c>
      <c r="E279" s="109">
        <f t="shared" si="63"/>
        <v>951</v>
      </c>
      <c r="F279" s="108"/>
      <c r="G279" s="108"/>
      <c r="H279" s="108"/>
      <c r="I279" s="108">
        <v>927</v>
      </c>
      <c r="J279" s="108"/>
      <c r="K279" s="110">
        <v>24</v>
      </c>
      <c r="L279" s="137">
        <f t="shared" si="65"/>
        <v>0.64256756756756761</v>
      </c>
    </row>
    <row r="280" spans="1:12" ht="12.75" hidden="1" customHeight="1" x14ac:dyDescent="0.25">
      <c r="A280" s="94">
        <v>5224</v>
      </c>
      <c r="B280" s="229">
        <v>424400</v>
      </c>
      <c r="C280" s="84" t="s">
        <v>255</v>
      </c>
      <c r="D280" s="108"/>
      <c r="E280" s="109">
        <f t="shared" si="63"/>
        <v>0</v>
      </c>
      <c r="F280" s="108"/>
      <c r="G280" s="108"/>
      <c r="H280" s="108"/>
      <c r="I280" s="108"/>
      <c r="J280" s="108"/>
      <c r="K280" s="110"/>
      <c r="L280" s="137" t="e">
        <f t="shared" si="65"/>
        <v>#DIV/0!</v>
      </c>
    </row>
    <row r="281" spans="1:12" ht="12.75" hidden="1" customHeight="1" x14ac:dyDescent="0.25">
      <c r="A281" s="94">
        <v>5225</v>
      </c>
      <c r="B281" s="229">
        <v>424500</v>
      </c>
      <c r="C281" s="84" t="s">
        <v>256</v>
      </c>
      <c r="D281" s="108"/>
      <c r="E281" s="109">
        <f t="shared" si="63"/>
        <v>0</v>
      </c>
      <c r="F281" s="108"/>
      <c r="G281" s="108"/>
      <c r="H281" s="108"/>
      <c r="I281" s="108"/>
      <c r="J281" s="108"/>
      <c r="K281" s="110"/>
      <c r="L281" s="137" t="e">
        <f t="shared" si="65"/>
        <v>#DIV/0!</v>
      </c>
    </row>
    <row r="282" spans="1:12" ht="12.75" customHeight="1" x14ac:dyDescent="0.25">
      <c r="A282" s="94">
        <v>5226</v>
      </c>
      <c r="B282" s="229">
        <v>424600</v>
      </c>
      <c r="C282" s="84" t="s">
        <v>257</v>
      </c>
      <c r="D282" s="108">
        <v>300</v>
      </c>
      <c r="E282" s="109">
        <f t="shared" si="63"/>
        <v>226</v>
      </c>
      <c r="F282" s="108"/>
      <c r="G282" s="108"/>
      <c r="H282" s="108"/>
      <c r="I282" s="108">
        <v>2</v>
      </c>
      <c r="J282" s="108"/>
      <c r="K282" s="110">
        <v>224</v>
      </c>
      <c r="L282" s="137">
        <f t="shared" si="65"/>
        <v>0.7533333333333333</v>
      </c>
    </row>
    <row r="283" spans="1:12" ht="12.75" customHeight="1" x14ac:dyDescent="0.25">
      <c r="A283" s="94">
        <v>5227</v>
      </c>
      <c r="B283" s="229">
        <v>424900</v>
      </c>
      <c r="C283" s="84" t="s">
        <v>258</v>
      </c>
      <c r="D283" s="146">
        <v>4355</v>
      </c>
      <c r="E283" s="147">
        <f t="shared" si="63"/>
        <v>2418</v>
      </c>
      <c r="F283" s="146">
        <v>1321</v>
      </c>
      <c r="G283" s="146"/>
      <c r="H283" s="146"/>
      <c r="I283" s="146"/>
      <c r="J283" s="146"/>
      <c r="K283" s="148">
        <v>1097</v>
      </c>
      <c r="L283" s="149">
        <f t="shared" si="65"/>
        <v>0.55522388059701488</v>
      </c>
    </row>
    <row r="284" spans="1:12" ht="12.75" customHeight="1" x14ac:dyDescent="0.25">
      <c r="A284" s="93">
        <v>5228</v>
      </c>
      <c r="B284" s="224">
        <v>425000</v>
      </c>
      <c r="C284" s="82" t="s">
        <v>259</v>
      </c>
      <c r="D284" s="100">
        <f>D285+D286</f>
        <v>13355</v>
      </c>
      <c r="E284" s="100">
        <f t="shared" si="63"/>
        <v>8146</v>
      </c>
      <c r="F284" s="100">
        <f t="shared" ref="F284:K284" si="81">F285+F286</f>
        <v>0</v>
      </c>
      <c r="G284" s="100">
        <f t="shared" si="81"/>
        <v>0</v>
      </c>
      <c r="H284" s="100">
        <f t="shared" si="81"/>
        <v>0</v>
      </c>
      <c r="I284" s="100">
        <f t="shared" si="81"/>
        <v>7572</v>
      </c>
      <c r="J284" s="100">
        <f t="shared" si="81"/>
        <v>0</v>
      </c>
      <c r="K284" s="101">
        <f t="shared" si="81"/>
        <v>574</v>
      </c>
      <c r="L284" s="137">
        <f t="shared" ref="L284:L347" si="82">E284/D284</f>
        <v>0.60995881692250098</v>
      </c>
    </row>
    <row r="285" spans="1:12" ht="12.75" customHeight="1" x14ac:dyDescent="0.25">
      <c r="A285" s="94">
        <v>5229</v>
      </c>
      <c r="B285" s="229">
        <v>425100</v>
      </c>
      <c r="C285" s="84" t="s">
        <v>260</v>
      </c>
      <c r="D285" s="108">
        <v>720</v>
      </c>
      <c r="E285" s="109">
        <f t="shared" si="63"/>
        <v>536</v>
      </c>
      <c r="F285" s="108"/>
      <c r="G285" s="108"/>
      <c r="H285" s="108"/>
      <c r="I285" s="108">
        <v>536</v>
      </c>
      <c r="J285" s="108"/>
      <c r="K285" s="110"/>
      <c r="L285" s="137">
        <f t="shared" si="82"/>
        <v>0.74444444444444446</v>
      </c>
    </row>
    <row r="286" spans="1:12" ht="12.75" customHeight="1" x14ac:dyDescent="0.25">
      <c r="A286" s="94">
        <v>5230</v>
      </c>
      <c r="B286" s="229">
        <v>425200</v>
      </c>
      <c r="C286" s="84" t="s">
        <v>261</v>
      </c>
      <c r="D286" s="108">
        <v>12635</v>
      </c>
      <c r="E286" s="109">
        <f t="shared" si="63"/>
        <v>7610</v>
      </c>
      <c r="F286" s="108"/>
      <c r="G286" s="108"/>
      <c r="H286" s="108"/>
      <c r="I286" s="108">
        <v>7036</v>
      </c>
      <c r="J286" s="108"/>
      <c r="K286" s="110">
        <v>574</v>
      </c>
      <c r="L286" s="137">
        <f t="shared" si="82"/>
        <v>0.60229521171349432</v>
      </c>
    </row>
    <row r="287" spans="1:12" ht="12.75" customHeight="1" x14ac:dyDescent="0.25">
      <c r="A287" s="93">
        <v>5231</v>
      </c>
      <c r="B287" s="224">
        <v>426000</v>
      </c>
      <c r="C287" s="82" t="s">
        <v>262</v>
      </c>
      <c r="D287" s="100">
        <f>SUM(D288:D296)</f>
        <v>290314</v>
      </c>
      <c r="E287" s="100">
        <f t="shared" si="63"/>
        <v>206354</v>
      </c>
      <c r="F287" s="100">
        <f t="shared" ref="F287:K287" si="83">SUM(F288:F296)</f>
        <v>698</v>
      </c>
      <c r="G287" s="100">
        <f t="shared" si="83"/>
        <v>0</v>
      </c>
      <c r="H287" s="100">
        <f t="shared" si="83"/>
        <v>0</v>
      </c>
      <c r="I287" s="100">
        <f t="shared" si="83"/>
        <v>204091</v>
      </c>
      <c r="J287" s="100">
        <f t="shared" si="83"/>
        <v>0</v>
      </c>
      <c r="K287" s="101">
        <f t="shared" si="83"/>
        <v>1565</v>
      </c>
      <c r="L287" s="137">
        <f t="shared" si="82"/>
        <v>0.71079589685650713</v>
      </c>
    </row>
    <row r="288" spans="1:12" ht="12.75" customHeight="1" x14ac:dyDescent="0.25">
      <c r="A288" s="94">
        <v>5232</v>
      </c>
      <c r="B288" s="229">
        <v>426100</v>
      </c>
      <c r="C288" s="84" t="s">
        <v>263</v>
      </c>
      <c r="D288" s="108">
        <v>5294</v>
      </c>
      <c r="E288" s="109">
        <f t="shared" si="63"/>
        <v>3137</v>
      </c>
      <c r="F288" s="108"/>
      <c r="G288" s="108"/>
      <c r="H288" s="108"/>
      <c r="I288" s="108">
        <v>3137</v>
      </c>
      <c r="J288" s="108"/>
      <c r="K288" s="110"/>
      <c r="L288" s="137">
        <f t="shared" si="82"/>
        <v>0.59255761239138649</v>
      </c>
    </row>
    <row r="289" spans="1:12" ht="12.75" hidden="1" customHeight="1" x14ac:dyDescent="0.25">
      <c r="A289" s="94">
        <v>5233</v>
      </c>
      <c r="B289" s="229">
        <v>426200</v>
      </c>
      <c r="C289" s="84" t="s">
        <v>264</v>
      </c>
      <c r="D289" s="108"/>
      <c r="E289" s="109">
        <f t="shared" si="63"/>
        <v>0</v>
      </c>
      <c r="F289" s="108"/>
      <c r="G289" s="108"/>
      <c r="H289" s="108"/>
      <c r="I289" s="108"/>
      <c r="J289" s="108"/>
      <c r="K289" s="110"/>
      <c r="L289" s="137" t="e">
        <f t="shared" si="82"/>
        <v>#DIV/0!</v>
      </c>
    </row>
    <row r="290" spans="1:12" ht="12.75" customHeight="1" x14ac:dyDescent="0.25">
      <c r="A290" s="94">
        <v>5234</v>
      </c>
      <c r="B290" s="229">
        <v>426300</v>
      </c>
      <c r="C290" s="84" t="s">
        <v>265</v>
      </c>
      <c r="D290" s="108">
        <v>200</v>
      </c>
      <c r="E290" s="109">
        <f t="shared" si="63"/>
        <v>134</v>
      </c>
      <c r="F290" s="108"/>
      <c r="G290" s="108"/>
      <c r="H290" s="108"/>
      <c r="I290" s="108"/>
      <c r="J290" s="108"/>
      <c r="K290" s="110">
        <v>134</v>
      </c>
      <c r="L290" s="137">
        <f t="shared" si="82"/>
        <v>0.67</v>
      </c>
    </row>
    <row r="291" spans="1:12" ht="12.75" customHeight="1" x14ac:dyDescent="0.25">
      <c r="A291" s="94">
        <v>5235</v>
      </c>
      <c r="B291" s="229">
        <v>426400</v>
      </c>
      <c r="C291" s="84" t="s">
        <v>266</v>
      </c>
      <c r="D291" s="108">
        <v>1950</v>
      </c>
      <c r="E291" s="109">
        <f t="shared" si="63"/>
        <v>1318</v>
      </c>
      <c r="F291" s="111"/>
      <c r="G291" s="111"/>
      <c r="H291" s="111"/>
      <c r="I291" s="111">
        <v>1314</v>
      </c>
      <c r="J291" s="111"/>
      <c r="K291" s="112">
        <v>4</v>
      </c>
      <c r="L291" s="137">
        <f t="shared" si="82"/>
        <v>0.67589743589743589</v>
      </c>
    </row>
    <row r="292" spans="1:12" ht="12.75" hidden="1" customHeight="1" x14ac:dyDescent="0.25">
      <c r="A292" s="94">
        <v>5236</v>
      </c>
      <c r="B292" s="229">
        <v>426500</v>
      </c>
      <c r="C292" s="84" t="s">
        <v>267</v>
      </c>
      <c r="D292" s="108"/>
      <c r="E292" s="109">
        <f t="shared" ref="E292:E367" si="84">SUM(F292:K292)</f>
        <v>0</v>
      </c>
      <c r="F292" s="108"/>
      <c r="G292" s="108"/>
      <c r="H292" s="108"/>
      <c r="I292" s="108"/>
      <c r="J292" s="108"/>
      <c r="K292" s="110"/>
      <c r="L292" s="137" t="e">
        <f t="shared" si="82"/>
        <v>#DIV/0!</v>
      </c>
    </row>
    <row r="293" spans="1:12" ht="12.75" hidden="1" customHeight="1" x14ac:dyDescent="0.25">
      <c r="A293" s="94">
        <v>5237</v>
      </c>
      <c r="B293" s="229">
        <v>426600</v>
      </c>
      <c r="C293" s="84" t="s">
        <v>268</v>
      </c>
      <c r="D293" s="108"/>
      <c r="E293" s="109">
        <f t="shared" si="84"/>
        <v>0</v>
      </c>
      <c r="F293" s="108"/>
      <c r="G293" s="108"/>
      <c r="H293" s="108"/>
      <c r="I293" s="108"/>
      <c r="J293" s="108"/>
      <c r="K293" s="110"/>
      <c r="L293" s="137" t="e">
        <f t="shared" si="82"/>
        <v>#DIV/0!</v>
      </c>
    </row>
    <row r="294" spans="1:12" ht="12.75" customHeight="1" x14ac:dyDescent="0.25">
      <c r="A294" s="94">
        <v>5238</v>
      </c>
      <c r="B294" s="229">
        <v>426700</v>
      </c>
      <c r="C294" s="84" t="s">
        <v>269</v>
      </c>
      <c r="D294" s="108">
        <f>250607+2586</f>
        <v>253193</v>
      </c>
      <c r="E294" s="109">
        <f t="shared" si="84"/>
        <v>184937</v>
      </c>
      <c r="F294" s="108"/>
      <c r="G294" s="108"/>
      <c r="H294" s="108"/>
      <c r="I294" s="108">
        <v>183825</v>
      </c>
      <c r="J294" s="108"/>
      <c r="K294" s="110">
        <v>1112</v>
      </c>
      <c r="L294" s="137">
        <f t="shared" si="82"/>
        <v>0.73041908741552886</v>
      </c>
    </row>
    <row r="295" spans="1:12" ht="12.75" customHeight="1" x14ac:dyDescent="0.25">
      <c r="A295" s="94">
        <v>5239</v>
      </c>
      <c r="B295" s="229">
        <v>426800</v>
      </c>
      <c r="C295" s="84" t="s">
        <v>515</v>
      </c>
      <c r="D295" s="108">
        <f>13287+2813</f>
        <v>16100</v>
      </c>
      <c r="E295" s="109">
        <f t="shared" si="84"/>
        <v>10245</v>
      </c>
      <c r="F295" s="108"/>
      <c r="G295" s="108"/>
      <c r="H295" s="108"/>
      <c r="I295" s="108">
        <v>10245</v>
      </c>
      <c r="J295" s="108"/>
      <c r="K295" s="110"/>
      <c r="L295" s="137">
        <f t="shared" si="82"/>
        <v>0.63633540372670805</v>
      </c>
    </row>
    <row r="296" spans="1:12" ht="12.75" customHeight="1" x14ac:dyDescent="0.25">
      <c r="A296" s="94">
        <v>5240</v>
      </c>
      <c r="B296" s="229">
        <v>426900</v>
      </c>
      <c r="C296" s="84" t="s">
        <v>270</v>
      </c>
      <c r="D296" s="108">
        <v>13577</v>
      </c>
      <c r="E296" s="109">
        <f t="shared" si="84"/>
        <v>6583</v>
      </c>
      <c r="F296" s="108">
        <v>698</v>
      </c>
      <c r="G296" s="108"/>
      <c r="H296" s="108"/>
      <c r="I296" s="108">
        <v>5570</v>
      </c>
      <c r="J296" s="108"/>
      <c r="K296" s="110">
        <v>315</v>
      </c>
      <c r="L296" s="137">
        <f t="shared" si="82"/>
        <v>0.48486410841864919</v>
      </c>
    </row>
    <row r="297" spans="1:12" ht="12.75" hidden="1" customHeight="1" x14ac:dyDescent="0.25">
      <c r="A297" s="93">
        <v>5241</v>
      </c>
      <c r="B297" s="224">
        <v>430000</v>
      </c>
      <c r="C297" s="82" t="s">
        <v>271</v>
      </c>
      <c r="D297" s="100">
        <f>D298+D306+D308+D310+D314</f>
        <v>0</v>
      </c>
      <c r="E297" s="100">
        <f t="shared" si="84"/>
        <v>0</v>
      </c>
      <c r="F297" s="100">
        <f t="shared" ref="F297:K297" si="85">F298+F306+F308+F310+F314</f>
        <v>0</v>
      </c>
      <c r="G297" s="100">
        <f t="shared" si="85"/>
        <v>0</v>
      </c>
      <c r="H297" s="100">
        <f t="shared" si="85"/>
        <v>0</v>
      </c>
      <c r="I297" s="100">
        <f t="shared" si="85"/>
        <v>0</v>
      </c>
      <c r="J297" s="100">
        <f t="shared" si="85"/>
        <v>0</v>
      </c>
      <c r="K297" s="101">
        <f t="shared" si="85"/>
        <v>0</v>
      </c>
      <c r="L297" s="137" t="e">
        <f t="shared" si="82"/>
        <v>#DIV/0!</v>
      </c>
    </row>
    <row r="298" spans="1:12" ht="12.75" hidden="1" customHeight="1" x14ac:dyDescent="0.25">
      <c r="A298" s="93">
        <v>5242</v>
      </c>
      <c r="B298" s="224">
        <v>431000</v>
      </c>
      <c r="C298" s="82" t="s">
        <v>272</v>
      </c>
      <c r="D298" s="100">
        <f>SUM(D299:D301)</f>
        <v>0</v>
      </c>
      <c r="E298" s="100">
        <f t="shared" si="84"/>
        <v>0</v>
      </c>
      <c r="F298" s="100">
        <f t="shared" ref="F298:K298" si="86">SUM(F299:F301)</f>
        <v>0</v>
      </c>
      <c r="G298" s="100">
        <f t="shared" si="86"/>
        <v>0</v>
      </c>
      <c r="H298" s="100">
        <f t="shared" si="86"/>
        <v>0</v>
      </c>
      <c r="I298" s="100">
        <f t="shared" si="86"/>
        <v>0</v>
      </c>
      <c r="J298" s="100">
        <f t="shared" si="86"/>
        <v>0</v>
      </c>
      <c r="K298" s="101">
        <f t="shared" si="86"/>
        <v>0</v>
      </c>
      <c r="L298" s="137" t="e">
        <f t="shared" si="82"/>
        <v>#DIV/0!</v>
      </c>
    </row>
    <row r="299" spans="1:12" ht="12.75" hidden="1" customHeight="1" x14ac:dyDescent="0.25">
      <c r="A299" s="94">
        <v>5243</v>
      </c>
      <c r="B299" s="229">
        <v>431100</v>
      </c>
      <c r="C299" s="84" t="s">
        <v>273</v>
      </c>
      <c r="D299" s="108"/>
      <c r="E299" s="109">
        <f t="shared" si="84"/>
        <v>0</v>
      </c>
      <c r="F299" s="108"/>
      <c r="G299" s="108"/>
      <c r="H299" s="108"/>
      <c r="I299" s="108"/>
      <c r="J299" s="108"/>
      <c r="K299" s="110"/>
      <c r="L299" s="137" t="e">
        <f t="shared" si="82"/>
        <v>#DIV/0!</v>
      </c>
    </row>
    <row r="300" spans="1:12" ht="12.75" hidden="1" customHeight="1" x14ac:dyDescent="0.25">
      <c r="A300" s="94">
        <v>5244</v>
      </c>
      <c r="B300" s="229">
        <v>431200</v>
      </c>
      <c r="C300" s="84" t="s">
        <v>274</v>
      </c>
      <c r="D300" s="108"/>
      <c r="E300" s="109">
        <f t="shared" si="84"/>
        <v>0</v>
      </c>
      <c r="F300" s="108"/>
      <c r="G300" s="108"/>
      <c r="H300" s="108"/>
      <c r="I300" s="108"/>
      <c r="J300" s="108"/>
      <c r="K300" s="110"/>
      <c r="L300" s="137" t="e">
        <f t="shared" si="82"/>
        <v>#DIV/0!</v>
      </c>
    </row>
    <row r="301" spans="1:12" ht="12.75" hidden="1" customHeight="1" x14ac:dyDescent="0.25">
      <c r="A301" s="94">
        <v>5245</v>
      </c>
      <c r="B301" s="229">
        <v>431300</v>
      </c>
      <c r="C301" s="84" t="s">
        <v>275</v>
      </c>
      <c r="D301" s="108"/>
      <c r="E301" s="109">
        <f t="shared" si="84"/>
        <v>0</v>
      </c>
      <c r="F301" s="108"/>
      <c r="G301" s="108"/>
      <c r="H301" s="108"/>
      <c r="I301" s="108"/>
      <c r="J301" s="108"/>
      <c r="K301" s="110"/>
      <c r="L301" s="137" t="e">
        <f t="shared" si="82"/>
        <v>#DIV/0!</v>
      </c>
    </row>
    <row r="302" spans="1:12" ht="12.75" hidden="1" customHeight="1" x14ac:dyDescent="0.25">
      <c r="A302" s="583" t="s">
        <v>0</v>
      </c>
      <c r="B302" s="584" t="s">
        <v>1</v>
      </c>
      <c r="C302" s="585" t="s">
        <v>2</v>
      </c>
      <c r="D302" s="585" t="s">
        <v>217</v>
      </c>
      <c r="E302" s="575" t="s">
        <v>198</v>
      </c>
      <c r="F302" s="589"/>
      <c r="G302" s="589"/>
      <c r="H302" s="589"/>
      <c r="I302" s="589"/>
      <c r="J302" s="589"/>
      <c r="K302" s="592"/>
      <c r="L302" s="137" t="e">
        <f t="shared" si="82"/>
        <v>#VALUE!</v>
      </c>
    </row>
    <row r="303" spans="1:12" ht="12.75" hidden="1" customHeight="1" x14ac:dyDescent="0.25">
      <c r="A303" s="583"/>
      <c r="B303" s="584"/>
      <c r="C303" s="585"/>
      <c r="D303" s="585"/>
      <c r="E303" s="575" t="s">
        <v>199</v>
      </c>
      <c r="F303" s="575" t="s">
        <v>200</v>
      </c>
      <c r="G303" s="589"/>
      <c r="H303" s="589"/>
      <c r="I303" s="589"/>
      <c r="J303" s="575" t="s">
        <v>7</v>
      </c>
      <c r="K303" s="582" t="s">
        <v>8</v>
      </c>
      <c r="L303" s="137" t="e">
        <f t="shared" si="82"/>
        <v>#VALUE!</v>
      </c>
    </row>
    <row r="304" spans="1:12" ht="12.75" hidden="1" customHeight="1" x14ac:dyDescent="0.25">
      <c r="A304" s="583"/>
      <c r="B304" s="584"/>
      <c r="C304" s="585"/>
      <c r="D304" s="585"/>
      <c r="E304" s="589"/>
      <c r="F304" s="224" t="s">
        <v>201</v>
      </c>
      <c r="G304" s="224" t="s">
        <v>10</v>
      </c>
      <c r="H304" s="224" t="s">
        <v>11</v>
      </c>
      <c r="I304" s="224" t="s">
        <v>12</v>
      </c>
      <c r="J304" s="589"/>
      <c r="K304" s="592"/>
      <c r="L304" s="137" t="e">
        <f t="shared" si="82"/>
        <v>#DIV/0!</v>
      </c>
    </row>
    <row r="305" spans="1:12" ht="12.75" hidden="1" customHeight="1" x14ac:dyDescent="0.25">
      <c r="A305" s="95" t="s">
        <v>18</v>
      </c>
      <c r="B305" s="223" t="s">
        <v>19</v>
      </c>
      <c r="C305" s="223" t="s">
        <v>20</v>
      </c>
      <c r="D305" s="223" t="s">
        <v>21</v>
      </c>
      <c r="E305" s="223" t="s">
        <v>22</v>
      </c>
      <c r="F305" s="223" t="s">
        <v>23</v>
      </c>
      <c r="G305" s="223" t="s">
        <v>24</v>
      </c>
      <c r="H305" s="223" t="s">
        <v>25</v>
      </c>
      <c r="I305" s="223" t="s">
        <v>26</v>
      </c>
      <c r="J305" s="223" t="s">
        <v>27</v>
      </c>
      <c r="K305" s="99" t="s">
        <v>28</v>
      </c>
      <c r="L305" s="137">
        <f t="shared" si="82"/>
        <v>1.25</v>
      </c>
    </row>
    <row r="306" spans="1:12" ht="12.75" hidden="1" customHeight="1" x14ac:dyDescent="0.25">
      <c r="A306" s="93">
        <v>5246</v>
      </c>
      <c r="B306" s="224">
        <v>432000</v>
      </c>
      <c r="C306" s="82" t="s">
        <v>276</v>
      </c>
      <c r="D306" s="100">
        <f>D307</f>
        <v>0</v>
      </c>
      <c r="E306" s="100">
        <f t="shared" si="84"/>
        <v>0</v>
      </c>
      <c r="F306" s="100">
        <f t="shared" ref="F306:K306" si="87">F307</f>
        <v>0</v>
      </c>
      <c r="G306" s="100">
        <f t="shared" si="87"/>
        <v>0</v>
      </c>
      <c r="H306" s="100">
        <f t="shared" si="87"/>
        <v>0</v>
      </c>
      <c r="I306" s="100">
        <f t="shared" si="87"/>
        <v>0</v>
      </c>
      <c r="J306" s="100">
        <f t="shared" si="87"/>
        <v>0</v>
      </c>
      <c r="K306" s="101">
        <f t="shared" si="87"/>
        <v>0</v>
      </c>
      <c r="L306" s="137" t="e">
        <f t="shared" si="82"/>
        <v>#DIV/0!</v>
      </c>
    </row>
    <row r="307" spans="1:12" ht="12.75" hidden="1" customHeight="1" x14ac:dyDescent="0.25">
      <c r="A307" s="94">
        <v>5247</v>
      </c>
      <c r="B307" s="229">
        <v>432100</v>
      </c>
      <c r="C307" s="84" t="s">
        <v>277</v>
      </c>
      <c r="D307" s="108"/>
      <c r="E307" s="109">
        <f t="shared" si="84"/>
        <v>0</v>
      </c>
      <c r="F307" s="108"/>
      <c r="G307" s="108"/>
      <c r="H307" s="108"/>
      <c r="I307" s="108"/>
      <c r="J307" s="108"/>
      <c r="K307" s="110"/>
      <c r="L307" s="137" t="e">
        <f t="shared" si="82"/>
        <v>#DIV/0!</v>
      </c>
    </row>
    <row r="308" spans="1:12" ht="12.75" hidden="1" customHeight="1" x14ac:dyDescent="0.25">
      <c r="A308" s="93">
        <v>5248</v>
      </c>
      <c r="B308" s="224">
        <v>433000</v>
      </c>
      <c r="C308" s="82" t="s">
        <v>278</v>
      </c>
      <c r="D308" s="100">
        <f>D309</f>
        <v>0</v>
      </c>
      <c r="E308" s="100">
        <f t="shared" si="84"/>
        <v>0</v>
      </c>
      <c r="F308" s="100">
        <f t="shared" ref="F308:K308" si="88">F309</f>
        <v>0</v>
      </c>
      <c r="G308" s="100">
        <f t="shared" si="88"/>
        <v>0</v>
      </c>
      <c r="H308" s="100">
        <f t="shared" si="88"/>
        <v>0</v>
      </c>
      <c r="I308" s="100">
        <f t="shared" si="88"/>
        <v>0</v>
      </c>
      <c r="J308" s="100">
        <f t="shared" si="88"/>
        <v>0</v>
      </c>
      <c r="K308" s="101">
        <f t="shared" si="88"/>
        <v>0</v>
      </c>
      <c r="L308" s="137" t="e">
        <f t="shared" si="82"/>
        <v>#DIV/0!</v>
      </c>
    </row>
    <row r="309" spans="1:12" ht="12.75" hidden="1" customHeight="1" x14ac:dyDescent="0.25">
      <c r="A309" s="94">
        <v>5249</v>
      </c>
      <c r="B309" s="229">
        <v>433100</v>
      </c>
      <c r="C309" s="84" t="s">
        <v>279</v>
      </c>
      <c r="D309" s="108"/>
      <c r="E309" s="109">
        <f t="shared" si="84"/>
        <v>0</v>
      </c>
      <c r="F309" s="108"/>
      <c r="G309" s="108"/>
      <c r="H309" s="108"/>
      <c r="I309" s="108"/>
      <c r="J309" s="108"/>
      <c r="K309" s="110"/>
      <c r="L309" s="137" t="e">
        <f t="shared" si="82"/>
        <v>#DIV/0!</v>
      </c>
    </row>
    <row r="310" spans="1:12" ht="12.75" hidden="1" customHeight="1" x14ac:dyDescent="0.25">
      <c r="A310" s="93">
        <v>5250</v>
      </c>
      <c r="B310" s="224">
        <v>434000</v>
      </c>
      <c r="C310" s="82" t="s">
        <v>280</v>
      </c>
      <c r="D310" s="100">
        <f>SUM(D311:D313)</f>
        <v>0</v>
      </c>
      <c r="E310" s="100">
        <f t="shared" si="84"/>
        <v>0</v>
      </c>
      <c r="F310" s="100">
        <f t="shared" ref="F310:K310" si="89">SUM(F311:F313)</f>
        <v>0</v>
      </c>
      <c r="G310" s="100">
        <f t="shared" si="89"/>
        <v>0</v>
      </c>
      <c r="H310" s="100">
        <f t="shared" si="89"/>
        <v>0</v>
      </c>
      <c r="I310" s="100">
        <f t="shared" si="89"/>
        <v>0</v>
      </c>
      <c r="J310" s="100">
        <f t="shared" si="89"/>
        <v>0</v>
      </c>
      <c r="K310" s="101">
        <f t="shared" si="89"/>
        <v>0</v>
      </c>
      <c r="L310" s="137" t="e">
        <f t="shared" si="82"/>
        <v>#DIV/0!</v>
      </c>
    </row>
    <row r="311" spans="1:12" ht="12.75" hidden="1" customHeight="1" x14ac:dyDescent="0.25">
      <c r="A311" s="94">
        <v>5251</v>
      </c>
      <c r="B311" s="229">
        <v>434100</v>
      </c>
      <c r="C311" s="84" t="s">
        <v>281</v>
      </c>
      <c r="D311" s="108"/>
      <c r="E311" s="109">
        <f t="shared" si="84"/>
        <v>0</v>
      </c>
      <c r="F311" s="108"/>
      <c r="G311" s="108"/>
      <c r="H311" s="108"/>
      <c r="I311" s="108"/>
      <c r="J311" s="108"/>
      <c r="K311" s="110"/>
      <c r="L311" s="137" t="e">
        <f t="shared" si="82"/>
        <v>#DIV/0!</v>
      </c>
    </row>
    <row r="312" spans="1:12" ht="12.75" hidden="1" customHeight="1" x14ac:dyDescent="0.25">
      <c r="A312" s="94">
        <v>5252</v>
      </c>
      <c r="B312" s="229">
        <v>434200</v>
      </c>
      <c r="C312" s="84" t="s">
        <v>282</v>
      </c>
      <c r="D312" s="108"/>
      <c r="E312" s="109">
        <f t="shared" si="84"/>
        <v>0</v>
      </c>
      <c r="F312" s="108"/>
      <c r="G312" s="108"/>
      <c r="H312" s="108"/>
      <c r="I312" s="108"/>
      <c r="J312" s="108"/>
      <c r="K312" s="110"/>
      <c r="L312" s="137" t="e">
        <f t="shared" si="82"/>
        <v>#DIV/0!</v>
      </c>
    </row>
    <row r="313" spans="1:12" ht="12.75" hidden="1" customHeight="1" x14ac:dyDescent="0.25">
      <c r="A313" s="94">
        <v>5253</v>
      </c>
      <c r="B313" s="229">
        <v>434300</v>
      </c>
      <c r="C313" s="84" t="s">
        <v>283</v>
      </c>
      <c r="D313" s="108"/>
      <c r="E313" s="109">
        <f t="shared" si="84"/>
        <v>0</v>
      </c>
      <c r="F313" s="108"/>
      <c r="G313" s="108"/>
      <c r="H313" s="108"/>
      <c r="I313" s="108"/>
      <c r="J313" s="108"/>
      <c r="K313" s="110"/>
      <c r="L313" s="137" t="e">
        <f t="shared" si="82"/>
        <v>#DIV/0!</v>
      </c>
    </row>
    <row r="314" spans="1:12" ht="12.75" hidden="1" customHeight="1" x14ac:dyDescent="0.25">
      <c r="A314" s="93">
        <v>5254</v>
      </c>
      <c r="B314" s="224">
        <v>435000</v>
      </c>
      <c r="C314" s="82" t="s">
        <v>284</v>
      </c>
      <c r="D314" s="100">
        <f>D315</f>
        <v>0</v>
      </c>
      <c r="E314" s="100">
        <f t="shared" si="84"/>
        <v>0</v>
      </c>
      <c r="F314" s="100">
        <f t="shared" ref="F314:K314" si="90">F315</f>
        <v>0</v>
      </c>
      <c r="G314" s="100">
        <f t="shared" si="90"/>
        <v>0</v>
      </c>
      <c r="H314" s="100">
        <f t="shared" si="90"/>
        <v>0</v>
      </c>
      <c r="I314" s="100">
        <f t="shared" si="90"/>
        <v>0</v>
      </c>
      <c r="J314" s="100">
        <f t="shared" si="90"/>
        <v>0</v>
      </c>
      <c r="K314" s="101">
        <f t="shared" si="90"/>
        <v>0</v>
      </c>
      <c r="L314" s="137" t="e">
        <f t="shared" si="82"/>
        <v>#DIV/0!</v>
      </c>
    </row>
    <row r="315" spans="1:12" ht="12.75" hidden="1" customHeight="1" x14ac:dyDescent="0.25">
      <c r="A315" s="94">
        <v>5255</v>
      </c>
      <c r="B315" s="229">
        <v>435100</v>
      </c>
      <c r="C315" s="84" t="s">
        <v>285</v>
      </c>
      <c r="D315" s="108"/>
      <c r="E315" s="109">
        <f t="shared" si="84"/>
        <v>0</v>
      </c>
      <c r="F315" s="108"/>
      <c r="G315" s="108"/>
      <c r="H315" s="108"/>
      <c r="I315" s="108"/>
      <c r="J315" s="108"/>
      <c r="K315" s="110"/>
      <c r="L315" s="137" t="e">
        <f t="shared" si="82"/>
        <v>#DIV/0!</v>
      </c>
    </row>
    <row r="316" spans="1:12" ht="12.75" customHeight="1" x14ac:dyDescent="0.25">
      <c r="A316" s="93">
        <v>5256</v>
      </c>
      <c r="B316" s="224">
        <v>440000</v>
      </c>
      <c r="C316" s="82" t="s">
        <v>286</v>
      </c>
      <c r="D316" s="100">
        <f>D317+D327+D338+D340</f>
        <v>681</v>
      </c>
      <c r="E316" s="100">
        <f t="shared" si="84"/>
        <v>1107</v>
      </c>
      <c r="F316" s="100">
        <f t="shared" ref="F316:K316" si="91">F317+F327+F338+F340</f>
        <v>0</v>
      </c>
      <c r="G316" s="100">
        <f t="shared" si="91"/>
        <v>0</v>
      </c>
      <c r="H316" s="100">
        <f t="shared" si="91"/>
        <v>0</v>
      </c>
      <c r="I316" s="100">
        <f t="shared" si="91"/>
        <v>0</v>
      </c>
      <c r="J316" s="100">
        <f t="shared" si="91"/>
        <v>0</v>
      </c>
      <c r="K316" s="101">
        <f t="shared" si="91"/>
        <v>1107</v>
      </c>
      <c r="L316" s="137">
        <f t="shared" si="82"/>
        <v>1.6255506607929515</v>
      </c>
    </row>
    <row r="317" spans="1:12" ht="12.75" customHeight="1" x14ac:dyDescent="0.25">
      <c r="A317" s="93">
        <v>5257</v>
      </c>
      <c r="B317" s="224">
        <v>441000</v>
      </c>
      <c r="C317" s="82" t="s">
        <v>287</v>
      </c>
      <c r="D317" s="100">
        <f>SUM(D318:D326)</f>
        <v>681</v>
      </c>
      <c r="E317" s="100">
        <f t="shared" si="84"/>
        <v>1107</v>
      </c>
      <c r="F317" s="100">
        <f t="shared" ref="F317:K317" si="92">SUM(F318:F326)</f>
        <v>0</v>
      </c>
      <c r="G317" s="100">
        <f t="shared" si="92"/>
        <v>0</v>
      </c>
      <c r="H317" s="100">
        <f t="shared" si="92"/>
        <v>0</v>
      </c>
      <c r="I317" s="100">
        <f t="shared" si="92"/>
        <v>0</v>
      </c>
      <c r="J317" s="100">
        <f t="shared" si="92"/>
        <v>0</v>
      </c>
      <c r="K317" s="101">
        <f t="shared" si="92"/>
        <v>1107</v>
      </c>
      <c r="L317" s="137">
        <f t="shared" si="82"/>
        <v>1.6255506607929515</v>
      </c>
    </row>
    <row r="318" spans="1:12" ht="12.75" hidden="1" customHeight="1" x14ac:dyDescent="0.25">
      <c r="A318" s="94">
        <v>5258</v>
      </c>
      <c r="B318" s="229">
        <v>441100</v>
      </c>
      <c r="C318" s="84" t="s">
        <v>288</v>
      </c>
      <c r="D318" s="108"/>
      <c r="E318" s="109">
        <f t="shared" si="84"/>
        <v>0</v>
      </c>
      <c r="F318" s="108"/>
      <c r="G318" s="108"/>
      <c r="H318" s="108"/>
      <c r="I318" s="108"/>
      <c r="J318" s="108"/>
      <c r="K318" s="110"/>
      <c r="L318" s="137" t="e">
        <f t="shared" si="82"/>
        <v>#DIV/0!</v>
      </c>
    </row>
    <row r="319" spans="1:12" ht="12.75" hidden="1" customHeight="1" x14ac:dyDescent="0.25">
      <c r="A319" s="94">
        <v>5259</v>
      </c>
      <c r="B319" s="229">
        <v>441200</v>
      </c>
      <c r="C319" s="84" t="s">
        <v>289</v>
      </c>
      <c r="D319" s="108"/>
      <c r="E319" s="109">
        <f t="shared" si="84"/>
        <v>0</v>
      </c>
      <c r="F319" s="108"/>
      <c r="G319" s="108"/>
      <c r="H319" s="108"/>
      <c r="I319" s="108"/>
      <c r="J319" s="108"/>
      <c r="K319" s="110"/>
      <c r="L319" s="137" t="e">
        <f t="shared" si="82"/>
        <v>#DIV/0!</v>
      </c>
    </row>
    <row r="320" spans="1:12" ht="12.75" hidden="1" customHeight="1" x14ac:dyDescent="0.25">
      <c r="A320" s="94">
        <v>5260</v>
      </c>
      <c r="B320" s="229">
        <v>441300</v>
      </c>
      <c r="C320" s="84" t="s">
        <v>290</v>
      </c>
      <c r="D320" s="108"/>
      <c r="E320" s="109">
        <f t="shared" si="84"/>
        <v>0</v>
      </c>
      <c r="F320" s="108"/>
      <c r="G320" s="108"/>
      <c r="H320" s="108"/>
      <c r="I320" s="108"/>
      <c r="J320" s="108"/>
      <c r="K320" s="110"/>
      <c r="L320" s="137" t="e">
        <f t="shared" si="82"/>
        <v>#DIV/0!</v>
      </c>
    </row>
    <row r="321" spans="1:12" ht="12.75" hidden="1" customHeight="1" x14ac:dyDescent="0.25">
      <c r="A321" s="94">
        <v>5261</v>
      </c>
      <c r="B321" s="229">
        <v>441400</v>
      </c>
      <c r="C321" s="84" t="s">
        <v>291</v>
      </c>
      <c r="D321" s="108"/>
      <c r="E321" s="109">
        <f t="shared" si="84"/>
        <v>0</v>
      </c>
      <c r="F321" s="108"/>
      <c r="G321" s="108"/>
      <c r="H321" s="108"/>
      <c r="I321" s="108"/>
      <c r="J321" s="108"/>
      <c r="K321" s="110"/>
      <c r="L321" s="137" t="e">
        <f t="shared" si="82"/>
        <v>#DIV/0!</v>
      </c>
    </row>
    <row r="322" spans="1:12" ht="12.75" customHeight="1" x14ac:dyDescent="0.25">
      <c r="A322" s="94">
        <v>5262</v>
      </c>
      <c r="B322" s="229">
        <v>441500</v>
      </c>
      <c r="C322" s="84" t="s">
        <v>292</v>
      </c>
      <c r="D322" s="231">
        <v>681</v>
      </c>
      <c r="E322" s="109">
        <f t="shared" si="84"/>
        <v>1107</v>
      </c>
      <c r="F322" s="108"/>
      <c r="G322" s="108"/>
      <c r="H322" s="108"/>
      <c r="I322" s="108"/>
      <c r="J322" s="108"/>
      <c r="K322" s="110">
        <v>1107</v>
      </c>
      <c r="L322" s="230">
        <f t="shared" si="82"/>
        <v>1.6255506607929515</v>
      </c>
    </row>
    <row r="323" spans="1:12" ht="12.75" hidden="1" customHeight="1" x14ac:dyDescent="0.25">
      <c r="A323" s="94">
        <v>5263</v>
      </c>
      <c r="B323" s="229">
        <v>441600</v>
      </c>
      <c r="C323" s="84" t="s">
        <v>293</v>
      </c>
      <c r="D323" s="108"/>
      <c r="E323" s="109">
        <f t="shared" si="84"/>
        <v>0</v>
      </c>
      <c r="F323" s="108"/>
      <c r="G323" s="108"/>
      <c r="H323" s="108"/>
      <c r="I323" s="108"/>
      <c r="J323" s="108"/>
      <c r="K323" s="110"/>
      <c r="L323" s="137" t="e">
        <f t="shared" si="82"/>
        <v>#DIV/0!</v>
      </c>
    </row>
    <row r="324" spans="1:12" ht="12.75" hidden="1" customHeight="1" x14ac:dyDescent="0.25">
      <c r="A324" s="94">
        <v>5264</v>
      </c>
      <c r="B324" s="229">
        <v>441700</v>
      </c>
      <c r="C324" s="84" t="s">
        <v>294</v>
      </c>
      <c r="D324" s="108"/>
      <c r="E324" s="109">
        <f t="shared" si="84"/>
        <v>0</v>
      </c>
      <c r="F324" s="108"/>
      <c r="G324" s="108"/>
      <c r="H324" s="108"/>
      <c r="I324" s="108"/>
      <c r="J324" s="108"/>
      <c r="K324" s="110"/>
      <c r="L324" s="137" t="e">
        <f t="shared" si="82"/>
        <v>#DIV/0!</v>
      </c>
    </row>
    <row r="325" spans="1:12" ht="12.75" hidden="1" customHeight="1" x14ac:dyDescent="0.25">
      <c r="A325" s="94">
        <v>5265</v>
      </c>
      <c r="B325" s="229">
        <v>441800</v>
      </c>
      <c r="C325" s="84" t="s">
        <v>295</v>
      </c>
      <c r="D325" s="108"/>
      <c r="E325" s="109">
        <f t="shared" si="84"/>
        <v>0</v>
      </c>
      <c r="F325" s="108"/>
      <c r="G325" s="108"/>
      <c r="H325" s="108"/>
      <c r="I325" s="108"/>
      <c r="J325" s="108"/>
      <c r="K325" s="110"/>
      <c r="L325" s="137" t="e">
        <f t="shared" si="82"/>
        <v>#DIV/0!</v>
      </c>
    </row>
    <row r="326" spans="1:12" ht="12.75" hidden="1" customHeight="1" x14ac:dyDescent="0.25">
      <c r="A326" s="94">
        <v>5266</v>
      </c>
      <c r="B326" s="229">
        <v>441900</v>
      </c>
      <c r="C326" s="84" t="s">
        <v>99</v>
      </c>
      <c r="D326" s="108"/>
      <c r="E326" s="109">
        <f t="shared" si="84"/>
        <v>0</v>
      </c>
      <c r="F326" s="108"/>
      <c r="G326" s="108"/>
      <c r="H326" s="108"/>
      <c r="I326" s="108"/>
      <c r="J326" s="108"/>
      <c r="K326" s="110"/>
      <c r="L326" s="137" t="e">
        <f t="shared" si="82"/>
        <v>#DIV/0!</v>
      </c>
    </row>
    <row r="327" spans="1:12" ht="12.75" hidden="1" customHeight="1" x14ac:dyDescent="0.25">
      <c r="A327" s="93">
        <v>5267</v>
      </c>
      <c r="B327" s="224">
        <v>442000</v>
      </c>
      <c r="C327" s="82" t="s">
        <v>296</v>
      </c>
      <c r="D327" s="100">
        <f>SUM(D328:D337)</f>
        <v>0</v>
      </c>
      <c r="E327" s="100">
        <f t="shared" si="84"/>
        <v>0</v>
      </c>
      <c r="F327" s="100">
        <f t="shared" ref="F327:K327" si="93">SUM(F328:F337)</f>
        <v>0</v>
      </c>
      <c r="G327" s="100">
        <f t="shared" si="93"/>
        <v>0</v>
      </c>
      <c r="H327" s="100">
        <f t="shared" si="93"/>
        <v>0</v>
      </c>
      <c r="I327" s="100">
        <f t="shared" si="93"/>
        <v>0</v>
      </c>
      <c r="J327" s="100">
        <f t="shared" si="93"/>
        <v>0</v>
      </c>
      <c r="K327" s="101">
        <f t="shared" si="93"/>
        <v>0</v>
      </c>
      <c r="L327" s="137" t="e">
        <f t="shared" si="82"/>
        <v>#DIV/0!</v>
      </c>
    </row>
    <row r="328" spans="1:12" ht="12.75" hidden="1" customHeight="1" x14ac:dyDescent="0.25">
      <c r="A328" s="94">
        <v>5268</v>
      </c>
      <c r="B328" s="229">
        <v>442100</v>
      </c>
      <c r="C328" s="84" t="s">
        <v>297</v>
      </c>
      <c r="D328" s="108"/>
      <c r="E328" s="109">
        <f t="shared" si="84"/>
        <v>0</v>
      </c>
      <c r="F328" s="108"/>
      <c r="G328" s="108"/>
      <c r="H328" s="108"/>
      <c r="I328" s="108"/>
      <c r="J328" s="108"/>
      <c r="K328" s="110"/>
      <c r="L328" s="137" t="e">
        <f t="shared" si="82"/>
        <v>#DIV/0!</v>
      </c>
    </row>
    <row r="329" spans="1:12" ht="12.75" hidden="1" customHeight="1" x14ac:dyDescent="0.25">
      <c r="A329" s="94">
        <v>5269</v>
      </c>
      <c r="B329" s="229">
        <v>442200</v>
      </c>
      <c r="C329" s="84" t="s">
        <v>298</v>
      </c>
      <c r="D329" s="108"/>
      <c r="E329" s="109">
        <f t="shared" si="84"/>
        <v>0</v>
      </c>
      <c r="F329" s="108"/>
      <c r="G329" s="108"/>
      <c r="H329" s="108"/>
      <c r="I329" s="108"/>
      <c r="J329" s="108"/>
      <c r="K329" s="110"/>
      <c r="L329" s="137" t="e">
        <f t="shared" si="82"/>
        <v>#DIV/0!</v>
      </c>
    </row>
    <row r="330" spans="1:12" ht="12.75" hidden="1" customHeight="1" x14ac:dyDescent="0.25">
      <c r="A330" s="94">
        <v>5270</v>
      </c>
      <c r="B330" s="229">
        <v>442300</v>
      </c>
      <c r="C330" s="84" t="s">
        <v>299</v>
      </c>
      <c r="D330" s="108"/>
      <c r="E330" s="109">
        <f t="shared" si="84"/>
        <v>0</v>
      </c>
      <c r="F330" s="108"/>
      <c r="G330" s="108"/>
      <c r="H330" s="108"/>
      <c r="I330" s="108"/>
      <c r="J330" s="108"/>
      <c r="K330" s="110"/>
      <c r="L330" s="137" t="e">
        <f t="shared" si="82"/>
        <v>#DIV/0!</v>
      </c>
    </row>
    <row r="331" spans="1:12" ht="12.75" hidden="1" customHeight="1" x14ac:dyDescent="0.25">
      <c r="A331" s="94">
        <v>5271</v>
      </c>
      <c r="B331" s="229">
        <v>442400</v>
      </c>
      <c r="C331" s="84" t="s">
        <v>300</v>
      </c>
      <c r="D331" s="108"/>
      <c r="E331" s="109">
        <f t="shared" si="84"/>
        <v>0</v>
      </c>
      <c r="F331" s="108"/>
      <c r="G331" s="108"/>
      <c r="H331" s="108"/>
      <c r="I331" s="108"/>
      <c r="J331" s="108"/>
      <c r="K331" s="110"/>
      <c r="L331" s="137" t="e">
        <f t="shared" si="82"/>
        <v>#DIV/0!</v>
      </c>
    </row>
    <row r="332" spans="1:12" ht="12.75" hidden="1" customHeight="1" x14ac:dyDescent="0.25">
      <c r="A332" s="583" t="s">
        <v>0</v>
      </c>
      <c r="B332" s="584" t="s">
        <v>1</v>
      </c>
      <c r="C332" s="585" t="s">
        <v>2</v>
      </c>
      <c r="D332" s="585" t="s">
        <v>217</v>
      </c>
      <c r="E332" s="575" t="s">
        <v>198</v>
      </c>
      <c r="F332" s="589"/>
      <c r="G332" s="589"/>
      <c r="H332" s="589"/>
      <c r="I332" s="589"/>
      <c r="J332" s="589"/>
      <c r="K332" s="592"/>
      <c r="L332" s="137" t="e">
        <f t="shared" si="82"/>
        <v>#VALUE!</v>
      </c>
    </row>
    <row r="333" spans="1:12" ht="12.75" hidden="1" customHeight="1" x14ac:dyDescent="0.25">
      <c r="A333" s="583"/>
      <c r="B333" s="584"/>
      <c r="C333" s="585"/>
      <c r="D333" s="585"/>
      <c r="E333" s="575" t="s">
        <v>199</v>
      </c>
      <c r="F333" s="575" t="s">
        <v>200</v>
      </c>
      <c r="G333" s="589"/>
      <c r="H333" s="589"/>
      <c r="I333" s="589"/>
      <c r="J333" s="575" t="s">
        <v>7</v>
      </c>
      <c r="K333" s="582" t="s">
        <v>8</v>
      </c>
      <c r="L333" s="137" t="e">
        <f t="shared" si="82"/>
        <v>#VALUE!</v>
      </c>
    </row>
    <row r="334" spans="1:12" ht="12.75" hidden="1" customHeight="1" x14ac:dyDescent="0.25">
      <c r="A334" s="583"/>
      <c r="B334" s="584"/>
      <c r="C334" s="585"/>
      <c r="D334" s="585"/>
      <c r="E334" s="589"/>
      <c r="F334" s="224" t="s">
        <v>201</v>
      </c>
      <c r="G334" s="224" t="s">
        <v>10</v>
      </c>
      <c r="H334" s="224" t="s">
        <v>11</v>
      </c>
      <c r="I334" s="224" t="s">
        <v>12</v>
      </c>
      <c r="J334" s="589"/>
      <c r="K334" s="592"/>
      <c r="L334" s="137" t="e">
        <f t="shared" si="82"/>
        <v>#DIV/0!</v>
      </c>
    </row>
    <row r="335" spans="1:12" ht="12.75" hidden="1" customHeight="1" x14ac:dyDescent="0.25">
      <c r="A335" s="95" t="s">
        <v>18</v>
      </c>
      <c r="B335" s="223" t="s">
        <v>19</v>
      </c>
      <c r="C335" s="223" t="s">
        <v>20</v>
      </c>
      <c r="D335" s="223" t="s">
        <v>21</v>
      </c>
      <c r="E335" s="223" t="s">
        <v>22</v>
      </c>
      <c r="F335" s="223" t="s">
        <v>23</v>
      </c>
      <c r="G335" s="223" t="s">
        <v>24</v>
      </c>
      <c r="H335" s="223" t="s">
        <v>25</v>
      </c>
      <c r="I335" s="223" t="s">
        <v>26</v>
      </c>
      <c r="J335" s="223" t="s">
        <v>27</v>
      </c>
      <c r="K335" s="99" t="s">
        <v>28</v>
      </c>
      <c r="L335" s="137">
        <f t="shared" si="82"/>
        <v>1.25</v>
      </c>
    </row>
    <row r="336" spans="1:12" ht="12.75" hidden="1" customHeight="1" x14ac:dyDescent="0.25">
      <c r="A336" s="94">
        <v>5272</v>
      </c>
      <c r="B336" s="229">
        <v>442500</v>
      </c>
      <c r="C336" s="84" t="s">
        <v>301</v>
      </c>
      <c r="D336" s="108"/>
      <c r="E336" s="109">
        <f t="shared" si="84"/>
        <v>0</v>
      </c>
      <c r="F336" s="108"/>
      <c r="G336" s="108"/>
      <c r="H336" s="108"/>
      <c r="I336" s="108"/>
      <c r="J336" s="108"/>
      <c r="K336" s="110"/>
      <c r="L336" s="137" t="e">
        <f t="shared" si="82"/>
        <v>#DIV/0!</v>
      </c>
    </row>
    <row r="337" spans="1:12" ht="12.75" hidden="1" customHeight="1" x14ac:dyDescent="0.25">
      <c r="A337" s="94">
        <v>5273</v>
      </c>
      <c r="B337" s="229">
        <v>442600</v>
      </c>
      <c r="C337" s="84" t="s">
        <v>302</v>
      </c>
      <c r="D337" s="108"/>
      <c r="E337" s="109">
        <f t="shared" si="84"/>
        <v>0</v>
      </c>
      <c r="F337" s="108"/>
      <c r="G337" s="108"/>
      <c r="H337" s="108"/>
      <c r="I337" s="108"/>
      <c r="J337" s="108"/>
      <c r="K337" s="110"/>
      <c r="L337" s="137" t="e">
        <f t="shared" si="82"/>
        <v>#DIV/0!</v>
      </c>
    </row>
    <row r="338" spans="1:12" ht="12.75" hidden="1" customHeight="1" x14ac:dyDescent="0.25">
      <c r="A338" s="93">
        <v>5274</v>
      </c>
      <c r="B338" s="224">
        <v>443000</v>
      </c>
      <c r="C338" s="82" t="s">
        <v>303</v>
      </c>
      <c r="D338" s="100">
        <f>D339</f>
        <v>0</v>
      </c>
      <c r="E338" s="100">
        <f t="shared" si="84"/>
        <v>0</v>
      </c>
      <c r="F338" s="100">
        <f t="shared" ref="F338:K338" si="94">F339</f>
        <v>0</v>
      </c>
      <c r="G338" s="100">
        <f t="shared" si="94"/>
        <v>0</v>
      </c>
      <c r="H338" s="100">
        <f t="shared" si="94"/>
        <v>0</v>
      </c>
      <c r="I338" s="100">
        <f t="shared" si="94"/>
        <v>0</v>
      </c>
      <c r="J338" s="100">
        <f t="shared" si="94"/>
        <v>0</v>
      </c>
      <c r="K338" s="101">
        <f t="shared" si="94"/>
        <v>0</v>
      </c>
      <c r="L338" s="137" t="e">
        <f t="shared" si="82"/>
        <v>#DIV/0!</v>
      </c>
    </row>
    <row r="339" spans="1:12" ht="12.75" hidden="1" customHeight="1" x14ac:dyDescent="0.25">
      <c r="A339" s="94">
        <v>5275</v>
      </c>
      <c r="B339" s="229">
        <v>443100</v>
      </c>
      <c r="C339" s="84" t="s">
        <v>304</v>
      </c>
      <c r="D339" s="108"/>
      <c r="E339" s="109">
        <f t="shared" si="84"/>
        <v>0</v>
      </c>
      <c r="F339" s="108"/>
      <c r="G339" s="108"/>
      <c r="H339" s="108"/>
      <c r="I339" s="108"/>
      <c r="J339" s="108"/>
      <c r="K339" s="110"/>
      <c r="L339" s="137" t="e">
        <f t="shared" si="82"/>
        <v>#DIV/0!</v>
      </c>
    </row>
    <row r="340" spans="1:12" ht="12.75" hidden="1" customHeight="1" x14ac:dyDescent="0.25">
      <c r="A340" s="93">
        <v>5276</v>
      </c>
      <c r="B340" s="224">
        <v>444000</v>
      </c>
      <c r="C340" s="82" t="s">
        <v>305</v>
      </c>
      <c r="D340" s="100">
        <f>SUM(D341:D343)</f>
        <v>0</v>
      </c>
      <c r="E340" s="100">
        <f t="shared" si="84"/>
        <v>0</v>
      </c>
      <c r="F340" s="100">
        <f t="shared" ref="F340:K340" si="95">SUM(F341:F343)</f>
        <v>0</v>
      </c>
      <c r="G340" s="100">
        <f t="shared" si="95"/>
        <v>0</v>
      </c>
      <c r="H340" s="100">
        <f t="shared" si="95"/>
        <v>0</v>
      </c>
      <c r="I340" s="100">
        <f t="shared" si="95"/>
        <v>0</v>
      </c>
      <c r="J340" s="100">
        <f t="shared" si="95"/>
        <v>0</v>
      </c>
      <c r="K340" s="101">
        <f t="shared" si="95"/>
        <v>0</v>
      </c>
      <c r="L340" s="137" t="e">
        <f t="shared" si="82"/>
        <v>#DIV/0!</v>
      </c>
    </row>
    <row r="341" spans="1:12" ht="12.75" hidden="1" customHeight="1" x14ac:dyDescent="0.25">
      <c r="A341" s="94">
        <v>5277</v>
      </c>
      <c r="B341" s="229">
        <v>444100</v>
      </c>
      <c r="C341" s="84" t="s">
        <v>306</v>
      </c>
      <c r="D341" s="108"/>
      <c r="E341" s="109">
        <f t="shared" si="84"/>
        <v>0</v>
      </c>
      <c r="F341" s="108"/>
      <c r="G341" s="108"/>
      <c r="H341" s="108"/>
      <c r="I341" s="108"/>
      <c r="J341" s="108"/>
      <c r="K341" s="110"/>
      <c r="L341" s="137" t="e">
        <f t="shared" si="82"/>
        <v>#DIV/0!</v>
      </c>
    </row>
    <row r="342" spans="1:12" ht="12.75" hidden="1" customHeight="1" x14ac:dyDescent="0.25">
      <c r="A342" s="94">
        <v>5278</v>
      </c>
      <c r="B342" s="229">
        <v>444200</v>
      </c>
      <c r="C342" s="84" t="s">
        <v>307</v>
      </c>
      <c r="D342" s="108"/>
      <c r="E342" s="109">
        <f t="shared" si="84"/>
        <v>0</v>
      </c>
      <c r="F342" s="108"/>
      <c r="G342" s="108"/>
      <c r="H342" s="108"/>
      <c r="I342" s="108"/>
      <c r="J342" s="108"/>
      <c r="K342" s="110"/>
      <c r="L342" s="137" t="e">
        <f t="shared" si="82"/>
        <v>#DIV/0!</v>
      </c>
    </row>
    <row r="343" spans="1:12" ht="12.75" hidden="1" customHeight="1" x14ac:dyDescent="0.25">
      <c r="A343" s="94">
        <v>5279</v>
      </c>
      <c r="B343" s="229">
        <v>444300</v>
      </c>
      <c r="C343" s="84" t="s">
        <v>308</v>
      </c>
      <c r="D343" s="108"/>
      <c r="E343" s="109">
        <f t="shared" si="84"/>
        <v>0</v>
      </c>
      <c r="F343" s="108"/>
      <c r="G343" s="108"/>
      <c r="H343" s="108"/>
      <c r="I343" s="108"/>
      <c r="J343" s="108"/>
      <c r="K343" s="110"/>
      <c r="L343" s="137" t="e">
        <f t="shared" si="82"/>
        <v>#DIV/0!</v>
      </c>
    </row>
    <row r="344" spans="1:12" ht="12.75" hidden="1" customHeight="1" x14ac:dyDescent="0.25">
      <c r="A344" s="93">
        <v>5280</v>
      </c>
      <c r="B344" s="224">
        <v>450000</v>
      </c>
      <c r="C344" s="82" t="s">
        <v>309</v>
      </c>
      <c r="D344" s="100">
        <f>D345+D348+D351+D354</f>
        <v>0</v>
      </c>
      <c r="E344" s="100">
        <f t="shared" si="84"/>
        <v>0</v>
      </c>
      <c r="F344" s="100">
        <f t="shared" ref="F344:K344" si="96">F345+F348+F351+F354</f>
        <v>0</v>
      </c>
      <c r="G344" s="100">
        <f t="shared" si="96"/>
        <v>0</v>
      </c>
      <c r="H344" s="100">
        <f t="shared" si="96"/>
        <v>0</v>
      </c>
      <c r="I344" s="100">
        <f t="shared" si="96"/>
        <v>0</v>
      </c>
      <c r="J344" s="100">
        <f t="shared" si="96"/>
        <v>0</v>
      </c>
      <c r="K344" s="101">
        <f t="shared" si="96"/>
        <v>0</v>
      </c>
      <c r="L344" s="137" t="e">
        <f t="shared" si="82"/>
        <v>#DIV/0!</v>
      </c>
    </row>
    <row r="345" spans="1:12" ht="12.75" hidden="1" customHeight="1" x14ac:dyDescent="0.25">
      <c r="A345" s="93">
        <v>5281</v>
      </c>
      <c r="B345" s="224">
        <v>451000</v>
      </c>
      <c r="C345" s="82" t="s">
        <v>310</v>
      </c>
      <c r="D345" s="100">
        <f>D346+D347</f>
        <v>0</v>
      </c>
      <c r="E345" s="100">
        <f t="shared" si="84"/>
        <v>0</v>
      </c>
      <c r="F345" s="100">
        <f t="shared" ref="F345:K345" si="97">F346+F347</f>
        <v>0</v>
      </c>
      <c r="G345" s="100">
        <f t="shared" si="97"/>
        <v>0</v>
      </c>
      <c r="H345" s="100">
        <f t="shared" si="97"/>
        <v>0</v>
      </c>
      <c r="I345" s="100">
        <f t="shared" si="97"/>
        <v>0</v>
      </c>
      <c r="J345" s="100">
        <f t="shared" si="97"/>
        <v>0</v>
      </c>
      <c r="K345" s="101">
        <f t="shared" si="97"/>
        <v>0</v>
      </c>
      <c r="L345" s="137" t="e">
        <f t="shared" si="82"/>
        <v>#DIV/0!</v>
      </c>
    </row>
    <row r="346" spans="1:12" ht="12.75" hidden="1" customHeight="1" x14ac:dyDescent="0.25">
      <c r="A346" s="94">
        <v>5282</v>
      </c>
      <c r="B346" s="229">
        <v>451100</v>
      </c>
      <c r="C346" s="84" t="s">
        <v>311</v>
      </c>
      <c r="D346" s="108"/>
      <c r="E346" s="109">
        <f t="shared" si="84"/>
        <v>0</v>
      </c>
      <c r="F346" s="108"/>
      <c r="G346" s="108"/>
      <c r="H346" s="108"/>
      <c r="I346" s="108"/>
      <c r="J346" s="108"/>
      <c r="K346" s="110"/>
      <c r="L346" s="137" t="e">
        <f t="shared" si="82"/>
        <v>#DIV/0!</v>
      </c>
    </row>
    <row r="347" spans="1:12" ht="12.75" hidden="1" customHeight="1" x14ac:dyDescent="0.25">
      <c r="A347" s="94">
        <v>5283</v>
      </c>
      <c r="B347" s="229">
        <v>451200</v>
      </c>
      <c r="C347" s="84" t="s">
        <v>312</v>
      </c>
      <c r="D347" s="108"/>
      <c r="E347" s="109">
        <f t="shared" si="84"/>
        <v>0</v>
      </c>
      <c r="F347" s="108"/>
      <c r="G347" s="108"/>
      <c r="H347" s="108"/>
      <c r="I347" s="108"/>
      <c r="J347" s="108"/>
      <c r="K347" s="110"/>
      <c r="L347" s="137" t="e">
        <f t="shared" si="82"/>
        <v>#DIV/0!</v>
      </c>
    </row>
    <row r="348" spans="1:12" ht="12.75" hidden="1" customHeight="1" x14ac:dyDescent="0.25">
      <c r="A348" s="93">
        <v>5284</v>
      </c>
      <c r="B348" s="224">
        <v>452000</v>
      </c>
      <c r="C348" s="82" t="s">
        <v>313</v>
      </c>
      <c r="D348" s="100">
        <f>D349+D350</f>
        <v>0</v>
      </c>
      <c r="E348" s="100">
        <f t="shared" si="84"/>
        <v>0</v>
      </c>
      <c r="F348" s="100">
        <f t="shared" ref="F348:K348" si="98">F349+F350</f>
        <v>0</v>
      </c>
      <c r="G348" s="100">
        <f t="shared" si="98"/>
        <v>0</v>
      </c>
      <c r="H348" s="100">
        <f t="shared" si="98"/>
        <v>0</v>
      </c>
      <c r="I348" s="100">
        <f t="shared" si="98"/>
        <v>0</v>
      </c>
      <c r="J348" s="100">
        <f t="shared" si="98"/>
        <v>0</v>
      </c>
      <c r="K348" s="101">
        <f t="shared" si="98"/>
        <v>0</v>
      </c>
      <c r="L348" s="137" t="e">
        <f t="shared" ref="L348:L411" si="99">E348/D348</f>
        <v>#DIV/0!</v>
      </c>
    </row>
    <row r="349" spans="1:12" ht="12.75" hidden="1" customHeight="1" x14ac:dyDescent="0.25">
      <c r="A349" s="94">
        <v>5285</v>
      </c>
      <c r="B349" s="229">
        <v>452100</v>
      </c>
      <c r="C349" s="84" t="s">
        <v>314</v>
      </c>
      <c r="D349" s="108"/>
      <c r="E349" s="109">
        <f t="shared" si="84"/>
        <v>0</v>
      </c>
      <c r="F349" s="108"/>
      <c r="G349" s="108"/>
      <c r="H349" s="108"/>
      <c r="I349" s="108"/>
      <c r="J349" s="108"/>
      <c r="K349" s="110"/>
      <c r="L349" s="137" t="e">
        <f t="shared" si="99"/>
        <v>#DIV/0!</v>
      </c>
    </row>
    <row r="350" spans="1:12" ht="12.75" hidden="1" customHeight="1" x14ac:dyDescent="0.25">
      <c r="A350" s="94">
        <v>5286</v>
      </c>
      <c r="B350" s="229">
        <v>452200</v>
      </c>
      <c r="C350" s="84" t="s">
        <v>315</v>
      </c>
      <c r="D350" s="108"/>
      <c r="E350" s="109">
        <f t="shared" si="84"/>
        <v>0</v>
      </c>
      <c r="F350" s="108"/>
      <c r="G350" s="108"/>
      <c r="H350" s="108"/>
      <c r="I350" s="108"/>
      <c r="J350" s="108"/>
      <c r="K350" s="110"/>
      <c r="L350" s="137" t="e">
        <f t="shared" si="99"/>
        <v>#DIV/0!</v>
      </c>
    </row>
    <row r="351" spans="1:12" ht="12.75" hidden="1" customHeight="1" x14ac:dyDescent="0.25">
      <c r="A351" s="93">
        <v>5287</v>
      </c>
      <c r="B351" s="224">
        <v>453000</v>
      </c>
      <c r="C351" s="82" t="s">
        <v>316</v>
      </c>
      <c r="D351" s="100">
        <f>D352+D353</f>
        <v>0</v>
      </c>
      <c r="E351" s="100">
        <f t="shared" si="84"/>
        <v>0</v>
      </c>
      <c r="F351" s="100">
        <f t="shared" ref="F351:K351" si="100">F352+F353</f>
        <v>0</v>
      </c>
      <c r="G351" s="100">
        <f t="shared" si="100"/>
        <v>0</v>
      </c>
      <c r="H351" s="100">
        <f t="shared" si="100"/>
        <v>0</v>
      </c>
      <c r="I351" s="100">
        <f t="shared" si="100"/>
        <v>0</v>
      </c>
      <c r="J351" s="100">
        <f t="shared" si="100"/>
        <v>0</v>
      </c>
      <c r="K351" s="101">
        <f t="shared" si="100"/>
        <v>0</v>
      </c>
      <c r="L351" s="137" t="e">
        <f t="shared" si="99"/>
        <v>#DIV/0!</v>
      </c>
    </row>
    <row r="352" spans="1:12" ht="12.75" hidden="1" customHeight="1" x14ac:dyDescent="0.25">
      <c r="A352" s="94">
        <v>5288</v>
      </c>
      <c r="B352" s="229">
        <v>453100</v>
      </c>
      <c r="C352" s="84" t="s">
        <v>317</v>
      </c>
      <c r="D352" s="108"/>
      <c r="E352" s="109">
        <f t="shared" si="84"/>
        <v>0</v>
      </c>
      <c r="F352" s="108"/>
      <c r="G352" s="108"/>
      <c r="H352" s="108"/>
      <c r="I352" s="108"/>
      <c r="J352" s="108"/>
      <c r="K352" s="110"/>
      <c r="L352" s="137" t="e">
        <f t="shared" si="99"/>
        <v>#DIV/0!</v>
      </c>
    </row>
    <row r="353" spans="1:12" ht="12.75" hidden="1" customHeight="1" x14ac:dyDescent="0.25">
      <c r="A353" s="94">
        <v>5289</v>
      </c>
      <c r="B353" s="229">
        <v>453200</v>
      </c>
      <c r="C353" s="84" t="s">
        <v>318</v>
      </c>
      <c r="D353" s="108"/>
      <c r="E353" s="109">
        <f t="shared" si="84"/>
        <v>0</v>
      </c>
      <c r="F353" s="108"/>
      <c r="G353" s="108"/>
      <c r="H353" s="108"/>
      <c r="I353" s="108"/>
      <c r="J353" s="108"/>
      <c r="K353" s="110"/>
      <c r="L353" s="137" t="e">
        <f t="shared" si="99"/>
        <v>#DIV/0!</v>
      </c>
    </row>
    <row r="354" spans="1:12" ht="12.75" hidden="1" customHeight="1" x14ac:dyDescent="0.25">
      <c r="A354" s="93">
        <v>5290</v>
      </c>
      <c r="B354" s="224">
        <v>454000</v>
      </c>
      <c r="C354" s="82" t="s">
        <v>319</v>
      </c>
      <c r="D354" s="100">
        <f>D355+D356</f>
        <v>0</v>
      </c>
      <c r="E354" s="100">
        <f t="shared" si="84"/>
        <v>0</v>
      </c>
      <c r="F354" s="100">
        <f t="shared" ref="F354:K354" si="101">F355+F356</f>
        <v>0</v>
      </c>
      <c r="G354" s="100">
        <f t="shared" si="101"/>
        <v>0</v>
      </c>
      <c r="H354" s="100">
        <f t="shared" si="101"/>
        <v>0</v>
      </c>
      <c r="I354" s="100">
        <f t="shared" si="101"/>
        <v>0</v>
      </c>
      <c r="J354" s="100">
        <f t="shared" si="101"/>
        <v>0</v>
      </c>
      <c r="K354" s="101">
        <f t="shared" si="101"/>
        <v>0</v>
      </c>
      <c r="L354" s="137" t="e">
        <f t="shared" si="99"/>
        <v>#DIV/0!</v>
      </c>
    </row>
    <row r="355" spans="1:12" ht="12.75" hidden="1" customHeight="1" x14ac:dyDescent="0.25">
      <c r="A355" s="94">
        <v>5291</v>
      </c>
      <c r="B355" s="229">
        <v>454100</v>
      </c>
      <c r="C355" s="84" t="s">
        <v>320</v>
      </c>
      <c r="D355" s="108"/>
      <c r="E355" s="109">
        <f t="shared" si="84"/>
        <v>0</v>
      </c>
      <c r="F355" s="108"/>
      <c r="G355" s="108"/>
      <c r="H355" s="108"/>
      <c r="I355" s="108"/>
      <c r="J355" s="108"/>
      <c r="K355" s="110"/>
      <c r="L355" s="137" t="e">
        <f t="shared" si="99"/>
        <v>#DIV/0!</v>
      </c>
    </row>
    <row r="356" spans="1:12" ht="12.75" hidden="1" customHeight="1" x14ac:dyDescent="0.25">
      <c r="A356" s="94">
        <v>5292</v>
      </c>
      <c r="B356" s="229">
        <v>454200</v>
      </c>
      <c r="C356" s="84" t="s">
        <v>321</v>
      </c>
      <c r="D356" s="108"/>
      <c r="E356" s="109">
        <f t="shared" si="84"/>
        <v>0</v>
      </c>
      <c r="F356" s="108"/>
      <c r="G356" s="108"/>
      <c r="H356" s="108"/>
      <c r="I356" s="108"/>
      <c r="J356" s="108"/>
      <c r="K356" s="110"/>
      <c r="L356" s="137" t="e">
        <f t="shared" si="99"/>
        <v>#DIV/0!</v>
      </c>
    </row>
    <row r="357" spans="1:12" ht="12.75" customHeight="1" x14ac:dyDescent="0.25">
      <c r="A357" s="93">
        <v>5293</v>
      </c>
      <c r="B357" s="224">
        <v>460000</v>
      </c>
      <c r="C357" s="82" t="s">
        <v>322</v>
      </c>
      <c r="D357" s="100">
        <f>D362+D365+D368+D371+D374</f>
        <v>7710</v>
      </c>
      <c r="E357" s="100">
        <f t="shared" si="84"/>
        <v>6289</v>
      </c>
      <c r="F357" s="100">
        <f t="shared" ref="F357:K357" si="102">F362+F365+F368+F371+F374</f>
        <v>0</v>
      </c>
      <c r="G357" s="100">
        <f t="shared" si="102"/>
        <v>0</v>
      </c>
      <c r="H357" s="100">
        <f t="shared" si="102"/>
        <v>0</v>
      </c>
      <c r="I357" s="100">
        <f t="shared" si="102"/>
        <v>6247</v>
      </c>
      <c r="J357" s="100">
        <f t="shared" si="102"/>
        <v>0</v>
      </c>
      <c r="K357" s="101">
        <f t="shared" si="102"/>
        <v>42</v>
      </c>
      <c r="L357" s="137">
        <f t="shared" si="99"/>
        <v>0.81569390402075226</v>
      </c>
    </row>
    <row r="358" spans="1:12" ht="12.75" hidden="1" customHeight="1" x14ac:dyDescent="0.25">
      <c r="A358" s="583" t="s">
        <v>0</v>
      </c>
      <c r="B358" s="584" t="s">
        <v>1</v>
      </c>
      <c r="C358" s="585" t="s">
        <v>2</v>
      </c>
      <c r="D358" s="585" t="s">
        <v>217</v>
      </c>
      <c r="E358" s="575" t="s">
        <v>198</v>
      </c>
      <c r="F358" s="589"/>
      <c r="G358" s="589"/>
      <c r="H358" s="589"/>
      <c r="I358" s="589"/>
      <c r="J358" s="589"/>
      <c r="K358" s="592"/>
      <c r="L358" s="137" t="e">
        <f t="shared" si="99"/>
        <v>#VALUE!</v>
      </c>
    </row>
    <row r="359" spans="1:12" ht="12.75" hidden="1" customHeight="1" x14ac:dyDescent="0.25">
      <c r="A359" s="583"/>
      <c r="B359" s="584"/>
      <c r="C359" s="585"/>
      <c r="D359" s="585"/>
      <c r="E359" s="575" t="s">
        <v>199</v>
      </c>
      <c r="F359" s="575" t="s">
        <v>200</v>
      </c>
      <c r="G359" s="589"/>
      <c r="H359" s="589"/>
      <c r="I359" s="589"/>
      <c r="J359" s="575" t="s">
        <v>7</v>
      </c>
      <c r="K359" s="582" t="s">
        <v>8</v>
      </c>
      <c r="L359" s="137" t="e">
        <f t="shared" si="99"/>
        <v>#VALUE!</v>
      </c>
    </row>
    <row r="360" spans="1:12" ht="12.75" hidden="1" customHeight="1" x14ac:dyDescent="0.25">
      <c r="A360" s="583"/>
      <c r="B360" s="584"/>
      <c r="C360" s="585"/>
      <c r="D360" s="585"/>
      <c r="E360" s="589"/>
      <c r="F360" s="224" t="s">
        <v>201</v>
      </c>
      <c r="G360" s="224" t="s">
        <v>10</v>
      </c>
      <c r="H360" s="224" t="s">
        <v>11</v>
      </c>
      <c r="I360" s="224" t="s">
        <v>12</v>
      </c>
      <c r="J360" s="589"/>
      <c r="K360" s="592"/>
      <c r="L360" s="137" t="e">
        <f t="shared" si="99"/>
        <v>#DIV/0!</v>
      </c>
    </row>
    <row r="361" spans="1:12" ht="12.75" hidden="1" customHeight="1" x14ac:dyDescent="0.25">
      <c r="A361" s="95" t="s">
        <v>18</v>
      </c>
      <c r="B361" s="223" t="s">
        <v>19</v>
      </c>
      <c r="C361" s="223" t="s">
        <v>20</v>
      </c>
      <c r="D361" s="223" t="s">
        <v>21</v>
      </c>
      <c r="E361" s="223" t="s">
        <v>22</v>
      </c>
      <c r="F361" s="223" t="s">
        <v>23</v>
      </c>
      <c r="G361" s="223" t="s">
        <v>24</v>
      </c>
      <c r="H361" s="223" t="s">
        <v>25</v>
      </c>
      <c r="I361" s="223" t="s">
        <v>26</v>
      </c>
      <c r="J361" s="223" t="s">
        <v>27</v>
      </c>
      <c r="K361" s="99" t="s">
        <v>28</v>
      </c>
      <c r="L361" s="137">
        <f t="shared" si="99"/>
        <v>1.25</v>
      </c>
    </row>
    <row r="362" spans="1:12" ht="12.75" hidden="1" customHeight="1" x14ac:dyDescent="0.25">
      <c r="A362" s="93">
        <v>5294</v>
      </c>
      <c r="B362" s="224">
        <v>461000</v>
      </c>
      <c r="C362" s="82" t="s">
        <v>323</v>
      </c>
      <c r="D362" s="100">
        <f>D363+D364</f>
        <v>0</v>
      </c>
      <c r="E362" s="100">
        <f t="shared" si="84"/>
        <v>0</v>
      </c>
      <c r="F362" s="100">
        <f t="shared" ref="F362:K362" si="103">F363+F364</f>
        <v>0</v>
      </c>
      <c r="G362" s="100">
        <f t="shared" si="103"/>
        <v>0</v>
      </c>
      <c r="H362" s="100">
        <f t="shared" si="103"/>
        <v>0</v>
      </c>
      <c r="I362" s="100">
        <f t="shared" si="103"/>
        <v>0</v>
      </c>
      <c r="J362" s="100">
        <f t="shared" si="103"/>
        <v>0</v>
      </c>
      <c r="K362" s="101">
        <f t="shared" si="103"/>
        <v>0</v>
      </c>
      <c r="L362" s="137" t="e">
        <f t="shared" si="99"/>
        <v>#DIV/0!</v>
      </c>
    </row>
    <row r="363" spans="1:12" ht="12.75" hidden="1" customHeight="1" x14ac:dyDescent="0.25">
      <c r="A363" s="94">
        <v>5295</v>
      </c>
      <c r="B363" s="229">
        <v>461100</v>
      </c>
      <c r="C363" s="84" t="s">
        <v>324</v>
      </c>
      <c r="D363" s="108"/>
      <c r="E363" s="109">
        <f t="shared" si="84"/>
        <v>0</v>
      </c>
      <c r="F363" s="108"/>
      <c r="G363" s="108"/>
      <c r="H363" s="108"/>
      <c r="I363" s="108"/>
      <c r="J363" s="108"/>
      <c r="K363" s="110"/>
      <c r="L363" s="137" t="e">
        <f t="shared" si="99"/>
        <v>#DIV/0!</v>
      </c>
    </row>
    <row r="364" spans="1:12" ht="12.75" hidden="1" customHeight="1" x14ac:dyDescent="0.25">
      <c r="A364" s="94">
        <v>5296</v>
      </c>
      <c r="B364" s="229">
        <v>461200</v>
      </c>
      <c r="C364" s="84" t="s">
        <v>325</v>
      </c>
      <c r="D364" s="108"/>
      <c r="E364" s="109">
        <f t="shared" si="84"/>
        <v>0</v>
      </c>
      <c r="F364" s="108"/>
      <c r="G364" s="108"/>
      <c r="H364" s="108"/>
      <c r="I364" s="108"/>
      <c r="J364" s="108"/>
      <c r="K364" s="110"/>
      <c r="L364" s="137" t="e">
        <f t="shared" si="99"/>
        <v>#DIV/0!</v>
      </c>
    </row>
    <row r="365" spans="1:12" ht="12.75" hidden="1" customHeight="1" x14ac:dyDescent="0.25">
      <c r="A365" s="93">
        <v>5297</v>
      </c>
      <c r="B365" s="224">
        <v>462000</v>
      </c>
      <c r="C365" s="82" t="s">
        <v>326</v>
      </c>
      <c r="D365" s="100">
        <f>D366+D367</f>
        <v>0</v>
      </c>
      <c r="E365" s="100">
        <f t="shared" si="84"/>
        <v>0</v>
      </c>
      <c r="F365" s="100">
        <f t="shared" ref="F365:K365" si="104">F366+F367</f>
        <v>0</v>
      </c>
      <c r="G365" s="100">
        <f t="shared" si="104"/>
        <v>0</v>
      </c>
      <c r="H365" s="100">
        <f t="shared" si="104"/>
        <v>0</v>
      </c>
      <c r="I365" s="100">
        <f t="shared" si="104"/>
        <v>0</v>
      </c>
      <c r="J365" s="100">
        <f t="shared" si="104"/>
        <v>0</v>
      </c>
      <c r="K365" s="101">
        <f t="shared" si="104"/>
        <v>0</v>
      </c>
      <c r="L365" s="137" t="e">
        <f t="shared" si="99"/>
        <v>#DIV/0!</v>
      </c>
    </row>
    <row r="366" spans="1:12" ht="12.75" hidden="1" customHeight="1" x14ac:dyDescent="0.25">
      <c r="A366" s="94">
        <v>5298</v>
      </c>
      <c r="B366" s="229">
        <v>462100</v>
      </c>
      <c r="C366" s="84" t="s">
        <v>327</v>
      </c>
      <c r="D366" s="108"/>
      <c r="E366" s="109">
        <f t="shared" si="84"/>
        <v>0</v>
      </c>
      <c r="F366" s="108"/>
      <c r="G366" s="108"/>
      <c r="H366" s="108"/>
      <c r="I366" s="108"/>
      <c r="J366" s="108"/>
      <c r="K366" s="110"/>
      <c r="L366" s="137" t="e">
        <f t="shared" si="99"/>
        <v>#DIV/0!</v>
      </c>
    </row>
    <row r="367" spans="1:12" ht="12.75" hidden="1" customHeight="1" x14ac:dyDescent="0.25">
      <c r="A367" s="94">
        <v>5299</v>
      </c>
      <c r="B367" s="229">
        <v>462200</v>
      </c>
      <c r="C367" s="84" t="s">
        <v>328</v>
      </c>
      <c r="D367" s="108"/>
      <c r="E367" s="109">
        <f t="shared" si="84"/>
        <v>0</v>
      </c>
      <c r="F367" s="108"/>
      <c r="G367" s="108"/>
      <c r="H367" s="108"/>
      <c r="I367" s="108"/>
      <c r="J367" s="108"/>
      <c r="K367" s="110"/>
      <c r="L367" s="137" t="e">
        <f t="shared" si="99"/>
        <v>#DIV/0!</v>
      </c>
    </row>
    <row r="368" spans="1:12" ht="12.75" hidden="1" customHeight="1" x14ac:dyDescent="0.25">
      <c r="A368" s="93">
        <v>5300</v>
      </c>
      <c r="B368" s="224">
        <v>463000</v>
      </c>
      <c r="C368" s="82" t="s">
        <v>329</v>
      </c>
      <c r="D368" s="100">
        <f>D369+D370</f>
        <v>0</v>
      </c>
      <c r="E368" s="100">
        <f t="shared" ref="E368:E440" si="105">SUM(F368:K368)</f>
        <v>0</v>
      </c>
      <c r="F368" s="100">
        <f t="shared" ref="F368:K368" si="106">F369+F370</f>
        <v>0</v>
      </c>
      <c r="G368" s="100">
        <f t="shared" si="106"/>
        <v>0</v>
      </c>
      <c r="H368" s="100">
        <f t="shared" si="106"/>
        <v>0</v>
      </c>
      <c r="I368" s="100">
        <f t="shared" si="106"/>
        <v>0</v>
      </c>
      <c r="J368" s="100">
        <f t="shared" si="106"/>
        <v>0</v>
      </c>
      <c r="K368" s="101">
        <f t="shared" si="106"/>
        <v>0</v>
      </c>
      <c r="L368" s="137" t="e">
        <f t="shared" si="99"/>
        <v>#DIV/0!</v>
      </c>
    </row>
    <row r="369" spans="1:12" ht="12.75" hidden="1" customHeight="1" x14ac:dyDescent="0.25">
      <c r="A369" s="94">
        <v>5301</v>
      </c>
      <c r="B369" s="229">
        <v>463100</v>
      </c>
      <c r="C369" s="84" t="s">
        <v>330</v>
      </c>
      <c r="D369" s="108"/>
      <c r="E369" s="109">
        <f t="shared" si="105"/>
        <v>0</v>
      </c>
      <c r="F369" s="108"/>
      <c r="G369" s="108"/>
      <c r="H369" s="108"/>
      <c r="I369" s="108"/>
      <c r="J369" s="108"/>
      <c r="K369" s="110"/>
      <c r="L369" s="137" t="e">
        <f t="shared" si="99"/>
        <v>#DIV/0!</v>
      </c>
    </row>
    <row r="370" spans="1:12" ht="12.75" hidden="1" customHeight="1" x14ac:dyDescent="0.25">
      <c r="A370" s="94">
        <v>5302</v>
      </c>
      <c r="B370" s="229">
        <v>463200</v>
      </c>
      <c r="C370" s="84" t="s">
        <v>331</v>
      </c>
      <c r="D370" s="108"/>
      <c r="E370" s="109">
        <f t="shared" si="105"/>
        <v>0</v>
      </c>
      <c r="F370" s="108"/>
      <c r="G370" s="108"/>
      <c r="H370" s="108"/>
      <c r="I370" s="108"/>
      <c r="J370" s="108"/>
      <c r="K370" s="110"/>
      <c r="L370" s="137" t="e">
        <f t="shared" si="99"/>
        <v>#DIV/0!</v>
      </c>
    </row>
    <row r="371" spans="1:12" ht="12.75" hidden="1" customHeight="1" x14ac:dyDescent="0.25">
      <c r="A371" s="93">
        <v>5303</v>
      </c>
      <c r="B371" s="224">
        <v>464000</v>
      </c>
      <c r="C371" s="82" t="s">
        <v>332</v>
      </c>
      <c r="D371" s="100">
        <f>D372+D373</f>
        <v>0</v>
      </c>
      <c r="E371" s="100">
        <f t="shared" si="105"/>
        <v>0</v>
      </c>
      <c r="F371" s="100">
        <f t="shared" ref="F371:K371" si="107">F372+F373</f>
        <v>0</v>
      </c>
      <c r="G371" s="100">
        <f t="shared" si="107"/>
        <v>0</v>
      </c>
      <c r="H371" s="100">
        <f t="shared" si="107"/>
        <v>0</v>
      </c>
      <c r="I371" s="100">
        <f t="shared" si="107"/>
        <v>0</v>
      </c>
      <c r="J371" s="100">
        <f t="shared" si="107"/>
        <v>0</v>
      </c>
      <c r="K371" s="101">
        <f t="shared" si="107"/>
        <v>0</v>
      </c>
      <c r="L371" s="137" t="e">
        <f t="shared" si="99"/>
        <v>#DIV/0!</v>
      </c>
    </row>
    <row r="372" spans="1:12" ht="12.75" hidden="1" customHeight="1" x14ac:dyDescent="0.25">
      <c r="A372" s="94">
        <v>5304</v>
      </c>
      <c r="B372" s="229">
        <v>464100</v>
      </c>
      <c r="C372" s="84" t="s">
        <v>333</v>
      </c>
      <c r="D372" s="108"/>
      <c r="E372" s="109">
        <f t="shared" si="105"/>
        <v>0</v>
      </c>
      <c r="F372" s="108"/>
      <c r="G372" s="108"/>
      <c r="H372" s="108"/>
      <c r="I372" s="108"/>
      <c r="J372" s="108"/>
      <c r="K372" s="110"/>
      <c r="L372" s="137" t="e">
        <f t="shared" si="99"/>
        <v>#DIV/0!</v>
      </c>
    </row>
    <row r="373" spans="1:12" ht="12.75" hidden="1" customHeight="1" x14ac:dyDescent="0.25">
      <c r="A373" s="94">
        <v>5305</v>
      </c>
      <c r="B373" s="229">
        <v>464200</v>
      </c>
      <c r="C373" s="84" t="s">
        <v>334</v>
      </c>
      <c r="D373" s="108"/>
      <c r="E373" s="109">
        <f t="shared" si="105"/>
        <v>0</v>
      </c>
      <c r="F373" s="108"/>
      <c r="G373" s="108"/>
      <c r="H373" s="108"/>
      <c r="I373" s="108"/>
      <c r="J373" s="108"/>
      <c r="K373" s="110"/>
      <c r="L373" s="137" t="e">
        <f t="shared" si="99"/>
        <v>#DIV/0!</v>
      </c>
    </row>
    <row r="374" spans="1:12" ht="12.75" customHeight="1" x14ac:dyDescent="0.25">
      <c r="A374" s="93">
        <v>5306</v>
      </c>
      <c r="B374" s="224">
        <v>465000</v>
      </c>
      <c r="C374" s="82" t="s">
        <v>335</v>
      </c>
      <c r="D374" s="100">
        <f>D375+D376</f>
        <v>7710</v>
      </c>
      <c r="E374" s="100">
        <f t="shared" si="105"/>
        <v>6289</v>
      </c>
      <c r="F374" s="100">
        <f t="shared" ref="F374:K374" si="108">F375+F376</f>
        <v>0</v>
      </c>
      <c r="G374" s="100">
        <f t="shared" si="108"/>
        <v>0</v>
      </c>
      <c r="H374" s="100">
        <f t="shared" si="108"/>
        <v>0</v>
      </c>
      <c r="I374" s="100">
        <f t="shared" si="108"/>
        <v>6247</v>
      </c>
      <c r="J374" s="100">
        <f t="shared" si="108"/>
        <v>0</v>
      </c>
      <c r="K374" s="101">
        <f t="shared" si="108"/>
        <v>42</v>
      </c>
      <c r="L374" s="137">
        <f t="shared" si="99"/>
        <v>0.81569390402075226</v>
      </c>
    </row>
    <row r="375" spans="1:12" ht="12.75" customHeight="1" x14ac:dyDescent="0.25">
      <c r="A375" s="94">
        <v>5307</v>
      </c>
      <c r="B375" s="229">
        <v>465100</v>
      </c>
      <c r="C375" s="84" t="s">
        <v>336</v>
      </c>
      <c r="D375" s="108">
        <v>7710</v>
      </c>
      <c r="E375" s="109">
        <f t="shared" si="105"/>
        <v>6289</v>
      </c>
      <c r="F375" s="108"/>
      <c r="G375" s="108"/>
      <c r="H375" s="108"/>
      <c r="I375" s="108">
        <v>6247</v>
      </c>
      <c r="J375" s="108"/>
      <c r="K375" s="110">
        <v>42</v>
      </c>
      <c r="L375" s="137">
        <f t="shared" si="99"/>
        <v>0.81569390402075226</v>
      </c>
    </row>
    <row r="376" spans="1:12" ht="12.75" hidden="1" customHeight="1" x14ac:dyDescent="0.25">
      <c r="A376" s="94">
        <v>5308</v>
      </c>
      <c r="B376" s="229">
        <v>465200</v>
      </c>
      <c r="C376" s="84" t="s">
        <v>337</v>
      </c>
      <c r="D376" s="108"/>
      <c r="E376" s="109">
        <f t="shared" si="105"/>
        <v>0</v>
      </c>
      <c r="F376" s="108"/>
      <c r="G376" s="108"/>
      <c r="H376" s="108"/>
      <c r="I376" s="108"/>
      <c r="J376" s="108"/>
      <c r="K376" s="110"/>
      <c r="L376" s="137" t="e">
        <f t="shared" si="99"/>
        <v>#DIV/0!</v>
      </c>
    </row>
    <row r="377" spans="1:12" ht="12.75" hidden="1" customHeight="1" x14ac:dyDescent="0.25">
      <c r="A377" s="93">
        <v>5309</v>
      </c>
      <c r="B377" s="224">
        <v>470000</v>
      </c>
      <c r="C377" s="82" t="s">
        <v>338</v>
      </c>
      <c r="D377" s="100">
        <f>D378+D382</f>
        <v>0</v>
      </c>
      <c r="E377" s="100">
        <f t="shared" si="105"/>
        <v>0</v>
      </c>
      <c r="F377" s="100">
        <f t="shared" ref="F377:K377" si="109">F378+F382</f>
        <v>0</v>
      </c>
      <c r="G377" s="100">
        <f t="shared" si="109"/>
        <v>0</v>
      </c>
      <c r="H377" s="100">
        <f t="shared" si="109"/>
        <v>0</v>
      </c>
      <c r="I377" s="100">
        <f t="shared" si="109"/>
        <v>0</v>
      </c>
      <c r="J377" s="100">
        <f t="shared" si="109"/>
        <v>0</v>
      </c>
      <c r="K377" s="101">
        <f t="shared" si="109"/>
        <v>0</v>
      </c>
      <c r="L377" s="137" t="e">
        <f t="shared" si="99"/>
        <v>#DIV/0!</v>
      </c>
    </row>
    <row r="378" spans="1:12" ht="12.75" hidden="1" customHeight="1" x14ac:dyDescent="0.25">
      <c r="A378" s="93">
        <v>5310</v>
      </c>
      <c r="B378" s="224">
        <v>471000</v>
      </c>
      <c r="C378" s="82" t="s">
        <v>339</v>
      </c>
      <c r="D378" s="100">
        <f>SUM(D379:D381)</f>
        <v>0</v>
      </c>
      <c r="E378" s="100">
        <f t="shared" si="105"/>
        <v>0</v>
      </c>
      <c r="F378" s="100">
        <f t="shared" ref="F378:K378" si="110">SUM(F379:F381)</f>
        <v>0</v>
      </c>
      <c r="G378" s="100">
        <f t="shared" si="110"/>
        <v>0</v>
      </c>
      <c r="H378" s="100">
        <f t="shared" si="110"/>
        <v>0</v>
      </c>
      <c r="I378" s="100">
        <f t="shared" si="110"/>
        <v>0</v>
      </c>
      <c r="J378" s="100">
        <f t="shared" si="110"/>
        <v>0</v>
      </c>
      <c r="K378" s="101">
        <f t="shared" si="110"/>
        <v>0</v>
      </c>
      <c r="L378" s="137" t="e">
        <f t="shared" si="99"/>
        <v>#DIV/0!</v>
      </c>
    </row>
    <row r="379" spans="1:12" ht="12.75" hidden="1" customHeight="1" x14ac:dyDescent="0.25">
      <c r="A379" s="94">
        <v>5311</v>
      </c>
      <c r="B379" s="229">
        <v>471100</v>
      </c>
      <c r="C379" s="84" t="s">
        <v>340</v>
      </c>
      <c r="D379" s="108"/>
      <c r="E379" s="109">
        <f t="shared" si="105"/>
        <v>0</v>
      </c>
      <c r="F379" s="108"/>
      <c r="G379" s="108"/>
      <c r="H379" s="108"/>
      <c r="I379" s="108"/>
      <c r="J379" s="108"/>
      <c r="K379" s="110"/>
      <c r="L379" s="137" t="e">
        <f t="shared" si="99"/>
        <v>#DIV/0!</v>
      </c>
    </row>
    <row r="380" spans="1:12" ht="12.75" hidden="1" customHeight="1" x14ac:dyDescent="0.25">
      <c r="A380" s="94">
        <v>5312</v>
      </c>
      <c r="B380" s="229">
        <v>471200</v>
      </c>
      <c r="C380" s="84" t="s">
        <v>341</v>
      </c>
      <c r="D380" s="108"/>
      <c r="E380" s="109">
        <f t="shared" si="105"/>
        <v>0</v>
      </c>
      <c r="F380" s="108"/>
      <c r="G380" s="108"/>
      <c r="H380" s="108"/>
      <c r="I380" s="108"/>
      <c r="J380" s="108"/>
      <c r="K380" s="110"/>
      <c r="L380" s="137" t="e">
        <f t="shared" si="99"/>
        <v>#DIV/0!</v>
      </c>
    </row>
    <row r="381" spans="1:12" ht="12.75" hidden="1" customHeight="1" x14ac:dyDescent="0.25">
      <c r="A381" s="94">
        <v>5313</v>
      </c>
      <c r="B381" s="229">
        <v>471900</v>
      </c>
      <c r="C381" s="84" t="s">
        <v>342</v>
      </c>
      <c r="D381" s="108"/>
      <c r="E381" s="109">
        <f t="shared" si="105"/>
        <v>0</v>
      </c>
      <c r="F381" s="108"/>
      <c r="G381" s="108"/>
      <c r="H381" s="108"/>
      <c r="I381" s="108"/>
      <c r="J381" s="108"/>
      <c r="K381" s="110"/>
      <c r="L381" s="137" t="e">
        <f t="shared" si="99"/>
        <v>#DIV/0!</v>
      </c>
    </row>
    <row r="382" spans="1:12" ht="12.75" hidden="1" customHeight="1" x14ac:dyDescent="0.25">
      <c r="A382" s="93">
        <v>5314</v>
      </c>
      <c r="B382" s="224">
        <v>472000</v>
      </c>
      <c r="C382" s="82" t="s">
        <v>343</v>
      </c>
      <c r="D382" s="100">
        <f>SUM(D387:D395)</f>
        <v>0</v>
      </c>
      <c r="E382" s="100">
        <f t="shared" si="105"/>
        <v>0</v>
      </c>
      <c r="F382" s="100">
        <f t="shared" ref="F382:K382" si="111">SUM(F387:F395)</f>
        <v>0</v>
      </c>
      <c r="G382" s="100">
        <f t="shared" si="111"/>
        <v>0</v>
      </c>
      <c r="H382" s="100">
        <f t="shared" si="111"/>
        <v>0</v>
      </c>
      <c r="I382" s="100">
        <f t="shared" si="111"/>
        <v>0</v>
      </c>
      <c r="J382" s="100">
        <f t="shared" si="111"/>
        <v>0</v>
      </c>
      <c r="K382" s="101">
        <f t="shared" si="111"/>
        <v>0</v>
      </c>
      <c r="L382" s="137" t="e">
        <f t="shared" si="99"/>
        <v>#DIV/0!</v>
      </c>
    </row>
    <row r="383" spans="1:12" ht="12.75" hidden="1" customHeight="1" x14ac:dyDescent="0.25">
      <c r="A383" s="583" t="s">
        <v>0</v>
      </c>
      <c r="B383" s="584" t="s">
        <v>1</v>
      </c>
      <c r="C383" s="585" t="s">
        <v>2</v>
      </c>
      <c r="D383" s="585" t="s">
        <v>217</v>
      </c>
      <c r="E383" s="575" t="s">
        <v>198</v>
      </c>
      <c r="F383" s="589"/>
      <c r="G383" s="589"/>
      <c r="H383" s="589"/>
      <c r="I383" s="589"/>
      <c r="J383" s="589"/>
      <c r="K383" s="592"/>
      <c r="L383" s="137" t="e">
        <f t="shared" si="99"/>
        <v>#VALUE!</v>
      </c>
    </row>
    <row r="384" spans="1:12" ht="12.75" hidden="1" customHeight="1" x14ac:dyDescent="0.25">
      <c r="A384" s="583"/>
      <c r="B384" s="584"/>
      <c r="C384" s="585"/>
      <c r="D384" s="585"/>
      <c r="E384" s="575" t="s">
        <v>199</v>
      </c>
      <c r="F384" s="575" t="s">
        <v>200</v>
      </c>
      <c r="G384" s="589"/>
      <c r="H384" s="589"/>
      <c r="I384" s="589"/>
      <c r="J384" s="575" t="s">
        <v>7</v>
      </c>
      <c r="K384" s="582" t="s">
        <v>8</v>
      </c>
      <c r="L384" s="137" t="e">
        <f t="shared" si="99"/>
        <v>#VALUE!</v>
      </c>
    </row>
    <row r="385" spans="1:12" ht="12.75" hidden="1" customHeight="1" x14ac:dyDescent="0.25">
      <c r="A385" s="583"/>
      <c r="B385" s="584"/>
      <c r="C385" s="585"/>
      <c r="D385" s="585"/>
      <c r="E385" s="589"/>
      <c r="F385" s="224" t="s">
        <v>201</v>
      </c>
      <c r="G385" s="224" t="s">
        <v>10</v>
      </c>
      <c r="H385" s="224" t="s">
        <v>11</v>
      </c>
      <c r="I385" s="224" t="s">
        <v>12</v>
      </c>
      <c r="J385" s="589"/>
      <c r="K385" s="592"/>
      <c r="L385" s="137" t="e">
        <f t="shared" si="99"/>
        <v>#DIV/0!</v>
      </c>
    </row>
    <row r="386" spans="1:12" ht="12.75" hidden="1" customHeight="1" x14ac:dyDescent="0.25">
      <c r="A386" s="95" t="s">
        <v>18</v>
      </c>
      <c r="B386" s="223" t="s">
        <v>19</v>
      </c>
      <c r="C386" s="223" t="s">
        <v>20</v>
      </c>
      <c r="D386" s="223" t="s">
        <v>21</v>
      </c>
      <c r="E386" s="223" t="s">
        <v>22</v>
      </c>
      <c r="F386" s="223" t="s">
        <v>23</v>
      </c>
      <c r="G386" s="223" t="s">
        <v>24</v>
      </c>
      <c r="H386" s="223" t="s">
        <v>25</v>
      </c>
      <c r="I386" s="223" t="s">
        <v>26</v>
      </c>
      <c r="J386" s="223" t="s">
        <v>27</v>
      </c>
      <c r="K386" s="99" t="s">
        <v>28</v>
      </c>
      <c r="L386" s="137">
        <f t="shared" si="99"/>
        <v>1.25</v>
      </c>
    </row>
    <row r="387" spans="1:12" ht="12.75" hidden="1" customHeight="1" x14ac:dyDescent="0.25">
      <c r="A387" s="94">
        <v>5315</v>
      </c>
      <c r="B387" s="229">
        <v>472100</v>
      </c>
      <c r="C387" s="84" t="s">
        <v>344</v>
      </c>
      <c r="D387" s="108"/>
      <c r="E387" s="109">
        <f t="shared" si="105"/>
        <v>0</v>
      </c>
      <c r="F387" s="108"/>
      <c r="G387" s="108"/>
      <c r="H387" s="108"/>
      <c r="I387" s="108"/>
      <c r="J387" s="108"/>
      <c r="K387" s="110"/>
      <c r="L387" s="137" t="e">
        <f t="shared" si="99"/>
        <v>#DIV/0!</v>
      </c>
    </row>
    <row r="388" spans="1:12" ht="12.75" hidden="1" customHeight="1" x14ac:dyDescent="0.25">
      <c r="A388" s="94">
        <v>5316</v>
      </c>
      <c r="B388" s="229">
        <v>472200</v>
      </c>
      <c r="C388" s="84" t="s">
        <v>345</v>
      </c>
      <c r="D388" s="108"/>
      <c r="E388" s="109">
        <f t="shared" si="105"/>
        <v>0</v>
      </c>
      <c r="F388" s="108"/>
      <c r="G388" s="108"/>
      <c r="H388" s="108"/>
      <c r="I388" s="108"/>
      <c r="J388" s="108"/>
      <c r="K388" s="110"/>
      <c r="L388" s="137" t="e">
        <f t="shared" si="99"/>
        <v>#DIV/0!</v>
      </c>
    </row>
    <row r="389" spans="1:12" ht="12.75" hidden="1" customHeight="1" x14ac:dyDescent="0.25">
      <c r="A389" s="94">
        <v>5317</v>
      </c>
      <c r="B389" s="229">
        <v>472300</v>
      </c>
      <c r="C389" s="84" t="s">
        <v>346</v>
      </c>
      <c r="D389" s="108"/>
      <c r="E389" s="109">
        <f t="shared" si="105"/>
        <v>0</v>
      </c>
      <c r="F389" s="108"/>
      <c r="G389" s="108"/>
      <c r="H389" s="108"/>
      <c r="I389" s="108"/>
      <c r="J389" s="108"/>
      <c r="K389" s="110"/>
      <c r="L389" s="137" t="e">
        <f t="shared" si="99"/>
        <v>#DIV/0!</v>
      </c>
    </row>
    <row r="390" spans="1:12" ht="12.75" hidden="1" customHeight="1" x14ac:dyDescent="0.25">
      <c r="A390" s="94">
        <v>5318</v>
      </c>
      <c r="B390" s="229">
        <v>472400</v>
      </c>
      <c r="C390" s="84" t="s">
        <v>347</v>
      </c>
      <c r="D390" s="108"/>
      <c r="E390" s="109">
        <f t="shared" si="105"/>
        <v>0</v>
      </c>
      <c r="F390" s="108"/>
      <c r="G390" s="108"/>
      <c r="H390" s="108"/>
      <c r="I390" s="108"/>
      <c r="J390" s="108"/>
      <c r="K390" s="110"/>
      <c r="L390" s="137" t="e">
        <f t="shared" si="99"/>
        <v>#DIV/0!</v>
      </c>
    </row>
    <row r="391" spans="1:12" ht="12.75" hidden="1" customHeight="1" x14ac:dyDescent="0.25">
      <c r="A391" s="94">
        <v>5319</v>
      </c>
      <c r="B391" s="229">
        <v>472500</v>
      </c>
      <c r="C391" s="84" t="s">
        <v>348</v>
      </c>
      <c r="D391" s="108"/>
      <c r="E391" s="109">
        <f t="shared" si="105"/>
        <v>0</v>
      </c>
      <c r="F391" s="108"/>
      <c r="G391" s="108"/>
      <c r="H391" s="108"/>
      <c r="I391" s="108"/>
      <c r="J391" s="108"/>
      <c r="K391" s="110"/>
      <c r="L391" s="137" t="e">
        <f t="shared" si="99"/>
        <v>#DIV/0!</v>
      </c>
    </row>
    <row r="392" spans="1:12" ht="12.75" hidden="1" customHeight="1" x14ac:dyDescent="0.25">
      <c r="A392" s="94">
        <v>5320</v>
      </c>
      <c r="B392" s="229">
        <v>472600</v>
      </c>
      <c r="C392" s="84" t="s">
        <v>349</v>
      </c>
      <c r="D392" s="108"/>
      <c r="E392" s="109">
        <f t="shared" si="105"/>
        <v>0</v>
      </c>
      <c r="F392" s="108"/>
      <c r="G392" s="108"/>
      <c r="H392" s="108"/>
      <c r="I392" s="108"/>
      <c r="J392" s="108"/>
      <c r="K392" s="110"/>
      <c r="L392" s="137" t="e">
        <f t="shared" si="99"/>
        <v>#DIV/0!</v>
      </c>
    </row>
    <row r="393" spans="1:12" ht="12.75" hidden="1" customHeight="1" x14ac:dyDescent="0.25">
      <c r="A393" s="94">
        <v>5321</v>
      </c>
      <c r="B393" s="229">
        <v>472700</v>
      </c>
      <c r="C393" s="84" t="s">
        <v>350</v>
      </c>
      <c r="D393" s="108"/>
      <c r="E393" s="109">
        <f t="shared" si="105"/>
        <v>0</v>
      </c>
      <c r="F393" s="108"/>
      <c r="G393" s="108"/>
      <c r="H393" s="108"/>
      <c r="I393" s="108"/>
      <c r="J393" s="108"/>
      <c r="K393" s="110"/>
      <c r="L393" s="137" t="e">
        <f t="shared" si="99"/>
        <v>#DIV/0!</v>
      </c>
    </row>
    <row r="394" spans="1:12" ht="12.75" hidden="1" customHeight="1" x14ac:dyDescent="0.25">
      <c r="A394" s="94">
        <v>5322</v>
      </c>
      <c r="B394" s="229">
        <v>472800</v>
      </c>
      <c r="C394" s="84" t="s">
        <v>351</v>
      </c>
      <c r="D394" s="108"/>
      <c r="E394" s="109">
        <f t="shared" si="105"/>
        <v>0</v>
      </c>
      <c r="F394" s="108"/>
      <c r="G394" s="108"/>
      <c r="H394" s="108"/>
      <c r="I394" s="108"/>
      <c r="J394" s="108"/>
      <c r="K394" s="110"/>
      <c r="L394" s="137" t="e">
        <f t="shared" si="99"/>
        <v>#DIV/0!</v>
      </c>
    </row>
    <row r="395" spans="1:12" ht="12.75" hidden="1" customHeight="1" x14ac:dyDescent="0.25">
      <c r="A395" s="94">
        <v>5323</v>
      </c>
      <c r="B395" s="229">
        <v>472900</v>
      </c>
      <c r="C395" s="84" t="s">
        <v>352</v>
      </c>
      <c r="D395" s="108"/>
      <c r="E395" s="109">
        <f t="shared" si="105"/>
        <v>0</v>
      </c>
      <c r="F395" s="108"/>
      <c r="G395" s="108"/>
      <c r="H395" s="108"/>
      <c r="I395" s="108"/>
      <c r="J395" s="108"/>
      <c r="K395" s="110"/>
      <c r="L395" s="137" t="e">
        <f t="shared" si="99"/>
        <v>#DIV/0!</v>
      </c>
    </row>
    <row r="396" spans="1:12" ht="12.75" customHeight="1" x14ac:dyDescent="0.25">
      <c r="A396" s="93">
        <v>5324</v>
      </c>
      <c r="B396" s="224">
        <v>480000</v>
      </c>
      <c r="C396" s="82" t="s">
        <v>353</v>
      </c>
      <c r="D396" s="100">
        <f>D397+D400+D404+D406+D409+D415</f>
        <v>135</v>
      </c>
      <c r="E396" s="100">
        <f t="shared" si="105"/>
        <v>130</v>
      </c>
      <c r="F396" s="100">
        <f t="shared" ref="F396:K396" si="112">F397+F400+F404+F406+F409+F415</f>
        <v>0</v>
      </c>
      <c r="G396" s="100">
        <f t="shared" si="112"/>
        <v>0</v>
      </c>
      <c r="H396" s="100">
        <f t="shared" si="112"/>
        <v>0</v>
      </c>
      <c r="I396" s="100">
        <f t="shared" si="112"/>
        <v>24</v>
      </c>
      <c r="J396" s="100">
        <f t="shared" si="112"/>
        <v>0</v>
      </c>
      <c r="K396" s="101">
        <f t="shared" si="112"/>
        <v>106</v>
      </c>
      <c r="L396" s="137">
        <f t="shared" si="99"/>
        <v>0.96296296296296291</v>
      </c>
    </row>
    <row r="397" spans="1:12" ht="12.75" customHeight="1" x14ac:dyDescent="0.25">
      <c r="A397" s="93">
        <v>5325</v>
      </c>
      <c r="B397" s="224">
        <v>481000</v>
      </c>
      <c r="C397" s="82" t="s">
        <v>354</v>
      </c>
      <c r="D397" s="100">
        <f>D398+D399</f>
        <v>35</v>
      </c>
      <c r="E397" s="100">
        <f t="shared" si="105"/>
        <v>30</v>
      </c>
      <c r="F397" s="100">
        <f t="shared" ref="F397:K397" si="113">F398+F399</f>
        <v>0</v>
      </c>
      <c r="G397" s="100">
        <f t="shared" si="113"/>
        <v>0</v>
      </c>
      <c r="H397" s="100">
        <f t="shared" si="113"/>
        <v>0</v>
      </c>
      <c r="I397" s="100">
        <f t="shared" si="113"/>
        <v>0</v>
      </c>
      <c r="J397" s="100">
        <f t="shared" si="113"/>
        <v>0</v>
      </c>
      <c r="K397" s="101">
        <f t="shared" si="113"/>
        <v>30</v>
      </c>
      <c r="L397" s="137">
        <f t="shared" si="99"/>
        <v>0.8571428571428571</v>
      </c>
    </row>
    <row r="398" spans="1:12" ht="12.75" hidden="1" customHeight="1" x14ac:dyDescent="0.25">
      <c r="A398" s="94">
        <v>5326</v>
      </c>
      <c r="B398" s="229">
        <v>481100</v>
      </c>
      <c r="C398" s="84" t="s">
        <v>355</v>
      </c>
      <c r="D398" s="108"/>
      <c r="E398" s="109">
        <f t="shared" si="105"/>
        <v>0</v>
      </c>
      <c r="F398" s="108"/>
      <c r="G398" s="108"/>
      <c r="H398" s="108"/>
      <c r="I398" s="108"/>
      <c r="J398" s="108"/>
      <c r="K398" s="110"/>
      <c r="L398" s="137" t="e">
        <f t="shared" si="99"/>
        <v>#DIV/0!</v>
      </c>
    </row>
    <row r="399" spans="1:12" ht="12.75" customHeight="1" x14ac:dyDescent="0.25">
      <c r="A399" s="94">
        <v>5327</v>
      </c>
      <c r="B399" s="229">
        <v>481900</v>
      </c>
      <c r="C399" s="84" t="s">
        <v>356</v>
      </c>
      <c r="D399" s="108">
        <v>35</v>
      </c>
      <c r="E399" s="109">
        <f t="shared" si="105"/>
        <v>30</v>
      </c>
      <c r="F399" s="108"/>
      <c r="G399" s="108"/>
      <c r="H399" s="108"/>
      <c r="I399" s="108"/>
      <c r="J399" s="108"/>
      <c r="K399" s="110">
        <v>30</v>
      </c>
      <c r="L399" s="137">
        <f t="shared" si="99"/>
        <v>0.8571428571428571</v>
      </c>
    </row>
    <row r="400" spans="1:12" ht="12.75" customHeight="1" x14ac:dyDescent="0.25">
      <c r="A400" s="93">
        <v>5328</v>
      </c>
      <c r="B400" s="224">
        <v>482000</v>
      </c>
      <c r="C400" s="82" t="s">
        <v>357</v>
      </c>
      <c r="D400" s="100">
        <f>SUM(D401:D403)</f>
        <v>50</v>
      </c>
      <c r="E400" s="100">
        <f t="shared" si="105"/>
        <v>53</v>
      </c>
      <c r="F400" s="100">
        <f t="shared" ref="F400:K400" si="114">SUM(F401:F403)</f>
        <v>0</v>
      </c>
      <c r="G400" s="100">
        <f t="shared" si="114"/>
        <v>0</v>
      </c>
      <c r="H400" s="100">
        <f t="shared" si="114"/>
        <v>0</v>
      </c>
      <c r="I400" s="100">
        <f t="shared" si="114"/>
        <v>24</v>
      </c>
      <c r="J400" s="100">
        <f t="shared" si="114"/>
        <v>0</v>
      </c>
      <c r="K400" s="101">
        <f t="shared" si="114"/>
        <v>29</v>
      </c>
      <c r="L400" s="137">
        <f t="shared" si="99"/>
        <v>1.06</v>
      </c>
    </row>
    <row r="401" spans="1:12" ht="12.75" customHeight="1" x14ac:dyDescent="0.25">
      <c r="A401" s="94">
        <v>5329</v>
      </c>
      <c r="B401" s="229">
        <v>482100</v>
      </c>
      <c r="C401" s="84" t="s">
        <v>358</v>
      </c>
      <c r="D401" s="231">
        <v>20</v>
      </c>
      <c r="E401" s="109">
        <f t="shared" si="105"/>
        <v>46</v>
      </c>
      <c r="F401" s="108"/>
      <c r="G401" s="108"/>
      <c r="H401" s="108"/>
      <c r="I401" s="108">
        <v>24</v>
      </c>
      <c r="J401" s="108"/>
      <c r="K401" s="110">
        <v>22</v>
      </c>
      <c r="L401" s="230">
        <f t="shared" si="99"/>
        <v>2.2999999999999998</v>
      </c>
    </row>
    <row r="402" spans="1:12" ht="12.75" customHeight="1" x14ac:dyDescent="0.25">
      <c r="A402" s="94">
        <v>5330</v>
      </c>
      <c r="B402" s="229">
        <v>482200</v>
      </c>
      <c r="C402" s="84" t="s">
        <v>359</v>
      </c>
      <c r="D402" s="108">
        <v>20</v>
      </c>
      <c r="E402" s="109">
        <f t="shared" si="105"/>
        <v>4</v>
      </c>
      <c r="F402" s="108"/>
      <c r="G402" s="108"/>
      <c r="H402" s="108"/>
      <c r="I402" s="108"/>
      <c r="J402" s="108"/>
      <c r="K402" s="110">
        <v>4</v>
      </c>
      <c r="L402" s="137">
        <f t="shared" si="99"/>
        <v>0.2</v>
      </c>
    </row>
    <row r="403" spans="1:12" ht="12.75" customHeight="1" x14ac:dyDescent="0.25">
      <c r="A403" s="94">
        <v>5331</v>
      </c>
      <c r="B403" s="229">
        <v>482300</v>
      </c>
      <c r="C403" s="84" t="s">
        <v>360</v>
      </c>
      <c r="D403" s="108">
        <f>40-30</f>
        <v>10</v>
      </c>
      <c r="E403" s="109">
        <f t="shared" si="105"/>
        <v>3</v>
      </c>
      <c r="F403" s="108"/>
      <c r="G403" s="108"/>
      <c r="H403" s="108"/>
      <c r="I403" s="108"/>
      <c r="J403" s="108"/>
      <c r="K403" s="110">
        <v>3</v>
      </c>
      <c r="L403" s="137">
        <f t="shared" si="99"/>
        <v>0.3</v>
      </c>
    </row>
    <row r="404" spans="1:12" ht="12.75" customHeight="1" x14ac:dyDescent="0.25">
      <c r="A404" s="93">
        <v>5332</v>
      </c>
      <c r="B404" s="224">
        <v>483000</v>
      </c>
      <c r="C404" s="82" t="s">
        <v>361</v>
      </c>
      <c r="D404" s="100">
        <f>D405</f>
        <v>50</v>
      </c>
      <c r="E404" s="100">
        <f t="shared" si="105"/>
        <v>47</v>
      </c>
      <c r="F404" s="100">
        <f t="shared" ref="F404:K404" si="115">F405</f>
        <v>0</v>
      </c>
      <c r="G404" s="100">
        <f t="shared" si="115"/>
        <v>0</v>
      </c>
      <c r="H404" s="100">
        <f t="shared" si="115"/>
        <v>0</v>
      </c>
      <c r="I404" s="100">
        <f t="shared" si="115"/>
        <v>0</v>
      </c>
      <c r="J404" s="100">
        <f t="shared" si="115"/>
        <v>0</v>
      </c>
      <c r="K404" s="101">
        <f t="shared" si="115"/>
        <v>47</v>
      </c>
      <c r="L404" s="137">
        <f t="shared" si="99"/>
        <v>0.94</v>
      </c>
    </row>
    <row r="405" spans="1:12" ht="12.75" customHeight="1" x14ac:dyDescent="0.25">
      <c r="A405" s="94">
        <v>5333</v>
      </c>
      <c r="B405" s="229">
        <v>483100</v>
      </c>
      <c r="C405" s="84" t="s">
        <v>362</v>
      </c>
      <c r="D405" s="108">
        <f>20+30</f>
        <v>50</v>
      </c>
      <c r="E405" s="109">
        <f t="shared" si="105"/>
        <v>47</v>
      </c>
      <c r="F405" s="108"/>
      <c r="G405" s="108"/>
      <c r="H405" s="108"/>
      <c r="I405" s="108"/>
      <c r="J405" s="108"/>
      <c r="K405" s="110">
        <v>47</v>
      </c>
      <c r="L405" s="137">
        <f t="shared" si="99"/>
        <v>0.94</v>
      </c>
    </row>
    <row r="406" spans="1:12" ht="12.75" hidden="1" customHeight="1" x14ac:dyDescent="0.25">
      <c r="A406" s="93">
        <v>5334</v>
      </c>
      <c r="B406" s="224">
        <v>484000</v>
      </c>
      <c r="C406" s="82" t="s">
        <v>363</v>
      </c>
      <c r="D406" s="100">
        <f>D407+D408</f>
        <v>0</v>
      </c>
      <c r="E406" s="100">
        <f t="shared" si="105"/>
        <v>0</v>
      </c>
      <c r="F406" s="100">
        <f t="shared" ref="F406:K406" si="116">F407+F408</f>
        <v>0</v>
      </c>
      <c r="G406" s="100">
        <f t="shared" si="116"/>
        <v>0</v>
      </c>
      <c r="H406" s="100">
        <f t="shared" si="116"/>
        <v>0</v>
      </c>
      <c r="I406" s="100">
        <f t="shared" si="116"/>
        <v>0</v>
      </c>
      <c r="J406" s="100">
        <f t="shared" si="116"/>
        <v>0</v>
      </c>
      <c r="K406" s="101">
        <f t="shared" si="116"/>
        <v>0</v>
      </c>
      <c r="L406" s="137" t="e">
        <f t="shared" si="99"/>
        <v>#DIV/0!</v>
      </c>
    </row>
    <row r="407" spans="1:12" ht="12.75" hidden="1" customHeight="1" x14ac:dyDescent="0.25">
      <c r="A407" s="94">
        <v>5335</v>
      </c>
      <c r="B407" s="229">
        <v>484100</v>
      </c>
      <c r="C407" s="84" t="s">
        <v>364</v>
      </c>
      <c r="D407" s="108"/>
      <c r="E407" s="109">
        <f t="shared" si="105"/>
        <v>0</v>
      </c>
      <c r="F407" s="108"/>
      <c r="G407" s="108"/>
      <c r="H407" s="108"/>
      <c r="I407" s="108"/>
      <c r="J407" s="108"/>
      <c r="K407" s="110"/>
      <c r="L407" s="137" t="e">
        <f t="shared" si="99"/>
        <v>#DIV/0!</v>
      </c>
    </row>
    <row r="408" spans="1:12" ht="12.75" hidden="1" customHeight="1" x14ac:dyDescent="0.25">
      <c r="A408" s="94">
        <v>5336</v>
      </c>
      <c r="B408" s="229">
        <v>484200</v>
      </c>
      <c r="C408" s="84" t="s">
        <v>365</v>
      </c>
      <c r="D408" s="108"/>
      <c r="E408" s="109">
        <f t="shared" si="105"/>
        <v>0</v>
      </c>
      <c r="F408" s="108"/>
      <c r="G408" s="108"/>
      <c r="H408" s="108"/>
      <c r="I408" s="108"/>
      <c r="J408" s="108"/>
      <c r="K408" s="110"/>
      <c r="L408" s="137" t="e">
        <f t="shared" si="99"/>
        <v>#DIV/0!</v>
      </c>
    </row>
    <row r="409" spans="1:12" ht="12.75" hidden="1" customHeight="1" x14ac:dyDescent="0.25">
      <c r="A409" s="93">
        <v>5337</v>
      </c>
      <c r="B409" s="224">
        <v>485000</v>
      </c>
      <c r="C409" s="82" t="s">
        <v>366</v>
      </c>
      <c r="D409" s="100">
        <f>D410</f>
        <v>0</v>
      </c>
      <c r="E409" s="100">
        <f t="shared" si="105"/>
        <v>0</v>
      </c>
      <c r="F409" s="100">
        <f t="shared" ref="F409:K409" si="117">F410</f>
        <v>0</v>
      </c>
      <c r="G409" s="100">
        <f t="shared" si="117"/>
        <v>0</v>
      </c>
      <c r="H409" s="100">
        <f t="shared" si="117"/>
        <v>0</v>
      </c>
      <c r="I409" s="100">
        <f t="shared" si="117"/>
        <v>0</v>
      </c>
      <c r="J409" s="100">
        <f t="shared" si="117"/>
        <v>0</v>
      </c>
      <c r="K409" s="101">
        <f t="shared" si="117"/>
        <v>0</v>
      </c>
      <c r="L409" s="137" t="e">
        <f t="shared" si="99"/>
        <v>#DIV/0!</v>
      </c>
    </row>
    <row r="410" spans="1:12" ht="12.75" hidden="1" customHeight="1" x14ac:dyDescent="0.25">
      <c r="A410" s="94">
        <v>5338</v>
      </c>
      <c r="B410" s="229">
        <v>485100</v>
      </c>
      <c r="C410" s="84" t="s">
        <v>367</v>
      </c>
      <c r="D410" s="108"/>
      <c r="E410" s="109">
        <f t="shared" si="105"/>
        <v>0</v>
      </c>
      <c r="F410" s="108"/>
      <c r="G410" s="108"/>
      <c r="H410" s="108"/>
      <c r="I410" s="108"/>
      <c r="J410" s="108"/>
      <c r="K410" s="110"/>
      <c r="L410" s="137" t="e">
        <f t="shared" si="99"/>
        <v>#DIV/0!</v>
      </c>
    </row>
    <row r="411" spans="1:12" ht="12.75" hidden="1" customHeight="1" x14ac:dyDescent="0.25">
      <c r="A411" s="583" t="s">
        <v>0</v>
      </c>
      <c r="B411" s="584" t="s">
        <v>1</v>
      </c>
      <c r="C411" s="585" t="s">
        <v>2</v>
      </c>
      <c r="D411" s="585" t="s">
        <v>217</v>
      </c>
      <c r="E411" s="575" t="s">
        <v>198</v>
      </c>
      <c r="F411" s="589"/>
      <c r="G411" s="589"/>
      <c r="H411" s="589"/>
      <c r="I411" s="589"/>
      <c r="J411" s="589"/>
      <c r="K411" s="592"/>
      <c r="L411" s="137" t="e">
        <f t="shared" si="99"/>
        <v>#VALUE!</v>
      </c>
    </row>
    <row r="412" spans="1:12" ht="12.75" hidden="1" customHeight="1" x14ac:dyDescent="0.25">
      <c r="A412" s="583"/>
      <c r="B412" s="584"/>
      <c r="C412" s="585"/>
      <c r="D412" s="585"/>
      <c r="E412" s="575" t="s">
        <v>199</v>
      </c>
      <c r="F412" s="575" t="s">
        <v>200</v>
      </c>
      <c r="G412" s="589"/>
      <c r="H412" s="589"/>
      <c r="I412" s="589"/>
      <c r="J412" s="575" t="s">
        <v>7</v>
      </c>
      <c r="K412" s="582" t="s">
        <v>8</v>
      </c>
      <c r="L412" s="137" t="e">
        <f t="shared" ref="L412:L476" si="118">E412/D412</f>
        <v>#VALUE!</v>
      </c>
    </row>
    <row r="413" spans="1:12" ht="12.75" hidden="1" customHeight="1" x14ac:dyDescent="0.25">
      <c r="A413" s="583"/>
      <c r="B413" s="584"/>
      <c r="C413" s="585"/>
      <c r="D413" s="585"/>
      <c r="E413" s="589"/>
      <c r="F413" s="224" t="s">
        <v>201</v>
      </c>
      <c r="G413" s="224" t="s">
        <v>10</v>
      </c>
      <c r="H413" s="224" t="s">
        <v>11</v>
      </c>
      <c r="I413" s="224" t="s">
        <v>12</v>
      </c>
      <c r="J413" s="589"/>
      <c r="K413" s="592"/>
      <c r="L413" s="137" t="e">
        <f t="shared" si="118"/>
        <v>#DIV/0!</v>
      </c>
    </row>
    <row r="414" spans="1:12" ht="12.75" hidden="1" customHeight="1" x14ac:dyDescent="0.25">
      <c r="A414" s="95" t="s">
        <v>18</v>
      </c>
      <c r="B414" s="223" t="s">
        <v>19</v>
      </c>
      <c r="C414" s="223" t="s">
        <v>20</v>
      </c>
      <c r="D414" s="223" t="s">
        <v>21</v>
      </c>
      <c r="E414" s="223" t="s">
        <v>22</v>
      </c>
      <c r="F414" s="223" t="s">
        <v>23</v>
      </c>
      <c r="G414" s="223" t="s">
        <v>24</v>
      </c>
      <c r="H414" s="223" t="s">
        <v>25</v>
      </c>
      <c r="I414" s="223" t="s">
        <v>26</v>
      </c>
      <c r="J414" s="223" t="s">
        <v>27</v>
      </c>
      <c r="K414" s="99" t="s">
        <v>28</v>
      </c>
      <c r="L414" s="137">
        <f t="shared" si="118"/>
        <v>1.25</v>
      </c>
    </row>
    <row r="415" spans="1:12" ht="12.75" hidden="1" customHeight="1" x14ac:dyDescent="0.25">
      <c r="A415" s="93">
        <v>5339</v>
      </c>
      <c r="B415" s="224">
        <v>489000</v>
      </c>
      <c r="C415" s="82" t="s">
        <v>368</v>
      </c>
      <c r="D415" s="100">
        <f>D416</f>
        <v>0</v>
      </c>
      <c r="E415" s="100">
        <f t="shared" si="105"/>
        <v>0</v>
      </c>
      <c r="F415" s="100">
        <f t="shared" ref="F415:K415" si="119">F416</f>
        <v>0</v>
      </c>
      <c r="G415" s="100">
        <f t="shared" si="119"/>
        <v>0</v>
      </c>
      <c r="H415" s="100">
        <f t="shared" si="119"/>
        <v>0</v>
      </c>
      <c r="I415" s="100">
        <f t="shared" si="119"/>
        <v>0</v>
      </c>
      <c r="J415" s="100">
        <f t="shared" si="119"/>
        <v>0</v>
      </c>
      <c r="K415" s="101">
        <f t="shared" si="119"/>
        <v>0</v>
      </c>
      <c r="L415" s="137" t="e">
        <f t="shared" si="118"/>
        <v>#DIV/0!</v>
      </c>
    </row>
    <row r="416" spans="1:12" ht="12.75" hidden="1" customHeight="1" x14ac:dyDescent="0.25">
      <c r="A416" s="94">
        <v>5340</v>
      </c>
      <c r="B416" s="229">
        <v>489100</v>
      </c>
      <c r="C416" s="84" t="s">
        <v>369</v>
      </c>
      <c r="D416" s="108"/>
      <c r="E416" s="109">
        <f t="shared" si="105"/>
        <v>0</v>
      </c>
      <c r="F416" s="108"/>
      <c r="G416" s="108"/>
      <c r="H416" s="108"/>
      <c r="I416" s="108"/>
      <c r="J416" s="108"/>
      <c r="K416" s="110"/>
      <c r="L416" s="137" t="e">
        <f t="shared" si="118"/>
        <v>#DIV/0!</v>
      </c>
    </row>
    <row r="417" spans="1:12" ht="12.75" customHeight="1" x14ac:dyDescent="0.25">
      <c r="A417" s="93">
        <v>5341</v>
      </c>
      <c r="B417" s="224">
        <v>500000</v>
      </c>
      <c r="C417" s="82" t="s">
        <v>370</v>
      </c>
      <c r="D417" s="100">
        <f>D418+D441+D454+D457+D465</f>
        <v>27623</v>
      </c>
      <c r="E417" s="100">
        <f t="shared" si="105"/>
        <v>13482</v>
      </c>
      <c r="F417" s="100">
        <f t="shared" ref="F417:K417" si="120">F418+F441+F454+F457+F465</f>
        <v>9820</v>
      </c>
      <c r="G417" s="100">
        <f t="shared" si="120"/>
        <v>0</v>
      </c>
      <c r="H417" s="100">
        <f t="shared" si="120"/>
        <v>0</v>
      </c>
      <c r="I417" s="100">
        <f t="shared" si="120"/>
        <v>0</v>
      </c>
      <c r="J417" s="100">
        <f t="shared" si="120"/>
        <v>0</v>
      </c>
      <c r="K417" s="101">
        <f t="shared" si="120"/>
        <v>3662</v>
      </c>
      <c r="L417" s="137">
        <f t="shared" si="118"/>
        <v>0.4880715345907396</v>
      </c>
    </row>
    <row r="418" spans="1:12" ht="12.75" customHeight="1" x14ac:dyDescent="0.25">
      <c r="A418" s="93">
        <v>5342</v>
      </c>
      <c r="B418" s="224">
        <v>510000</v>
      </c>
      <c r="C418" s="82" t="s">
        <v>371</v>
      </c>
      <c r="D418" s="100">
        <f>D419+D424+D435+D437+D439</f>
        <v>27623</v>
      </c>
      <c r="E418" s="100">
        <f t="shared" si="105"/>
        <v>13482</v>
      </c>
      <c r="F418" s="100">
        <f t="shared" ref="F418:K418" si="121">F419+F424+F435+F437+F439</f>
        <v>9820</v>
      </c>
      <c r="G418" s="100">
        <f t="shared" si="121"/>
        <v>0</v>
      </c>
      <c r="H418" s="100">
        <f t="shared" si="121"/>
        <v>0</v>
      </c>
      <c r="I418" s="100">
        <f t="shared" si="121"/>
        <v>0</v>
      </c>
      <c r="J418" s="100">
        <f t="shared" si="121"/>
        <v>0</v>
      </c>
      <c r="K418" s="101">
        <f t="shared" si="121"/>
        <v>3662</v>
      </c>
      <c r="L418" s="137">
        <f t="shared" si="118"/>
        <v>0.4880715345907396</v>
      </c>
    </row>
    <row r="419" spans="1:12" ht="12.75" customHeight="1" x14ac:dyDescent="0.25">
      <c r="A419" s="93">
        <v>5343</v>
      </c>
      <c r="B419" s="224">
        <v>511000</v>
      </c>
      <c r="C419" s="82" t="s">
        <v>372</v>
      </c>
      <c r="D419" s="100">
        <f>SUM(D420:D423)</f>
        <v>2124</v>
      </c>
      <c r="E419" s="100">
        <f t="shared" si="105"/>
        <v>0</v>
      </c>
      <c r="F419" s="100">
        <f t="shared" ref="F419:K419" si="122">SUM(F420:F423)</f>
        <v>0</v>
      </c>
      <c r="G419" s="100">
        <f t="shared" si="122"/>
        <v>0</v>
      </c>
      <c r="H419" s="100">
        <f t="shared" si="122"/>
        <v>0</v>
      </c>
      <c r="I419" s="100">
        <f t="shared" si="122"/>
        <v>0</v>
      </c>
      <c r="J419" s="100">
        <f t="shared" si="122"/>
        <v>0</v>
      </c>
      <c r="K419" s="101">
        <f t="shared" si="122"/>
        <v>0</v>
      </c>
      <c r="L419" s="137">
        <f t="shared" si="118"/>
        <v>0</v>
      </c>
    </row>
    <row r="420" spans="1:12" ht="12.75" hidden="1" customHeight="1" x14ac:dyDescent="0.25">
      <c r="A420" s="94">
        <v>5344</v>
      </c>
      <c r="B420" s="229">
        <v>511100</v>
      </c>
      <c r="C420" s="84" t="s">
        <v>373</v>
      </c>
      <c r="D420" s="108"/>
      <c r="E420" s="109">
        <f t="shared" si="105"/>
        <v>0</v>
      </c>
      <c r="F420" s="108"/>
      <c r="G420" s="108"/>
      <c r="H420" s="108"/>
      <c r="I420" s="108"/>
      <c r="J420" s="108"/>
      <c r="K420" s="110"/>
      <c r="L420" s="137" t="e">
        <f t="shared" si="118"/>
        <v>#DIV/0!</v>
      </c>
    </row>
    <row r="421" spans="1:12" ht="12.75" hidden="1" customHeight="1" x14ac:dyDescent="0.25">
      <c r="A421" s="94">
        <v>5345</v>
      </c>
      <c r="B421" s="229">
        <v>511200</v>
      </c>
      <c r="C421" s="84" t="s">
        <v>374</v>
      </c>
      <c r="D421" s="108"/>
      <c r="E421" s="109">
        <f t="shared" si="105"/>
        <v>0</v>
      </c>
      <c r="F421" s="108"/>
      <c r="G421" s="108"/>
      <c r="H421" s="108"/>
      <c r="I421" s="108"/>
      <c r="J421" s="108"/>
      <c r="K421" s="110"/>
      <c r="L421" s="137" t="e">
        <f t="shared" si="118"/>
        <v>#DIV/0!</v>
      </c>
    </row>
    <row r="422" spans="1:12" ht="12.75" customHeight="1" x14ac:dyDescent="0.25">
      <c r="A422" s="94">
        <v>5346</v>
      </c>
      <c r="B422" s="229">
        <v>511300</v>
      </c>
      <c r="C422" s="84" t="s">
        <v>375</v>
      </c>
      <c r="D422" s="108">
        <v>2124</v>
      </c>
      <c r="E422" s="109">
        <f t="shared" si="105"/>
        <v>0</v>
      </c>
      <c r="F422" s="108"/>
      <c r="G422" s="108"/>
      <c r="H422" s="108"/>
      <c r="I422" s="108"/>
      <c r="J422" s="108"/>
      <c r="K422" s="110"/>
      <c r="L422" s="137">
        <f t="shared" si="118"/>
        <v>0</v>
      </c>
    </row>
    <row r="423" spans="1:12" ht="12.75" hidden="1" customHeight="1" x14ac:dyDescent="0.25">
      <c r="A423" s="94">
        <v>5347</v>
      </c>
      <c r="B423" s="229">
        <v>511400</v>
      </c>
      <c r="C423" s="84" t="s">
        <v>376</v>
      </c>
      <c r="D423" s="108"/>
      <c r="E423" s="109">
        <f t="shared" si="105"/>
        <v>0</v>
      </c>
      <c r="F423" s="108"/>
      <c r="G423" s="108"/>
      <c r="H423" s="108"/>
      <c r="I423" s="108"/>
      <c r="J423" s="108"/>
      <c r="K423" s="110"/>
      <c r="L423" s="137" t="e">
        <f t="shared" si="118"/>
        <v>#DIV/0!</v>
      </c>
    </row>
    <row r="424" spans="1:12" ht="12.75" customHeight="1" x14ac:dyDescent="0.25">
      <c r="A424" s="93">
        <v>5348</v>
      </c>
      <c r="B424" s="224">
        <v>512000</v>
      </c>
      <c r="C424" s="82" t="s">
        <v>377</v>
      </c>
      <c r="D424" s="100">
        <f>SUM(D425:D434)</f>
        <v>25399</v>
      </c>
      <c r="E424" s="100">
        <f t="shared" si="105"/>
        <v>13482</v>
      </c>
      <c r="F424" s="100">
        <f t="shared" ref="F424:K424" si="123">SUM(F425:F434)</f>
        <v>9820</v>
      </c>
      <c r="G424" s="100">
        <f t="shared" si="123"/>
        <v>0</v>
      </c>
      <c r="H424" s="100">
        <f t="shared" si="123"/>
        <v>0</v>
      </c>
      <c r="I424" s="100">
        <f t="shared" si="123"/>
        <v>0</v>
      </c>
      <c r="J424" s="100">
        <f t="shared" si="123"/>
        <v>0</v>
      </c>
      <c r="K424" s="101">
        <f t="shared" si="123"/>
        <v>3662</v>
      </c>
      <c r="L424" s="137">
        <f t="shared" si="118"/>
        <v>0.53080829953935194</v>
      </c>
    </row>
    <row r="425" spans="1:12" ht="12.75" hidden="1" customHeight="1" x14ac:dyDescent="0.25">
      <c r="A425" s="94">
        <v>5349</v>
      </c>
      <c r="B425" s="229">
        <v>512100</v>
      </c>
      <c r="C425" s="84" t="s">
        <v>378</v>
      </c>
      <c r="D425" s="108"/>
      <c r="E425" s="100">
        <f t="shared" si="105"/>
        <v>0</v>
      </c>
      <c r="F425" s="108"/>
      <c r="G425" s="108"/>
      <c r="H425" s="108"/>
      <c r="I425" s="108"/>
      <c r="J425" s="108"/>
      <c r="K425" s="110"/>
      <c r="L425" s="137" t="e">
        <f t="shared" si="118"/>
        <v>#DIV/0!</v>
      </c>
    </row>
    <row r="426" spans="1:12" ht="12.75" customHeight="1" x14ac:dyDescent="0.25">
      <c r="A426" s="94">
        <v>5349</v>
      </c>
      <c r="B426" s="229">
        <v>512100</v>
      </c>
      <c r="C426" s="84" t="s">
        <v>378</v>
      </c>
      <c r="D426" s="231">
        <v>3848</v>
      </c>
      <c r="E426" s="234">
        <f t="shared" si="105"/>
        <v>3568</v>
      </c>
      <c r="F426" s="108"/>
      <c r="G426" s="108"/>
      <c r="H426" s="108"/>
      <c r="I426" s="108"/>
      <c r="J426" s="108"/>
      <c r="K426" s="110">
        <v>3568</v>
      </c>
      <c r="L426" s="137">
        <f t="shared" si="118"/>
        <v>0.92723492723492729</v>
      </c>
    </row>
    <row r="427" spans="1:12" ht="12.75" customHeight="1" x14ac:dyDescent="0.25">
      <c r="A427" s="94">
        <v>5350</v>
      </c>
      <c r="B427" s="229">
        <v>512200</v>
      </c>
      <c r="C427" s="84" t="s">
        <v>379</v>
      </c>
      <c r="D427" s="108">
        <v>1376</v>
      </c>
      <c r="E427" s="109">
        <f t="shared" si="105"/>
        <v>94</v>
      </c>
      <c r="F427" s="108"/>
      <c r="G427" s="108"/>
      <c r="H427" s="108"/>
      <c r="I427" s="108"/>
      <c r="J427" s="108"/>
      <c r="K427" s="110">
        <v>94</v>
      </c>
      <c r="L427" s="137">
        <f t="shared" si="118"/>
        <v>6.8313953488372089E-2</v>
      </c>
    </row>
    <row r="428" spans="1:12" ht="12.75" hidden="1" customHeight="1" x14ac:dyDescent="0.25">
      <c r="A428" s="94">
        <v>5351</v>
      </c>
      <c r="B428" s="229">
        <v>512300</v>
      </c>
      <c r="C428" s="84" t="s">
        <v>380</v>
      </c>
      <c r="D428" s="108"/>
      <c r="E428" s="109">
        <f t="shared" si="105"/>
        <v>0</v>
      </c>
      <c r="F428" s="108"/>
      <c r="G428" s="108"/>
      <c r="H428" s="108"/>
      <c r="I428" s="108"/>
      <c r="J428" s="108"/>
      <c r="K428" s="110"/>
      <c r="L428" s="137" t="e">
        <f t="shared" si="118"/>
        <v>#DIV/0!</v>
      </c>
    </row>
    <row r="429" spans="1:12" ht="12.75" hidden="1" customHeight="1" x14ac:dyDescent="0.25">
      <c r="A429" s="94">
        <v>5352</v>
      </c>
      <c r="B429" s="229">
        <v>512400</v>
      </c>
      <c r="C429" s="84" t="s">
        <v>381</v>
      </c>
      <c r="D429" s="108"/>
      <c r="E429" s="109">
        <f t="shared" si="105"/>
        <v>0</v>
      </c>
      <c r="F429" s="108"/>
      <c r="G429" s="108"/>
      <c r="H429" s="108"/>
      <c r="I429" s="108"/>
      <c r="J429" s="108"/>
      <c r="K429" s="110"/>
      <c r="L429" s="137" t="e">
        <f t="shared" si="118"/>
        <v>#DIV/0!</v>
      </c>
    </row>
    <row r="430" spans="1:12" ht="12.75" customHeight="1" x14ac:dyDescent="0.25">
      <c r="A430" s="94">
        <v>5353</v>
      </c>
      <c r="B430" s="229">
        <v>512500</v>
      </c>
      <c r="C430" s="84" t="s">
        <v>382</v>
      </c>
      <c r="D430" s="108">
        <f>18157+2018</f>
        <v>20175</v>
      </c>
      <c r="E430" s="109">
        <f t="shared" si="105"/>
        <v>9820</v>
      </c>
      <c r="F430" s="108">
        <v>9820</v>
      </c>
      <c r="G430" s="108"/>
      <c r="H430" s="108"/>
      <c r="I430" s="108"/>
      <c r="J430" s="108"/>
      <c r="K430" s="110"/>
      <c r="L430" s="137">
        <f t="shared" si="118"/>
        <v>0.48674101610904585</v>
      </c>
    </row>
    <row r="431" spans="1:12" ht="12.75" hidden="1" customHeight="1" x14ac:dyDescent="0.25">
      <c r="A431" s="94">
        <v>5354</v>
      </c>
      <c r="B431" s="229">
        <v>512600</v>
      </c>
      <c r="C431" s="84" t="s">
        <v>383</v>
      </c>
      <c r="D431" s="108"/>
      <c r="E431" s="109">
        <f t="shared" si="105"/>
        <v>0</v>
      </c>
      <c r="F431" s="108"/>
      <c r="G431" s="108"/>
      <c r="H431" s="108"/>
      <c r="I431" s="108"/>
      <c r="J431" s="108"/>
      <c r="K431" s="110"/>
      <c r="L431" s="137" t="e">
        <f t="shared" si="118"/>
        <v>#DIV/0!</v>
      </c>
    </row>
    <row r="432" spans="1:12" ht="12.75" hidden="1" customHeight="1" x14ac:dyDescent="0.25">
      <c r="A432" s="94">
        <v>5355</v>
      </c>
      <c r="B432" s="229">
        <v>512700</v>
      </c>
      <c r="C432" s="84" t="s">
        <v>384</v>
      </c>
      <c r="D432" s="108"/>
      <c r="E432" s="109">
        <f t="shared" si="105"/>
        <v>0</v>
      </c>
      <c r="F432" s="108"/>
      <c r="G432" s="108"/>
      <c r="H432" s="108"/>
      <c r="I432" s="108"/>
      <c r="J432" s="108"/>
      <c r="K432" s="110"/>
      <c r="L432" s="137" t="e">
        <f t="shared" si="118"/>
        <v>#DIV/0!</v>
      </c>
    </row>
    <row r="433" spans="1:12" ht="12.75" hidden="1" customHeight="1" x14ac:dyDescent="0.25">
      <c r="A433" s="94">
        <v>5356</v>
      </c>
      <c r="B433" s="229">
        <v>512800</v>
      </c>
      <c r="C433" s="84" t="s">
        <v>385</v>
      </c>
      <c r="D433" s="108"/>
      <c r="E433" s="109">
        <f t="shared" si="105"/>
        <v>0</v>
      </c>
      <c r="F433" s="108"/>
      <c r="G433" s="108"/>
      <c r="H433" s="108"/>
      <c r="I433" s="108"/>
      <c r="J433" s="108"/>
      <c r="K433" s="110"/>
      <c r="L433" s="137" t="e">
        <f t="shared" si="118"/>
        <v>#DIV/0!</v>
      </c>
    </row>
    <row r="434" spans="1:12" ht="12.75" hidden="1" customHeight="1" x14ac:dyDescent="0.25">
      <c r="A434" s="94">
        <v>5357</v>
      </c>
      <c r="B434" s="229">
        <v>512900</v>
      </c>
      <c r="C434" s="84" t="s">
        <v>386</v>
      </c>
      <c r="D434" s="108"/>
      <c r="E434" s="109">
        <f t="shared" si="105"/>
        <v>0</v>
      </c>
      <c r="F434" s="108"/>
      <c r="G434" s="108"/>
      <c r="H434" s="108"/>
      <c r="I434" s="108"/>
      <c r="J434" s="108"/>
      <c r="K434" s="110"/>
      <c r="L434" s="137" t="e">
        <f t="shared" si="118"/>
        <v>#DIV/0!</v>
      </c>
    </row>
    <row r="435" spans="1:12" ht="12.75" hidden="1" customHeight="1" x14ac:dyDescent="0.25">
      <c r="A435" s="93">
        <v>5358</v>
      </c>
      <c r="B435" s="224">
        <v>513000</v>
      </c>
      <c r="C435" s="82" t="s">
        <v>387</v>
      </c>
      <c r="D435" s="100">
        <f>D436</f>
        <v>0</v>
      </c>
      <c r="E435" s="100">
        <f t="shared" si="105"/>
        <v>0</v>
      </c>
      <c r="F435" s="100">
        <f t="shared" ref="F435:K435" si="124">F436</f>
        <v>0</v>
      </c>
      <c r="G435" s="100">
        <f t="shared" si="124"/>
        <v>0</v>
      </c>
      <c r="H435" s="100">
        <f t="shared" si="124"/>
        <v>0</v>
      </c>
      <c r="I435" s="100">
        <f t="shared" si="124"/>
        <v>0</v>
      </c>
      <c r="J435" s="100">
        <f t="shared" si="124"/>
        <v>0</v>
      </c>
      <c r="K435" s="101">
        <f t="shared" si="124"/>
        <v>0</v>
      </c>
      <c r="L435" s="137" t="e">
        <f t="shared" si="118"/>
        <v>#DIV/0!</v>
      </c>
    </row>
    <row r="436" spans="1:12" ht="12.75" hidden="1" customHeight="1" x14ac:dyDescent="0.25">
      <c r="A436" s="94">
        <v>5359</v>
      </c>
      <c r="B436" s="229">
        <v>513100</v>
      </c>
      <c r="C436" s="84" t="s">
        <v>388</v>
      </c>
      <c r="D436" s="108"/>
      <c r="E436" s="109">
        <f t="shared" si="105"/>
        <v>0</v>
      </c>
      <c r="F436" s="108"/>
      <c r="G436" s="108"/>
      <c r="H436" s="108"/>
      <c r="I436" s="108"/>
      <c r="J436" s="108"/>
      <c r="K436" s="110"/>
      <c r="L436" s="137" t="e">
        <f t="shared" si="118"/>
        <v>#DIV/0!</v>
      </c>
    </row>
    <row r="437" spans="1:12" ht="12.75" hidden="1" customHeight="1" x14ac:dyDescent="0.25">
      <c r="A437" s="93">
        <v>5360</v>
      </c>
      <c r="B437" s="224">
        <v>514000</v>
      </c>
      <c r="C437" s="82" t="s">
        <v>389</v>
      </c>
      <c r="D437" s="100">
        <f>D438</f>
        <v>0</v>
      </c>
      <c r="E437" s="100">
        <f t="shared" si="105"/>
        <v>0</v>
      </c>
      <c r="F437" s="100">
        <f t="shared" ref="F437:K437" si="125">F438</f>
        <v>0</v>
      </c>
      <c r="G437" s="100">
        <f t="shared" si="125"/>
        <v>0</v>
      </c>
      <c r="H437" s="100">
        <f t="shared" si="125"/>
        <v>0</v>
      </c>
      <c r="I437" s="100">
        <f t="shared" si="125"/>
        <v>0</v>
      </c>
      <c r="J437" s="100">
        <f t="shared" si="125"/>
        <v>0</v>
      </c>
      <c r="K437" s="101">
        <f t="shared" si="125"/>
        <v>0</v>
      </c>
      <c r="L437" s="137" t="e">
        <f t="shared" si="118"/>
        <v>#DIV/0!</v>
      </c>
    </row>
    <row r="438" spans="1:12" ht="12.75" hidden="1" customHeight="1" x14ac:dyDescent="0.25">
      <c r="A438" s="94">
        <v>5361</v>
      </c>
      <c r="B438" s="229">
        <v>514100</v>
      </c>
      <c r="C438" s="84" t="s">
        <v>390</v>
      </c>
      <c r="D438" s="108"/>
      <c r="E438" s="109">
        <f t="shared" si="105"/>
        <v>0</v>
      </c>
      <c r="F438" s="108"/>
      <c r="G438" s="108"/>
      <c r="H438" s="108"/>
      <c r="I438" s="108"/>
      <c r="J438" s="108"/>
      <c r="K438" s="110"/>
      <c r="L438" s="137" t="e">
        <f t="shared" si="118"/>
        <v>#DIV/0!</v>
      </c>
    </row>
    <row r="439" spans="1:12" ht="12.75" customHeight="1" x14ac:dyDescent="0.25">
      <c r="A439" s="93">
        <v>5362</v>
      </c>
      <c r="B439" s="224">
        <v>515000</v>
      </c>
      <c r="C439" s="82" t="s">
        <v>391</v>
      </c>
      <c r="D439" s="100">
        <f>D440</f>
        <v>100</v>
      </c>
      <c r="E439" s="100">
        <f t="shared" si="105"/>
        <v>0</v>
      </c>
      <c r="F439" s="100">
        <f t="shared" ref="F439:K439" si="126">F440</f>
        <v>0</v>
      </c>
      <c r="G439" s="100">
        <f t="shared" si="126"/>
        <v>0</v>
      </c>
      <c r="H439" s="100">
        <f t="shared" si="126"/>
        <v>0</v>
      </c>
      <c r="I439" s="100">
        <f t="shared" si="126"/>
        <v>0</v>
      </c>
      <c r="J439" s="100">
        <f t="shared" si="126"/>
        <v>0</v>
      </c>
      <c r="K439" s="101">
        <f t="shared" si="126"/>
        <v>0</v>
      </c>
      <c r="L439" s="137">
        <f t="shared" si="118"/>
        <v>0</v>
      </c>
    </row>
    <row r="440" spans="1:12" ht="12.75" customHeight="1" x14ac:dyDescent="0.25">
      <c r="A440" s="94">
        <v>5363</v>
      </c>
      <c r="B440" s="229">
        <v>515100</v>
      </c>
      <c r="C440" s="84" t="s">
        <v>392</v>
      </c>
      <c r="D440" s="108">
        <v>100</v>
      </c>
      <c r="E440" s="109">
        <f t="shared" si="105"/>
        <v>0</v>
      </c>
      <c r="F440" s="108"/>
      <c r="G440" s="108"/>
      <c r="H440" s="108"/>
      <c r="I440" s="108"/>
      <c r="J440" s="108"/>
      <c r="K440" s="110"/>
      <c r="L440" s="137">
        <f t="shared" si="118"/>
        <v>0</v>
      </c>
    </row>
    <row r="441" spans="1:12" ht="12.75" hidden="1" customHeight="1" x14ac:dyDescent="0.25">
      <c r="A441" s="93">
        <v>5364</v>
      </c>
      <c r="B441" s="224">
        <v>520000</v>
      </c>
      <c r="C441" s="82" t="s">
        <v>393</v>
      </c>
      <c r="D441" s="100">
        <f>D442+D444+D452</f>
        <v>0</v>
      </c>
      <c r="E441" s="100">
        <f t="shared" ref="E441:E518" si="127">SUM(F441:K441)</f>
        <v>0</v>
      </c>
      <c r="F441" s="100">
        <f t="shared" ref="F441:K441" si="128">F442+F444+F452</f>
        <v>0</v>
      </c>
      <c r="G441" s="100">
        <f t="shared" si="128"/>
        <v>0</v>
      </c>
      <c r="H441" s="100">
        <f t="shared" si="128"/>
        <v>0</v>
      </c>
      <c r="I441" s="100">
        <f t="shared" si="128"/>
        <v>0</v>
      </c>
      <c r="J441" s="100">
        <f t="shared" si="128"/>
        <v>0</v>
      </c>
      <c r="K441" s="101">
        <f t="shared" si="128"/>
        <v>0</v>
      </c>
      <c r="L441" s="137" t="e">
        <f t="shared" si="118"/>
        <v>#DIV/0!</v>
      </c>
    </row>
    <row r="442" spans="1:12" ht="12.75" hidden="1" customHeight="1" x14ac:dyDescent="0.25">
      <c r="A442" s="93">
        <v>5365</v>
      </c>
      <c r="B442" s="224">
        <v>521000</v>
      </c>
      <c r="C442" s="82" t="s">
        <v>394</v>
      </c>
      <c r="D442" s="100">
        <f>D443</f>
        <v>0</v>
      </c>
      <c r="E442" s="100">
        <f t="shared" si="127"/>
        <v>0</v>
      </c>
      <c r="F442" s="100">
        <f t="shared" ref="F442:K442" si="129">F443</f>
        <v>0</v>
      </c>
      <c r="G442" s="100">
        <f t="shared" si="129"/>
        <v>0</v>
      </c>
      <c r="H442" s="100">
        <f t="shared" si="129"/>
        <v>0</v>
      </c>
      <c r="I442" s="100">
        <f t="shared" si="129"/>
        <v>0</v>
      </c>
      <c r="J442" s="100">
        <f t="shared" si="129"/>
        <v>0</v>
      </c>
      <c r="K442" s="101">
        <f t="shared" si="129"/>
        <v>0</v>
      </c>
      <c r="L442" s="137" t="e">
        <f t="shared" si="118"/>
        <v>#DIV/0!</v>
      </c>
    </row>
    <row r="443" spans="1:12" ht="12.75" hidden="1" customHeight="1" x14ac:dyDescent="0.25">
      <c r="A443" s="94">
        <v>5366</v>
      </c>
      <c r="B443" s="229">
        <v>521100</v>
      </c>
      <c r="C443" s="84" t="s">
        <v>395</v>
      </c>
      <c r="D443" s="108"/>
      <c r="E443" s="109">
        <f t="shared" si="127"/>
        <v>0</v>
      </c>
      <c r="F443" s="108"/>
      <c r="G443" s="108"/>
      <c r="H443" s="108"/>
      <c r="I443" s="108"/>
      <c r="J443" s="108"/>
      <c r="K443" s="110"/>
      <c r="L443" s="137" t="e">
        <f t="shared" si="118"/>
        <v>#DIV/0!</v>
      </c>
    </row>
    <row r="444" spans="1:12" ht="12.75" hidden="1" customHeight="1" x14ac:dyDescent="0.25">
      <c r="A444" s="93">
        <v>5367</v>
      </c>
      <c r="B444" s="224">
        <v>522000</v>
      </c>
      <c r="C444" s="82" t="s">
        <v>396</v>
      </c>
      <c r="D444" s="100">
        <f>SUM(D445:D451)</f>
        <v>0</v>
      </c>
      <c r="E444" s="100">
        <f t="shared" si="127"/>
        <v>0</v>
      </c>
      <c r="F444" s="100">
        <f t="shared" ref="F444:K444" si="130">SUM(F445:F451)</f>
        <v>0</v>
      </c>
      <c r="G444" s="100">
        <f t="shared" si="130"/>
        <v>0</v>
      </c>
      <c r="H444" s="100">
        <f t="shared" si="130"/>
        <v>0</v>
      </c>
      <c r="I444" s="100">
        <f t="shared" si="130"/>
        <v>0</v>
      </c>
      <c r="J444" s="100">
        <f t="shared" si="130"/>
        <v>0</v>
      </c>
      <c r="K444" s="101">
        <f t="shared" si="130"/>
        <v>0</v>
      </c>
      <c r="L444" s="137" t="e">
        <f t="shared" si="118"/>
        <v>#DIV/0!</v>
      </c>
    </row>
    <row r="445" spans="1:12" ht="12.75" hidden="1" customHeight="1" x14ac:dyDescent="0.25">
      <c r="A445" s="94">
        <v>5368</v>
      </c>
      <c r="B445" s="229">
        <v>522100</v>
      </c>
      <c r="C445" s="84" t="s">
        <v>397</v>
      </c>
      <c r="D445" s="108"/>
      <c r="E445" s="109">
        <f t="shared" si="127"/>
        <v>0</v>
      </c>
      <c r="F445" s="108"/>
      <c r="G445" s="108"/>
      <c r="H445" s="108"/>
      <c r="I445" s="108"/>
      <c r="J445" s="108"/>
      <c r="K445" s="110"/>
      <c r="L445" s="137" t="e">
        <f t="shared" si="118"/>
        <v>#DIV/0!</v>
      </c>
    </row>
    <row r="446" spans="1:12" ht="12.75" hidden="1" customHeight="1" x14ac:dyDescent="0.25">
      <c r="A446" s="583" t="s">
        <v>0</v>
      </c>
      <c r="B446" s="584" t="s">
        <v>1</v>
      </c>
      <c r="C446" s="585" t="s">
        <v>2</v>
      </c>
      <c r="D446" s="585" t="s">
        <v>217</v>
      </c>
      <c r="E446" s="575" t="s">
        <v>198</v>
      </c>
      <c r="F446" s="589"/>
      <c r="G446" s="589"/>
      <c r="H446" s="589"/>
      <c r="I446" s="589"/>
      <c r="J446" s="589"/>
      <c r="K446" s="592"/>
      <c r="L446" s="137" t="e">
        <f t="shared" si="118"/>
        <v>#VALUE!</v>
      </c>
    </row>
    <row r="447" spans="1:12" ht="12.75" hidden="1" customHeight="1" x14ac:dyDescent="0.25">
      <c r="A447" s="583"/>
      <c r="B447" s="584"/>
      <c r="C447" s="585"/>
      <c r="D447" s="585"/>
      <c r="E447" s="575" t="s">
        <v>199</v>
      </c>
      <c r="F447" s="575" t="s">
        <v>200</v>
      </c>
      <c r="G447" s="589"/>
      <c r="H447" s="589"/>
      <c r="I447" s="589"/>
      <c r="J447" s="575" t="s">
        <v>7</v>
      </c>
      <c r="K447" s="582" t="s">
        <v>8</v>
      </c>
      <c r="L447" s="137" t="e">
        <f t="shared" si="118"/>
        <v>#VALUE!</v>
      </c>
    </row>
    <row r="448" spans="1:12" ht="12.75" hidden="1" customHeight="1" x14ac:dyDescent="0.25">
      <c r="A448" s="583"/>
      <c r="B448" s="584"/>
      <c r="C448" s="585"/>
      <c r="D448" s="585"/>
      <c r="E448" s="589"/>
      <c r="F448" s="224" t="s">
        <v>201</v>
      </c>
      <c r="G448" s="224" t="s">
        <v>10</v>
      </c>
      <c r="H448" s="224" t="s">
        <v>11</v>
      </c>
      <c r="I448" s="224" t="s">
        <v>12</v>
      </c>
      <c r="J448" s="589"/>
      <c r="K448" s="592"/>
      <c r="L448" s="137" t="e">
        <f t="shared" si="118"/>
        <v>#DIV/0!</v>
      </c>
    </row>
    <row r="449" spans="1:12" ht="12.75" hidden="1" customHeight="1" x14ac:dyDescent="0.25">
      <c r="A449" s="95" t="s">
        <v>18</v>
      </c>
      <c r="B449" s="223" t="s">
        <v>19</v>
      </c>
      <c r="C449" s="223" t="s">
        <v>20</v>
      </c>
      <c r="D449" s="223" t="s">
        <v>21</v>
      </c>
      <c r="E449" s="223" t="s">
        <v>22</v>
      </c>
      <c r="F449" s="223" t="s">
        <v>23</v>
      </c>
      <c r="G449" s="223" t="s">
        <v>24</v>
      </c>
      <c r="H449" s="223" t="s">
        <v>25</v>
      </c>
      <c r="I449" s="223" t="s">
        <v>26</v>
      </c>
      <c r="J449" s="223" t="s">
        <v>27</v>
      </c>
      <c r="K449" s="99" t="s">
        <v>28</v>
      </c>
      <c r="L449" s="137">
        <f t="shared" si="118"/>
        <v>1.25</v>
      </c>
    </row>
    <row r="450" spans="1:12" ht="12.75" hidden="1" customHeight="1" x14ac:dyDescent="0.25">
      <c r="A450" s="94">
        <v>5369</v>
      </c>
      <c r="B450" s="229">
        <v>522200</v>
      </c>
      <c r="C450" s="84" t="s">
        <v>398</v>
      </c>
      <c r="D450" s="108"/>
      <c r="E450" s="109">
        <f t="shared" si="127"/>
        <v>0</v>
      </c>
      <c r="F450" s="108"/>
      <c r="G450" s="108"/>
      <c r="H450" s="108"/>
      <c r="I450" s="108"/>
      <c r="J450" s="108"/>
      <c r="K450" s="110"/>
      <c r="L450" s="137" t="e">
        <f t="shared" si="118"/>
        <v>#DIV/0!</v>
      </c>
    </row>
    <row r="451" spans="1:12" ht="12.75" hidden="1" customHeight="1" x14ac:dyDescent="0.25">
      <c r="A451" s="94">
        <v>5370</v>
      </c>
      <c r="B451" s="229">
        <v>522300</v>
      </c>
      <c r="C451" s="84" t="s">
        <v>399</v>
      </c>
      <c r="D451" s="108"/>
      <c r="E451" s="109">
        <f t="shared" si="127"/>
        <v>0</v>
      </c>
      <c r="F451" s="108"/>
      <c r="G451" s="108"/>
      <c r="H451" s="108"/>
      <c r="I451" s="108"/>
      <c r="J451" s="108"/>
      <c r="K451" s="110"/>
      <c r="L451" s="137" t="e">
        <f t="shared" si="118"/>
        <v>#DIV/0!</v>
      </c>
    </row>
    <row r="452" spans="1:12" ht="12.75" hidden="1" customHeight="1" x14ac:dyDescent="0.25">
      <c r="A452" s="93">
        <v>5371</v>
      </c>
      <c r="B452" s="224">
        <v>523000</v>
      </c>
      <c r="C452" s="82" t="s">
        <v>400</v>
      </c>
      <c r="D452" s="100">
        <f>D453</f>
        <v>0</v>
      </c>
      <c r="E452" s="100">
        <f t="shared" si="127"/>
        <v>0</v>
      </c>
      <c r="F452" s="100">
        <f t="shared" ref="F452:K452" si="131">F453</f>
        <v>0</v>
      </c>
      <c r="G452" s="100">
        <f t="shared" si="131"/>
        <v>0</v>
      </c>
      <c r="H452" s="100">
        <f t="shared" si="131"/>
        <v>0</v>
      </c>
      <c r="I452" s="100">
        <f t="shared" si="131"/>
        <v>0</v>
      </c>
      <c r="J452" s="100">
        <f t="shared" si="131"/>
        <v>0</v>
      </c>
      <c r="K452" s="101">
        <f t="shared" si="131"/>
        <v>0</v>
      </c>
      <c r="L452" s="137" t="e">
        <f t="shared" si="118"/>
        <v>#DIV/0!</v>
      </c>
    </row>
    <row r="453" spans="1:12" ht="12.75" hidden="1" customHeight="1" x14ac:dyDescent="0.25">
      <c r="A453" s="94">
        <v>5372</v>
      </c>
      <c r="B453" s="229">
        <v>523100</v>
      </c>
      <c r="C453" s="84" t="s">
        <v>401</v>
      </c>
      <c r="D453" s="108"/>
      <c r="E453" s="109">
        <f t="shared" si="127"/>
        <v>0</v>
      </c>
      <c r="F453" s="108"/>
      <c r="G453" s="108"/>
      <c r="H453" s="108"/>
      <c r="I453" s="108"/>
      <c r="J453" s="108"/>
      <c r="K453" s="110"/>
      <c r="L453" s="137" t="e">
        <f t="shared" si="118"/>
        <v>#DIV/0!</v>
      </c>
    </row>
    <row r="454" spans="1:12" ht="12.75" hidden="1" customHeight="1" x14ac:dyDescent="0.25">
      <c r="A454" s="93">
        <v>5373</v>
      </c>
      <c r="B454" s="224">
        <v>530000</v>
      </c>
      <c r="C454" s="82" t="s">
        <v>402</v>
      </c>
      <c r="D454" s="100">
        <f>D455</f>
        <v>0</v>
      </c>
      <c r="E454" s="100">
        <f t="shared" si="127"/>
        <v>0</v>
      </c>
      <c r="F454" s="100">
        <f t="shared" ref="F454:K455" si="132">F455</f>
        <v>0</v>
      </c>
      <c r="G454" s="100">
        <f t="shared" si="132"/>
        <v>0</v>
      </c>
      <c r="H454" s="100">
        <f t="shared" si="132"/>
        <v>0</v>
      </c>
      <c r="I454" s="100">
        <f t="shared" si="132"/>
        <v>0</v>
      </c>
      <c r="J454" s="100">
        <f t="shared" si="132"/>
        <v>0</v>
      </c>
      <c r="K454" s="101">
        <f t="shared" si="132"/>
        <v>0</v>
      </c>
      <c r="L454" s="137" t="e">
        <f t="shared" si="118"/>
        <v>#DIV/0!</v>
      </c>
    </row>
    <row r="455" spans="1:12" ht="12.75" hidden="1" customHeight="1" x14ac:dyDescent="0.25">
      <c r="A455" s="93">
        <v>5374</v>
      </c>
      <c r="B455" s="224">
        <v>531000</v>
      </c>
      <c r="C455" s="82" t="s">
        <v>403</v>
      </c>
      <c r="D455" s="100">
        <f>D456</f>
        <v>0</v>
      </c>
      <c r="E455" s="100">
        <f t="shared" si="127"/>
        <v>0</v>
      </c>
      <c r="F455" s="100">
        <f t="shared" si="132"/>
        <v>0</v>
      </c>
      <c r="G455" s="100">
        <f t="shared" si="132"/>
        <v>0</v>
      </c>
      <c r="H455" s="100">
        <f t="shared" si="132"/>
        <v>0</v>
      </c>
      <c r="I455" s="100">
        <f t="shared" si="132"/>
        <v>0</v>
      </c>
      <c r="J455" s="100">
        <f t="shared" si="132"/>
        <v>0</v>
      </c>
      <c r="K455" s="101">
        <f t="shared" si="132"/>
        <v>0</v>
      </c>
      <c r="L455" s="137" t="e">
        <f t="shared" si="118"/>
        <v>#DIV/0!</v>
      </c>
    </row>
    <row r="456" spans="1:12" ht="12.75" hidden="1" customHeight="1" x14ac:dyDescent="0.25">
      <c r="A456" s="94">
        <v>5375</v>
      </c>
      <c r="B456" s="229">
        <v>531100</v>
      </c>
      <c r="C456" s="84" t="s">
        <v>404</v>
      </c>
      <c r="D456" s="108"/>
      <c r="E456" s="109">
        <f t="shared" si="127"/>
        <v>0</v>
      </c>
      <c r="F456" s="108"/>
      <c r="G456" s="108"/>
      <c r="H456" s="108"/>
      <c r="I456" s="108"/>
      <c r="J456" s="108"/>
      <c r="K456" s="110"/>
      <c r="L456" s="137" t="e">
        <f t="shared" si="118"/>
        <v>#DIV/0!</v>
      </c>
    </row>
    <row r="457" spans="1:12" ht="12.75" hidden="1" customHeight="1" x14ac:dyDescent="0.25">
      <c r="A457" s="93">
        <v>5376</v>
      </c>
      <c r="B457" s="224">
        <v>540000</v>
      </c>
      <c r="C457" s="82" t="s">
        <v>405</v>
      </c>
      <c r="D457" s="100">
        <f>D458+D460+D462</f>
        <v>0</v>
      </c>
      <c r="E457" s="100">
        <f t="shared" si="127"/>
        <v>0</v>
      </c>
      <c r="F457" s="100">
        <f t="shared" ref="F457:K457" si="133">F458+F460+F462</f>
        <v>0</v>
      </c>
      <c r="G457" s="100">
        <f t="shared" si="133"/>
        <v>0</v>
      </c>
      <c r="H457" s="100">
        <f t="shared" si="133"/>
        <v>0</v>
      </c>
      <c r="I457" s="100">
        <f t="shared" si="133"/>
        <v>0</v>
      </c>
      <c r="J457" s="100">
        <f t="shared" si="133"/>
        <v>0</v>
      </c>
      <c r="K457" s="101">
        <f t="shared" si="133"/>
        <v>0</v>
      </c>
      <c r="L457" s="137" t="e">
        <f t="shared" si="118"/>
        <v>#DIV/0!</v>
      </c>
    </row>
    <row r="458" spans="1:12" ht="12.75" hidden="1" customHeight="1" x14ac:dyDescent="0.25">
      <c r="A458" s="93">
        <v>5377</v>
      </c>
      <c r="B458" s="224">
        <v>541000</v>
      </c>
      <c r="C458" s="82" t="s">
        <v>406</v>
      </c>
      <c r="D458" s="100">
        <f>D459</f>
        <v>0</v>
      </c>
      <c r="E458" s="100">
        <f t="shared" si="127"/>
        <v>0</v>
      </c>
      <c r="F458" s="100">
        <f t="shared" ref="F458:K458" si="134">F459</f>
        <v>0</v>
      </c>
      <c r="G458" s="100">
        <f t="shared" si="134"/>
        <v>0</v>
      </c>
      <c r="H458" s="100">
        <f t="shared" si="134"/>
        <v>0</v>
      </c>
      <c r="I458" s="100">
        <f t="shared" si="134"/>
        <v>0</v>
      </c>
      <c r="J458" s="100">
        <f t="shared" si="134"/>
        <v>0</v>
      </c>
      <c r="K458" s="101">
        <f t="shared" si="134"/>
        <v>0</v>
      </c>
      <c r="L458" s="137" t="e">
        <f t="shared" si="118"/>
        <v>#DIV/0!</v>
      </c>
    </row>
    <row r="459" spans="1:12" ht="12.75" hidden="1" customHeight="1" x14ac:dyDescent="0.25">
      <c r="A459" s="94">
        <v>5378</v>
      </c>
      <c r="B459" s="229">
        <v>541100</v>
      </c>
      <c r="C459" s="84" t="s">
        <v>407</v>
      </c>
      <c r="D459" s="108"/>
      <c r="E459" s="109">
        <f t="shared" si="127"/>
        <v>0</v>
      </c>
      <c r="F459" s="108"/>
      <c r="G459" s="108"/>
      <c r="H459" s="108"/>
      <c r="I459" s="108"/>
      <c r="J459" s="108"/>
      <c r="K459" s="110"/>
      <c r="L459" s="137" t="e">
        <f t="shared" si="118"/>
        <v>#DIV/0!</v>
      </c>
    </row>
    <row r="460" spans="1:12" ht="12.75" hidden="1" customHeight="1" x14ac:dyDescent="0.25">
      <c r="A460" s="93">
        <v>5379</v>
      </c>
      <c r="B460" s="224">
        <v>542000</v>
      </c>
      <c r="C460" s="82" t="s">
        <v>408</v>
      </c>
      <c r="D460" s="100">
        <f>D461</f>
        <v>0</v>
      </c>
      <c r="E460" s="100">
        <f t="shared" si="127"/>
        <v>0</v>
      </c>
      <c r="F460" s="100">
        <f t="shared" ref="F460:K460" si="135">F461</f>
        <v>0</v>
      </c>
      <c r="G460" s="100">
        <f t="shared" si="135"/>
        <v>0</v>
      </c>
      <c r="H460" s="100">
        <f t="shared" si="135"/>
        <v>0</v>
      </c>
      <c r="I460" s="100">
        <f t="shared" si="135"/>
        <v>0</v>
      </c>
      <c r="J460" s="100">
        <f t="shared" si="135"/>
        <v>0</v>
      </c>
      <c r="K460" s="101">
        <f t="shared" si="135"/>
        <v>0</v>
      </c>
      <c r="L460" s="137" t="e">
        <f t="shared" si="118"/>
        <v>#DIV/0!</v>
      </c>
    </row>
    <row r="461" spans="1:12" ht="12.75" hidden="1" customHeight="1" x14ac:dyDescent="0.25">
      <c r="A461" s="94">
        <v>5380</v>
      </c>
      <c r="B461" s="229">
        <v>542100</v>
      </c>
      <c r="C461" s="84" t="s">
        <v>409</v>
      </c>
      <c r="D461" s="108"/>
      <c r="E461" s="109">
        <f t="shared" si="127"/>
        <v>0</v>
      </c>
      <c r="F461" s="108"/>
      <c r="G461" s="108"/>
      <c r="H461" s="108"/>
      <c r="I461" s="108"/>
      <c r="J461" s="108"/>
      <c r="K461" s="110"/>
      <c r="L461" s="137" t="e">
        <f t="shared" si="118"/>
        <v>#DIV/0!</v>
      </c>
    </row>
    <row r="462" spans="1:12" ht="12.75" hidden="1" customHeight="1" x14ac:dyDescent="0.25">
      <c r="A462" s="93">
        <v>5381</v>
      </c>
      <c r="B462" s="224">
        <v>543000</v>
      </c>
      <c r="C462" s="82" t="s">
        <v>410</v>
      </c>
      <c r="D462" s="100">
        <f>D463+D464</f>
        <v>0</v>
      </c>
      <c r="E462" s="100">
        <f t="shared" si="127"/>
        <v>0</v>
      </c>
      <c r="F462" s="100">
        <f t="shared" ref="F462:K462" si="136">F463+F464</f>
        <v>0</v>
      </c>
      <c r="G462" s="100">
        <f t="shared" si="136"/>
        <v>0</v>
      </c>
      <c r="H462" s="100">
        <f t="shared" si="136"/>
        <v>0</v>
      </c>
      <c r="I462" s="100">
        <f t="shared" si="136"/>
        <v>0</v>
      </c>
      <c r="J462" s="100">
        <f t="shared" si="136"/>
        <v>0</v>
      </c>
      <c r="K462" s="101">
        <f t="shared" si="136"/>
        <v>0</v>
      </c>
      <c r="L462" s="137" t="e">
        <f t="shared" si="118"/>
        <v>#DIV/0!</v>
      </c>
    </row>
    <row r="463" spans="1:12" ht="12.75" hidden="1" customHeight="1" x14ac:dyDescent="0.25">
      <c r="A463" s="94">
        <v>5382</v>
      </c>
      <c r="B463" s="229">
        <v>543100</v>
      </c>
      <c r="C463" s="84" t="s">
        <v>411</v>
      </c>
      <c r="D463" s="108"/>
      <c r="E463" s="109">
        <f t="shared" si="127"/>
        <v>0</v>
      </c>
      <c r="F463" s="108"/>
      <c r="G463" s="108"/>
      <c r="H463" s="108"/>
      <c r="I463" s="108"/>
      <c r="J463" s="108"/>
      <c r="K463" s="110"/>
      <c r="L463" s="137" t="e">
        <f t="shared" si="118"/>
        <v>#DIV/0!</v>
      </c>
    </row>
    <row r="464" spans="1:12" ht="12.75" hidden="1" customHeight="1" x14ac:dyDescent="0.25">
      <c r="A464" s="94">
        <v>5383</v>
      </c>
      <c r="B464" s="229">
        <v>543200</v>
      </c>
      <c r="C464" s="84" t="s">
        <v>412</v>
      </c>
      <c r="D464" s="108"/>
      <c r="E464" s="109">
        <f t="shared" si="127"/>
        <v>0</v>
      </c>
      <c r="F464" s="108"/>
      <c r="G464" s="108"/>
      <c r="H464" s="108"/>
      <c r="I464" s="108"/>
      <c r="J464" s="108"/>
      <c r="K464" s="110"/>
      <c r="L464" s="137" t="e">
        <f t="shared" si="118"/>
        <v>#DIV/0!</v>
      </c>
    </row>
    <row r="465" spans="1:12" ht="12.75" hidden="1" customHeight="1" x14ac:dyDescent="0.25">
      <c r="A465" s="93">
        <v>5384</v>
      </c>
      <c r="B465" s="224">
        <v>550000</v>
      </c>
      <c r="C465" s="82" t="s">
        <v>413</v>
      </c>
      <c r="D465" s="100">
        <f>D466</f>
        <v>0</v>
      </c>
      <c r="E465" s="100">
        <f t="shared" si="127"/>
        <v>0</v>
      </c>
      <c r="F465" s="100">
        <f t="shared" ref="F465:K466" si="137">F466</f>
        <v>0</v>
      </c>
      <c r="G465" s="100">
        <f t="shared" si="137"/>
        <v>0</v>
      </c>
      <c r="H465" s="100">
        <f t="shared" si="137"/>
        <v>0</v>
      </c>
      <c r="I465" s="100">
        <f t="shared" si="137"/>
        <v>0</v>
      </c>
      <c r="J465" s="100">
        <f t="shared" si="137"/>
        <v>0</v>
      </c>
      <c r="K465" s="101">
        <f t="shared" si="137"/>
        <v>0</v>
      </c>
      <c r="L465" s="137" t="e">
        <f t="shared" si="118"/>
        <v>#DIV/0!</v>
      </c>
    </row>
    <row r="466" spans="1:12" ht="12.75" hidden="1" customHeight="1" x14ac:dyDescent="0.25">
      <c r="A466" s="93">
        <v>5385</v>
      </c>
      <c r="B466" s="224">
        <v>551000</v>
      </c>
      <c r="C466" s="82" t="s">
        <v>414</v>
      </c>
      <c r="D466" s="100">
        <f>D467</f>
        <v>0</v>
      </c>
      <c r="E466" s="100">
        <f t="shared" si="127"/>
        <v>0</v>
      </c>
      <c r="F466" s="100">
        <f t="shared" si="137"/>
        <v>0</v>
      </c>
      <c r="G466" s="100">
        <f t="shared" si="137"/>
        <v>0</v>
      </c>
      <c r="H466" s="100">
        <f t="shared" si="137"/>
        <v>0</v>
      </c>
      <c r="I466" s="100">
        <f t="shared" si="137"/>
        <v>0</v>
      </c>
      <c r="J466" s="100">
        <f t="shared" si="137"/>
        <v>0</v>
      </c>
      <c r="K466" s="101">
        <f t="shared" si="137"/>
        <v>0</v>
      </c>
      <c r="L466" s="137" t="e">
        <f t="shared" si="118"/>
        <v>#DIV/0!</v>
      </c>
    </row>
    <row r="467" spans="1:12" ht="12.75" hidden="1" customHeight="1" x14ac:dyDescent="0.25">
      <c r="A467" s="94">
        <v>5386</v>
      </c>
      <c r="B467" s="229">
        <v>551100</v>
      </c>
      <c r="C467" s="84" t="s">
        <v>415</v>
      </c>
      <c r="D467" s="108"/>
      <c r="E467" s="109">
        <f t="shared" si="127"/>
        <v>0</v>
      </c>
      <c r="F467" s="108"/>
      <c r="G467" s="108"/>
      <c r="H467" s="108"/>
      <c r="I467" s="108"/>
      <c r="J467" s="108"/>
      <c r="K467" s="110"/>
      <c r="L467" s="137" t="e">
        <f t="shared" si="118"/>
        <v>#DIV/0!</v>
      </c>
    </row>
    <row r="468" spans="1:12" ht="12.75" hidden="1" customHeight="1" x14ac:dyDescent="0.25">
      <c r="A468" s="93">
        <v>5387</v>
      </c>
      <c r="B468" s="224">
        <v>600000</v>
      </c>
      <c r="C468" s="82" t="s">
        <v>416</v>
      </c>
      <c r="D468" s="100">
        <f>D469+D498</f>
        <v>0</v>
      </c>
      <c r="E468" s="100">
        <f t="shared" si="127"/>
        <v>0</v>
      </c>
      <c r="F468" s="100">
        <f t="shared" ref="F468:K468" si="138">F469+F498</f>
        <v>0</v>
      </c>
      <c r="G468" s="100">
        <f t="shared" si="138"/>
        <v>0</v>
      </c>
      <c r="H468" s="100">
        <f t="shared" si="138"/>
        <v>0</v>
      </c>
      <c r="I468" s="100">
        <f t="shared" si="138"/>
        <v>0</v>
      </c>
      <c r="J468" s="100">
        <f t="shared" si="138"/>
        <v>0</v>
      </c>
      <c r="K468" s="101">
        <f t="shared" si="138"/>
        <v>0</v>
      </c>
      <c r="L468" s="137" t="e">
        <f t="shared" si="118"/>
        <v>#DIV/0!</v>
      </c>
    </row>
    <row r="469" spans="1:12" ht="12.75" hidden="1" customHeight="1" x14ac:dyDescent="0.25">
      <c r="A469" s="93">
        <v>5388</v>
      </c>
      <c r="B469" s="224">
        <v>610000</v>
      </c>
      <c r="C469" s="82" t="s">
        <v>417</v>
      </c>
      <c r="D469" s="100">
        <f>D470+D484+D492+D494+D496</f>
        <v>0</v>
      </c>
      <c r="E469" s="100">
        <f t="shared" si="127"/>
        <v>0</v>
      </c>
      <c r="F469" s="100">
        <f t="shared" ref="F469:K469" si="139">F470+F484+F492+F494+F496</f>
        <v>0</v>
      </c>
      <c r="G469" s="100">
        <f t="shared" si="139"/>
        <v>0</v>
      </c>
      <c r="H469" s="100">
        <f t="shared" si="139"/>
        <v>0</v>
      </c>
      <c r="I469" s="100">
        <f t="shared" si="139"/>
        <v>0</v>
      </c>
      <c r="J469" s="100">
        <f t="shared" si="139"/>
        <v>0</v>
      </c>
      <c r="K469" s="101">
        <f t="shared" si="139"/>
        <v>0</v>
      </c>
      <c r="L469" s="137" t="e">
        <f t="shared" si="118"/>
        <v>#DIV/0!</v>
      </c>
    </row>
    <row r="470" spans="1:12" ht="12.75" hidden="1" customHeight="1" x14ac:dyDescent="0.25">
      <c r="A470" s="93">
        <v>5389</v>
      </c>
      <c r="B470" s="224">
        <v>611000</v>
      </c>
      <c r="C470" s="82" t="s">
        <v>418</v>
      </c>
      <c r="D470" s="100">
        <f>SUM(D471:D483)</f>
        <v>0</v>
      </c>
      <c r="E470" s="100">
        <f t="shared" si="127"/>
        <v>0</v>
      </c>
      <c r="F470" s="100">
        <f t="shared" ref="F470:K470" si="140">SUM(F471:F483)</f>
        <v>0</v>
      </c>
      <c r="G470" s="100">
        <f t="shared" si="140"/>
        <v>0</v>
      </c>
      <c r="H470" s="100">
        <f t="shared" si="140"/>
        <v>0</v>
      </c>
      <c r="I470" s="100">
        <f t="shared" si="140"/>
        <v>0</v>
      </c>
      <c r="J470" s="100">
        <f t="shared" si="140"/>
        <v>0</v>
      </c>
      <c r="K470" s="101">
        <f t="shared" si="140"/>
        <v>0</v>
      </c>
      <c r="L470" s="137" t="e">
        <f t="shared" si="118"/>
        <v>#DIV/0!</v>
      </c>
    </row>
    <row r="471" spans="1:12" ht="12.75" hidden="1" customHeight="1" x14ac:dyDescent="0.25">
      <c r="A471" s="94">
        <v>5390</v>
      </c>
      <c r="B471" s="229">
        <v>611100</v>
      </c>
      <c r="C471" s="84" t="s">
        <v>419</v>
      </c>
      <c r="D471" s="108"/>
      <c r="E471" s="109">
        <f t="shared" si="127"/>
        <v>0</v>
      </c>
      <c r="F471" s="108"/>
      <c r="G471" s="108"/>
      <c r="H471" s="108"/>
      <c r="I471" s="108"/>
      <c r="J471" s="108"/>
      <c r="K471" s="110"/>
      <c r="L471" s="137" t="e">
        <f t="shared" si="118"/>
        <v>#DIV/0!</v>
      </c>
    </row>
    <row r="472" spans="1:12" ht="12.75" hidden="1" customHeight="1" x14ac:dyDescent="0.25">
      <c r="A472" s="94">
        <v>5391</v>
      </c>
      <c r="B472" s="229">
        <v>611200</v>
      </c>
      <c r="C472" s="84" t="s">
        <v>420</v>
      </c>
      <c r="D472" s="108"/>
      <c r="E472" s="109">
        <f t="shared" si="127"/>
        <v>0</v>
      </c>
      <c r="F472" s="108"/>
      <c r="G472" s="108"/>
      <c r="H472" s="108"/>
      <c r="I472" s="108"/>
      <c r="J472" s="108"/>
      <c r="K472" s="110"/>
      <c r="L472" s="137" t="e">
        <f t="shared" si="118"/>
        <v>#DIV/0!</v>
      </c>
    </row>
    <row r="473" spans="1:12" ht="12.75" hidden="1" customHeight="1" x14ac:dyDescent="0.25">
      <c r="A473" s="94">
        <v>5392</v>
      </c>
      <c r="B473" s="229">
        <v>611300</v>
      </c>
      <c r="C473" s="84" t="s">
        <v>421</v>
      </c>
      <c r="D473" s="108"/>
      <c r="E473" s="109">
        <f t="shared" si="127"/>
        <v>0</v>
      </c>
      <c r="F473" s="108"/>
      <c r="G473" s="108"/>
      <c r="H473" s="108"/>
      <c r="I473" s="108"/>
      <c r="J473" s="108"/>
      <c r="K473" s="110"/>
      <c r="L473" s="137" t="e">
        <f t="shared" si="118"/>
        <v>#DIV/0!</v>
      </c>
    </row>
    <row r="474" spans="1:12" ht="12.75" hidden="1" customHeight="1" x14ac:dyDescent="0.25">
      <c r="A474" s="583" t="s">
        <v>0</v>
      </c>
      <c r="B474" s="584" t="s">
        <v>1</v>
      </c>
      <c r="C474" s="585" t="s">
        <v>2</v>
      </c>
      <c r="D474" s="585" t="s">
        <v>217</v>
      </c>
      <c r="E474" s="575" t="s">
        <v>198</v>
      </c>
      <c r="F474" s="589"/>
      <c r="G474" s="589"/>
      <c r="H474" s="589"/>
      <c r="I474" s="589"/>
      <c r="J474" s="589"/>
      <c r="K474" s="592"/>
      <c r="L474" s="137" t="e">
        <f t="shared" si="118"/>
        <v>#VALUE!</v>
      </c>
    </row>
    <row r="475" spans="1:12" ht="12.75" hidden="1" customHeight="1" x14ac:dyDescent="0.25">
      <c r="A475" s="583"/>
      <c r="B475" s="584"/>
      <c r="C475" s="585"/>
      <c r="D475" s="585"/>
      <c r="E475" s="575" t="s">
        <v>199</v>
      </c>
      <c r="F475" s="575" t="s">
        <v>200</v>
      </c>
      <c r="G475" s="589"/>
      <c r="H475" s="589"/>
      <c r="I475" s="589"/>
      <c r="J475" s="575" t="s">
        <v>7</v>
      </c>
      <c r="K475" s="582" t="s">
        <v>8</v>
      </c>
      <c r="L475" s="137" t="e">
        <f t="shared" si="118"/>
        <v>#VALUE!</v>
      </c>
    </row>
    <row r="476" spans="1:12" ht="12.75" hidden="1" customHeight="1" x14ac:dyDescent="0.25">
      <c r="A476" s="583"/>
      <c r="B476" s="584"/>
      <c r="C476" s="585"/>
      <c r="D476" s="585"/>
      <c r="E476" s="589"/>
      <c r="F476" s="224" t="s">
        <v>201</v>
      </c>
      <c r="G476" s="224" t="s">
        <v>10</v>
      </c>
      <c r="H476" s="224" t="s">
        <v>11</v>
      </c>
      <c r="I476" s="224" t="s">
        <v>12</v>
      </c>
      <c r="J476" s="589"/>
      <c r="K476" s="592"/>
      <c r="L476" s="137" t="e">
        <f t="shared" si="118"/>
        <v>#DIV/0!</v>
      </c>
    </row>
    <row r="477" spans="1:12" ht="12.75" hidden="1" customHeight="1" x14ac:dyDescent="0.25">
      <c r="A477" s="95" t="s">
        <v>18</v>
      </c>
      <c r="B477" s="223" t="s">
        <v>19</v>
      </c>
      <c r="C477" s="223" t="s">
        <v>20</v>
      </c>
      <c r="D477" s="223" t="s">
        <v>21</v>
      </c>
      <c r="E477" s="223" t="s">
        <v>22</v>
      </c>
      <c r="F477" s="223" t="s">
        <v>23</v>
      </c>
      <c r="G477" s="223" t="s">
        <v>24</v>
      </c>
      <c r="H477" s="223" t="s">
        <v>25</v>
      </c>
      <c r="I477" s="223" t="s">
        <v>26</v>
      </c>
      <c r="J477" s="223" t="s">
        <v>27</v>
      </c>
      <c r="K477" s="99" t="s">
        <v>28</v>
      </c>
      <c r="L477" s="137">
        <f t="shared" ref="L477:L524" si="141">E477/D477</f>
        <v>1.25</v>
      </c>
    </row>
    <row r="478" spans="1:12" ht="12.75" hidden="1" customHeight="1" x14ac:dyDescent="0.25">
      <c r="A478" s="94">
        <v>5393</v>
      </c>
      <c r="B478" s="229">
        <v>611400</v>
      </c>
      <c r="C478" s="84" t="s">
        <v>422</v>
      </c>
      <c r="D478" s="108"/>
      <c r="E478" s="109">
        <f t="shared" si="127"/>
        <v>0</v>
      </c>
      <c r="F478" s="108"/>
      <c r="G478" s="108"/>
      <c r="H478" s="108"/>
      <c r="I478" s="108"/>
      <c r="J478" s="108"/>
      <c r="K478" s="110"/>
      <c r="L478" s="137" t="e">
        <f t="shared" si="141"/>
        <v>#DIV/0!</v>
      </c>
    </row>
    <row r="479" spans="1:12" ht="12.75" hidden="1" customHeight="1" x14ac:dyDescent="0.25">
      <c r="A479" s="94">
        <v>5394</v>
      </c>
      <c r="B479" s="229">
        <v>611500</v>
      </c>
      <c r="C479" s="84" t="s">
        <v>423</v>
      </c>
      <c r="D479" s="108"/>
      <c r="E479" s="109">
        <f t="shared" si="127"/>
        <v>0</v>
      </c>
      <c r="F479" s="108"/>
      <c r="G479" s="108"/>
      <c r="H479" s="108"/>
      <c r="I479" s="108"/>
      <c r="J479" s="108"/>
      <c r="K479" s="110"/>
      <c r="L479" s="137" t="e">
        <f t="shared" si="141"/>
        <v>#DIV/0!</v>
      </c>
    </row>
    <row r="480" spans="1:12" ht="12.75" hidden="1" customHeight="1" x14ac:dyDescent="0.25">
      <c r="A480" s="94">
        <v>5395</v>
      </c>
      <c r="B480" s="229">
        <v>611600</v>
      </c>
      <c r="C480" s="84" t="s">
        <v>424</v>
      </c>
      <c r="D480" s="108"/>
      <c r="E480" s="109">
        <f t="shared" si="127"/>
        <v>0</v>
      </c>
      <c r="F480" s="108"/>
      <c r="G480" s="108"/>
      <c r="H480" s="108"/>
      <c r="I480" s="108"/>
      <c r="J480" s="108"/>
      <c r="K480" s="110"/>
      <c r="L480" s="137" t="e">
        <f t="shared" si="141"/>
        <v>#DIV/0!</v>
      </c>
    </row>
    <row r="481" spans="1:12" ht="12.75" hidden="1" customHeight="1" x14ac:dyDescent="0.25">
      <c r="A481" s="94">
        <v>5396</v>
      </c>
      <c r="B481" s="229">
        <v>611700</v>
      </c>
      <c r="C481" s="84" t="s">
        <v>425</v>
      </c>
      <c r="D481" s="108"/>
      <c r="E481" s="109">
        <f t="shared" si="127"/>
        <v>0</v>
      </c>
      <c r="F481" s="108"/>
      <c r="G481" s="108"/>
      <c r="H481" s="108"/>
      <c r="I481" s="108"/>
      <c r="J481" s="108"/>
      <c r="K481" s="110"/>
      <c r="L481" s="137" t="e">
        <f t="shared" si="141"/>
        <v>#DIV/0!</v>
      </c>
    </row>
    <row r="482" spans="1:12" ht="12.75" hidden="1" customHeight="1" x14ac:dyDescent="0.25">
      <c r="A482" s="94">
        <v>5397</v>
      </c>
      <c r="B482" s="229">
        <v>611800</v>
      </c>
      <c r="C482" s="84" t="s">
        <v>426</v>
      </c>
      <c r="D482" s="108"/>
      <c r="E482" s="109">
        <f t="shared" si="127"/>
        <v>0</v>
      </c>
      <c r="F482" s="108"/>
      <c r="G482" s="108"/>
      <c r="H482" s="108"/>
      <c r="I482" s="108"/>
      <c r="J482" s="108"/>
      <c r="K482" s="110"/>
      <c r="L482" s="137" t="e">
        <f t="shared" si="141"/>
        <v>#DIV/0!</v>
      </c>
    </row>
    <row r="483" spans="1:12" ht="12.75" hidden="1" customHeight="1" x14ac:dyDescent="0.25">
      <c r="A483" s="94">
        <v>5398</v>
      </c>
      <c r="B483" s="229">
        <v>611900</v>
      </c>
      <c r="C483" s="84" t="s">
        <v>165</v>
      </c>
      <c r="D483" s="108"/>
      <c r="E483" s="109">
        <f t="shared" si="127"/>
        <v>0</v>
      </c>
      <c r="F483" s="108"/>
      <c r="G483" s="108"/>
      <c r="H483" s="108"/>
      <c r="I483" s="108"/>
      <c r="J483" s="108"/>
      <c r="K483" s="110"/>
      <c r="L483" s="137" t="e">
        <f t="shared" si="141"/>
        <v>#DIV/0!</v>
      </c>
    </row>
    <row r="484" spans="1:12" ht="12.75" hidden="1" customHeight="1" x14ac:dyDescent="0.25">
      <c r="A484" s="93">
        <v>5399</v>
      </c>
      <c r="B484" s="224">
        <v>612000</v>
      </c>
      <c r="C484" s="82" t="s">
        <v>427</v>
      </c>
      <c r="D484" s="100">
        <f>SUM(D485:D491)</f>
        <v>0</v>
      </c>
      <c r="E484" s="100">
        <f t="shared" si="127"/>
        <v>0</v>
      </c>
      <c r="F484" s="100">
        <f t="shared" ref="F484:K484" si="142">SUM(F485:F491)</f>
        <v>0</v>
      </c>
      <c r="G484" s="100">
        <f t="shared" si="142"/>
        <v>0</v>
      </c>
      <c r="H484" s="100">
        <f t="shared" si="142"/>
        <v>0</v>
      </c>
      <c r="I484" s="100">
        <f t="shared" si="142"/>
        <v>0</v>
      </c>
      <c r="J484" s="100">
        <f t="shared" si="142"/>
        <v>0</v>
      </c>
      <c r="K484" s="101">
        <f t="shared" si="142"/>
        <v>0</v>
      </c>
      <c r="L484" s="137" t="e">
        <f t="shared" si="141"/>
        <v>#DIV/0!</v>
      </c>
    </row>
    <row r="485" spans="1:12" ht="12.75" hidden="1" customHeight="1" x14ac:dyDescent="0.25">
      <c r="A485" s="94">
        <v>5400</v>
      </c>
      <c r="B485" s="229">
        <v>612100</v>
      </c>
      <c r="C485" s="84" t="s">
        <v>428</v>
      </c>
      <c r="D485" s="108"/>
      <c r="E485" s="109">
        <f t="shared" si="127"/>
        <v>0</v>
      </c>
      <c r="F485" s="108"/>
      <c r="G485" s="108"/>
      <c r="H485" s="108"/>
      <c r="I485" s="108"/>
      <c r="J485" s="108"/>
      <c r="K485" s="110"/>
      <c r="L485" s="137" t="e">
        <f t="shared" si="141"/>
        <v>#DIV/0!</v>
      </c>
    </row>
    <row r="486" spans="1:12" ht="12.75" hidden="1" customHeight="1" x14ac:dyDescent="0.25">
      <c r="A486" s="94">
        <v>5401</v>
      </c>
      <c r="B486" s="229">
        <v>612200</v>
      </c>
      <c r="C486" s="84" t="s">
        <v>429</v>
      </c>
      <c r="D486" s="108"/>
      <c r="E486" s="109">
        <f t="shared" si="127"/>
        <v>0</v>
      </c>
      <c r="F486" s="108"/>
      <c r="G486" s="108"/>
      <c r="H486" s="108"/>
      <c r="I486" s="108"/>
      <c r="J486" s="108"/>
      <c r="K486" s="110"/>
      <c r="L486" s="137" t="e">
        <f t="shared" si="141"/>
        <v>#DIV/0!</v>
      </c>
    </row>
    <row r="487" spans="1:12" ht="12.75" hidden="1" customHeight="1" x14ac:dyDescent="0.25">
      <c r="A487" s="94">
        <v>5402</v>
      </c>
      <c r="B487" s="229">
        <v>612300</v>
      </c>
      <c r="C487" s="84" t="s">
        <v>430</v>
      </c>
      <c r="D487" s="108"/>
      <c r="E487" s="109">
        <f t="shared" si="127"/>
        <v>0</v>
      </c>
      <c r="F487" s="108"/>
      <c r="G487" s="108"/>
      <c r="H487" s="108"/>
      <c r="I487" s="108"/>
      <c r="J487" s="108"/>
      <c r="K487" s="110"/>
      <c r="L487" s="137" t="e">
        <f t="shared" si="141"/>
        <v>#DIV/0!</v>
      </c>
    </row>
    <row r="488" spans="1:12" ht="12.75" hidden="1" customHeight="1" x14ac:dyDescent="0.25">
      <c r="A488" s="94">
        <v>5403</v>
      </c>
      <c r="B488" s="229">
        <v>612400</v>
      </c>
      <c r="C488" s="84" t="s">
        <v>431</v>
      </c>
      <c r="D488" s="108"/>
      <c r="E488" s="109">
        <f t="shared" si="127"/>
        <v>0</v>
      </c>
      <c r="F488" s="108"/>
      <c r="G488" s="108"/>
      <c r="H488" s="108"/>
      <c r="I488" s="108"/>
      <c r="J488" s="108"/>
      <c r="K488" s="110"/>
      <c r="L488" s="137" t="e">
        <f t="shared" si="141"/>
        <v>#DIV/0!</v>
      </c>
    </row>
    <row r="489" spans="1:12" ht="12.75" hidden="1" customHeight="1" x14ac:dyDescent="0.25">
      <c r="A489" s="94">
        <v>5404</v>
      </c>
      <c r="B489" s="229">
        <v>612500</v>
      </c>
      <c r="C489" s="84" t="s">
        <v>432</v>
      </c>
      <c r="D489" s="108"/>
      <c r="E489" s="109">
        <f t="shared" si="127"/>
        <v>0</v>
      </c>
      <c r="F489" s="108"/>
      <c r="G489" s="108"/>
      <c r="H489" s="108"/>
      <c r="I489" s="108"/>
      <c r="J489" s="108"/>
      <c r="K489" s="110"/>
      <c r="L489" s="137" t="e">
        <f t="shared" si="141"/>
        <v>#DIV/0!</v>
      </c>
    </row>
    <row r="490" spans="1:12" ht="12.75" hidden="1" customHeight="1" x14ac:dyDescent="0.25">
      <c r="A490" s="94">
        <v>5405</v>
      </c>
      <c r="B490" s="229">
        <v>612600</v>
      </c>
      <c r="C490" s="84" t="s">
        <v>433</v>
      </c>
      <c r="D490" s="108"/>
      <c r="E490" s="109">
        <f t="shared" si="127"/>
        <v>0</v>
      </c>
      <c r="F490" s="108"/>
      <c r="G490" s="108"/>
      <c r="H490" s="108"/>
      <c r="I490" s="108"/>
      <c r="J490" s="108"/>
      <c r="K490" s="110"/>
      <c r="L490" s="137" t="e">
        <f t="shared" si="141"/>
        <v>#DIV/0!</v>
      </c>
    </row>
    <row r="491" spans="1:12" ht="12.75" hidden="1" customHeight="1" x14ac:dyDescent="0.25">
      <c r="A491" s="94">
        <v>5406</v>
      </c>
      <c r="B491" s="229">
        <v>612900</v>
      </c>
      <c r="C491" s="84" t="s">
        <v>173</v>
      </c>
      <c r="D491" s="108"/>
      <c r="E491" s="109">
        <f t="shared" si="127"/>
        <v>0</v>
      </c>
      <c r="F491" s="108"/>
      <c r="G491" s="108"/>
      <c r="H491" s="108"/>
      <c r="I491" s="108"/>
      <c r="J491" s="108"/>
      <c r="K491" s="110"/>
      <c r="L491" s="137" t="e">
        <f t="shared" si="141"/>
        <v>#DIV/0!</v>
      </c>
    </row>
    <row r="492" spans="1:12" ht="12.75" hidden="1" customHeight="1" x14ac:dyDescent="0.25">
      <c r="A492" s="93">
        <v>5407</v>
      </c>
      <c r="B492" s="224">
        <v>613000</v>
      </c>
      <c r="C492" s="82" t="s">
        <v>434</v>
      </c>
      <c r="D492" s="100">
        <f>D493</f>
        <v>0</v>
      </c>
      <c r="E492" s="100">
        <f t="shared" si="127"/>
        <v>0</v>
      </c>
      <c r="F492" s="100">
        <f t="shared" ref="F492:K492" si="143">F493</f>
        <v>0</v>
      </c>
      <c r="G492" s="100">
        <f t="shared" si="143"/>
        <v>0</v>
      </c>
      <c r="H492" s="100">
        <f t="shared" si="143"/>
        <v>0</v>
      </c>
      <c r="I492" s="100">
        <f t="shared" si="143"/>
        <v>0</v>
      </c>
      <c r="J492" s="100">
        <f t="shared" si="143"/>
        <v>0</v>
      </c>
      <c r="K492" s="101">
        <f t="shared" si="143"/>
        <v>0</v>
      </c>
      <c r="L492" s="137" t="e">
        <f t="shared" si="141"/>
        <v>#DIV/0!</v>
      </c>
    </row>
    <row r="493" spans="1:12" ht="12.75" hidden="1" customHeight="1" x14ac:dyDescent="0.25">
      <c r="A493" s="94">
        <v>5408</v>
      </c>
      <c r="B493" s="229">
        <v>613100</v>
      </c>
      <c r="C493" s="84" t="s">
        <v>435</v>
      </c>
      <c r="D493" s="108"/>
      <c r="E493" s="109">
        <f t="shared" si="127"/>
        <v>0</v>
      </c>
      <c r="F493" s="108"/>
      <c r="G493" s="108"/>
      <c r="H493" s="108"/>
      <c r="I493" s="108"/>
      <c r="J493" s="108"/>
      <c r="K493" s="110"/>
      <c r="L493" s="137" t="e">
        <f t="shared" si="141"/>
        <v>#DIV/0!</v>
      </c>
    </row>
    <row r="494" spans="1:12" ht="12.75" hidden="1" customHeight="1" x14ac:dyDescent="0.25">
      <c r="A494" s="93">
        <v>5409</v>
      </c>
      <c r="B494" s="224">
        <v>614000</v>
      </c>
      <c r="C494" s="82" t="s">
        <v>436</v>
      </c>
      <c r="D494" s="100">
        <f>D495</f>
        <v>0</v>
      </c>
      <c r="E494" s="100">
        <f t="shared" si="127"/>
        <v>0</v>
      </c>
      <c r="F494" s="100">
        <f t="shared" ref="F494:K496" si="144">F495</f>
        <v>0</v>
      </c>
      <c r="G494" s="100">
        <f t="shared" si="144"/>
        <v>0</v>
      </c>
      <c r="H494" s="100">
        <f t="shared" si="144"/>
        <v>0</v>
      </c>
      <c r="I494" s="100">
        <f t="shared" si="144"/>
        <v>0</v>
      </c>
      <c r="J494" s="100">
        <f t="shared" si="144"/>
        <v>0</v>
      </c>
      <c r="K494" s="101">
        <f t="shared" si="144"/>
        <v>0</v>
      </c>
      <c r="L494" s="137" t="e">
        <f t="shared" si="141"/>
        <v>#DIV/0!</v>
      </c>
    </row>
    <row r="495" spans="1:12" ht="12.75" hidden="1" customHeight="1" x14ac:dyDescent="0.25">
      <c r="A495" s="94">
        <v>5410</v>
      </c>
      <c r="B495" s="229">
        <v>614100</v>
      </c>
      <c r="C495" s="84" t="s">
        <v>437</v>
      </c>
      <c r="D495" s="108"/>
      <c r="E495" s="109">
        <f t="shared" si="127"/>
        <v>0</v>
      </c>
      <c r="F495" s="108"/>
      <c r="G495" s="108"/>
      <c r="H495" s="108"/>
      <c r="I495" s="108"/>
      <c r="J495" s="108"/>
      <c r="K495" s="110"/>
      <c r="L495" s="137" t="e">
        <f t="shared" si="141"/>
        <v>#DIV/0!</v>
      </c>
    </row>
    <row r="496" spans="1:12" ht="12.75" hidden="1" customHeight="1" x14ac:dyDescent="0.25">
      <c r="A496" s="93">
        <v>5411</v>
      </c>
      <c r="B496" s="224">
        <v>615000</v>
      </c>
      <c r="C496" s="82" t="s">
        <v>438</v>
      </c>
      <c r="D496" s="100">
        <f>D497</f>
        <v>0</v>
      </c>
      <c r="E496" s="100">
        <f t="shared" si="127"/>
        <v>0</v>
      </c>
      <c r="F496" s="100">
        <f t="shared" si="144"/>
        <v>0</v>
      </c>
      <c r="G496" s="100">
        <f t="shared" si="144"/>
        <v>0</v>
      </c>
      <c r="H496" s="100">
        <f t="shared" si="144"/>
        <v>0</v>
      </c>
      <c r="I496" s="100">
        <f t="shared" si="144"/>
        <v>0</v>
      </c>
      <c r="J496" s="100">
        <f t="shared" si="144"/>
        <v>0</v>
      </c>
      <c r="K496" s="101">
        <f t="shared" si="144"/>
        <v>0</v>
      </c>
      <c r="L496" s="137" t="e">
        <f t="shared" si="141"/>
        <v>#DIV/0!</v>
      </c>
    </row>
    <row r="497" spans="1:12" ht="12.75" hidden="1" customHeight="1" x14ac:dyDescent="0.25">
      <c r="A497" s="94">
        <v>5412</v>
      </c>
      <c r="B497" s="229">
        <v>615100</v>
      </c>
      <c r="C497" s="84" t="s">
        <v>439</v>
      </c>
      <c r="D497" s="108"/>
      <c r="E497" s="109">
        <f t="shared" si="127"/>
        <v>0</v>
      </c>
      <c r="F497" s="108"/>
      <c r="G497" s="108"/>
      <c r="H497" s="108"/>
      <c r="I497" s="108"/>
      <c r="J497" s="108"/>
      <c r="K497" s="110"/>
      <c r="L497" s="137" t="e">
        <f t="shared" si="141"/>
        <v>#DIV/0!</v>
      </c>
    </row>
    <row r="498" spans="1:12" ht="12.75" hidden="1" customHeight="1" x14ac:dyDescent="0.25">
      <c r="A498" s="93">
        <v>5413</v>
      </c>
      <c r="B498" s="224">
        <v>620000</v>
      </c>
      <c r="C498" s="82" t="s">
        <v>440</v>
      </c>
      <c r="D498" s="100">
        <f>D499+D513+D522</f>
        <v>0</v>
      </c>
      <c r="E498" s="100">
        <f t="shared" si="127"/>
        <v>0</v>
      </c>
      <c r="F498" s="100">
        <f t="shared" ref="F498:K498" si="145">F499+F513+F522</f>
        <v>0</v>
      </c>
      <c r="G498" s="100">
        <f t="shared" si="145"/>
        <v>0</v>
      </c>
      <c r="H498" s="100">
        <f t="shared" si="145"/>
        <v>0</v>
      </c>
      <c r="I498" s="100">
        <f t="shared" si="145"/>
        <v>0</v>
      </c>
      <c r="J498" s="100">
        <f t="shared" si="145"/>
        <v>0</v>
      </c>
      <c r="K498" s="101">
        <f t="shared" si="145"/>
        <v>0</v>
      </c>
      <c r="L498" s="137" t="e">
        <f t="shared" si="141"/>
        <v>#DIV/0!</v>
      </c>
    </row>
    <row r="499" spans="1:12" ht="12.75" hidden="1" customHeight="1" x14ac:dyDescent="0.25">
      <c r="A499" s="93">
        <v>5414</v>
      </c>
      <c r="B499" s="224">
        <v>621000</v>
      </c>
      <c r="C499" s="82" t="s">
        <v>441</v>
      </c>
      <c r="D499" s="100">
        <f>SUM(D500:D512)</f>
        <v>0</v>
      </c>
      <c r="E499" s="100">
        <f t="shared" si="127"/>
        <v>0</v>
      </c>
      <c r="F499" s="100">
        <f t="shared" ref="F499:K499" si="146">SUM(F500:F512)</f>
        <v>0</v>
      </c>
      <c r="G499" s="100">
        <f t="shared" si="146"/>
        <v>0</v>
      </c>
      <c r="H499" s="100">
        <f t="shared" si="146"/>
        <v>0</v>
      </c>
      <c r="I499" s="100">
        <f t="shared" si="146"/>
        <v>0</v>
      </c>
      <c r="J499" s="100">
        <f t="shared" si="146"/>
        <v>0</v>
      </c>
      <c r="K499" s="101">
        <f t="shared" si="146"/>
        <v>0</v>
      </c>
      <c r="L499" s="137" t="e">
        <f t="shared" si="141"/>
        <v>#DIV/0!</v>
      </c>
    </row>
    <row r="500" spans="1:12" ht="12.75" hidden="1" customHeight="1" x14ac:dyDescent="0.25">
      <c r="A500" s="94">
        <v>5415</v>
      </c>
      <c r="B500" s="229">
        <v>621100</v>
      </c>
      <c r="C500" s="84" t="s">
        <v>442</v>
      </c>
      <c r="D500" s="108"/>
      <c r="E500" s="109">
        <f t="shared" si="127"/>
        <v>0</v>
      </c>
      <c r="F500" s="108"/>
      <c r="G500" s="108"/>
      <c r="H500" s="108"/>
      <c r="I500" s="108"/>
      <c r="J500" s="108"/>
      <c r="K500" s="110"/>
      <c r="L500" s="137" t="e">
        <f t="shared" si="141"/>
        <v>#DIV/0!</v>
      </c>
    </row>
    <row r="501" spans="1:12" ht="12.75" hidden="1" customHeight="1" x14ac:dyDescent="0.25">
      <c r="A501" s="583" t="s">
        <v>0</v>
      </c>
      <c r="B501" s="584" t="s">
        <v>1</v>
      </c>
      <c r="C501" s="585" t="s">
        <v>2</v>
      </c>
      <c r="D501" s="585" t="s">
        <v>217</v>
      </c>
      <c r="E501" s="575" t="s">
        <v>198</v>
      </c>
      <c r="F501" s="589"/>
      <c r="G501" s="589"/>
      <c r="H501" s="589"/>
      <c r="I501" s="589"/>
      <c r="J501" s="589"/>
      <c r="K501" s="592"/>
      <c r="L501" s="137" t="e">
        <f t="shared" si="141"/>
        <v>#VALUE!</v>
      </c>
    </row>
    <row r="502" spans="1:12" ht="12.75" hidden="1" customHeight="1" x14ac:dyDescent="0.25">
      <c r="A502" s="583"/>
      <c r="B502" s="584"/>
      <c r="C502" s="585"/>
      <c r="D502" s="585"/>
      <c r="E502" s="575" t="s">
        <v>199</v>
      </c>
      <c r="F502" s="575" t="s">
        <v>200</v>
      </c>
      <c r="G502" s="589"/>
      <c r="H502" s="589"/>
      <c r="I502" s="589"/>
      <c r="J502" s="575" t="s">
        <v>7</v>
      </c>
      <c r="K502" s="582" t="s">
        <v>8</v>
      </c>
      <c r="L502" s="137" t="e">
        <f t="shared" si="141"/>
        <v>#VALUE!</v>
      </c>
    </row>
    <row r="503" spans="1:12" ht="12.75" hidden="1" customHeight="1" x14ac:dyDescent="0.25">
      <c r="A503" s="583"/>
      <c r="B503" s="584"/>
      <c r="C503" s="585"/>
      <c r="D503" s="585"/>
      <c r="E503" s="589"/>
      <c r="F503" s="224" t="s">
        <v>201</v>
      </c>
      <c r="G503" s="224" t="s">
        <v>10</v>
      </c>
      <c r="H503" s="224" t="s">
        <v>11</v>
      </c>
      <c r="I503" s="224" t="s">
        <v>12</v>
      </c>
      <c r="J503" s="589"/>
      <c r="K503" s="592"/>
      <c r="L503" s="137" t="e">
        <f t="shared" si="141"/>
        <v>#DIV/0!</v>
      </c>
    </row>
    <row r="504" spans="1:12" ht="12.75" hidden="1" customHeight="1" x14ac:dyDescent="0.25">
      <c r="A504" s="95" t="s">
        <v>18</v>
      </c>
      <c r="B504" s="223" t="s">
        <v>19</v>
      </c>
      <c r="C504" s="223" t="s">
        <v>20</v>
      </c>
      <c r="D504" s="223" t="s">
        <v>21</v>
      </c>
      <c r="E504" s="223" t="s">
        <v>22</v>
      </c>
      <c r="F504" s="223" t="s">
        <v>23</v>
      </c>
      <c r="G504" s="223" t="s">
        <v>24</v>
      </c>
      <c r="H504" s="223" t="s">
        <v>25</v>
      </c>
      <c r="I504" s="223" t="s">
        <v>26</v>
      </c>
      <c r="J504" s="223" t="s">
        <v>27</v>
      </c>
      <c r="K504" s="99" t="s">
        <v>28</v>
      </c>
      <c r="L504" s="137">
        <f t="shared" si="141"/>
        <v>1.25</v>
      </c>
    </row>
    <row r="505" spans="1:12" ht="12.75" hidden="1" customHeight="1" x14ac:dyDescent="0.25">
      <c r="A505" s="94">
        <v>5416</v>
      </c>
      <c r="B505" s="229">
        <v>621200</v>
      </c>
      <c r="C505" s="84" t="s">
        <v>443</v>
      </c>
      <c r="D505" s="108"/>
      <c r="E505" s="109">
        <f t="shared" si="127"/>
        <v>0</v>
      </c>
      <c r="F505" s="108"/>
      <c r="G505" s="108"/>
      <c r="H505" s="108"/>
      <c r="I505" s="108"/>
      <c r="J505" s="108"/>
      <c r="K505" s="110"/>
      <c r="L505" s="137" t="e">
        <f t="shared" si="141"/>
        <v>#DIV/0!</v>
      </c>
    </row>
    <row r="506" spans="1:12" ht="12.75" hidden="1" customHeight="1" x14ac:dyDescent="0.25">
      <c r="A506" s="94">
        <v>5417</v>
      </c>
      <c r="B506" s="229">
        <v>621300</v>
      </c>
      <c r="C506" s="84" t="s">
        <v>444</v>
      </c>
      <c r="D506" s="108"/>
      <c r="E506" s="109">
        <f t="shared" si="127"/>
        <v>0</v>
      </c>
      <c r="F506" s="108"/>
      <c r="G506" s="108"/>
      <c r="H506" s="108"/>
      <c r="I506" s="108"/>
      <c r="J506" s="108"/>
      <c r="K506" s="110"/>
      <c r="L506" s="137" t="e">
        <f t="shared" si="141"/>
        <v>#DIV/0!</v>
      </c>
    </row>
    <row r="507" spans="1:12" ht="12.75" hidden="1" customHeight="1" x14ac:dyDescent="0.25">
      <c r="A507" s="94">
        <v>5418</v>
      </c>
      <c r="B507" s="229">
        <v>621400</v>
      </c>
      <c r="C507" s="84" t="s">
        <v>445</v>
      </c>
      <c r="D507" s="108"/>
      <c r="E507" s="109">
        <f t="shared" si="127"/>
        <v>0</v>
      </c>
      <c r="F507" s="108"/>
      <c r="G507" s="108"/>
      <c r="H507" s="108"/>
      <c r="I507" s="108"/>
      <c r="J507" s="108"/>
      <c r="K507" s="110"/>
      <c r="L507" s="137" t="e">
        <f t="shared" si="141"/>
        <v>#DIV/0!</v>
      </c>
    </row>
    <row r="508" spans="1:12" ht="12.75" hidden="1" customHeight="1" x14ac:dyDescent="0.25">
      <c r="A508" s="94">
        <v>5419</v>
      </c>
      <c r="B508" s="229">
        <v>621500</v>
      </c>
      <c r="C508" s="84" t="s">
        <v>446</v>
      </c>
      <c r="D508" s="108"/>
      <c r="E508" s="109">
        <f t="shared" si="127"/>
        <v>0</v>
      </c>
      <c r="F508" s="108"/>
      <c r="G508" s="108"/>
      <c r="H508" s="108"/>
      <c r="I508" s="108"/>
      <c r="J508" s="108"/>
      <c r="K508" s="110"/>
      <c r="L508" s="137" t="e">
        <f t="shared" si="141"/>
        <v>#DIV/0!</v>
      </c>
    </row>
    <row r="509" spans="1:12" ht="12.75" hidden="1" customHeight="1" x14ac:dyDescent="0.25">
      <c r="A509" s="94">
        <v>5420</v>
      </c>
      <c r="B509" s="229">
        <v>621600</v>
      </c>
      <c r="C509" s="84" t="s">
        <v>447</v>
      </c>
      <c r="D509" s="108"/>
      <c r="E509" s="109">
        <f t="shared" si="127"/>
        <v>0</v>
      </c>
      <c r="F509" s="108"/>
      <c r="G509" s="108"/>
      <c r="H509" s="108"/>
      <c r="I509" s="108"/>
      <c r="J509" s="108"/>
      <c r="K509" s="110"/>
      <c r="L509" s="137" t="e">
        <f t="shared" si="141"/>
        <v>#DIV/0!</v>
      </c>
    </row>
    <row r="510" spans="1:12" ht="12.75" hidden="1" customHeight="1" x14ac:dyDescent="0.25">
      <c r="A510" s="94">
        <v>5421</v>
      </c>
      <c r="B510" s="229">
        <v>621700</v>
      </c>
      <c r="C510" s="84" t="s">
        <v>448</v>
      </c>
      <c r="D510" s="108"/>
      <c r="E510" s="109">
        <f t="shared" si="127"/>
        <v>0</v>
      </c>
      <c r="F510" s="108"/>
      <c r="G510" s="108"/>
      <c r="H510" s="108"/>
      <c r="I510" s="108"/>
      <c r="J510" s="108"/>
      <c r="K510" s="110"/>
      <c r="L510" s="137" t="e">
        <f t="shared" si="141"/>
        <v>#DIV/0!</v>
      </c>
    </row>
    <row r="511" spans="1:12" ht="12.75" hidden="1" customHeight="1" x14ac:dyDescent="0.25">
      <c r="A511" s="94">
        <v>5422</v>
      </c>
      <c r="B511" s="229">
        <v>621800</v>
      </c>
      <c r="C511" s="84" t="s">
        <v>449</v>
      </c>
      <c r="D511" s="108"/>
      <c r="E511" s="109">
        <f t="shared" si="127"/>
        <v>0</v>
      </c>
      <c r="F511" s="108"/>
      <c r="G511" s="108"/>
      <c r="H511" s="108"/>
      <c r="I511" s="108"/>
      <c r="J511" s="108"/>
      <c r="K511" s="110"/>
      <c r="L511" s="137" t="e">
        <f t="shared" si="141"/>
        <v>#DIV/0!</v>
      </c>
    </row>
    <row r="512" spans="1:12" ht="12.75" hidden="1" customHeight="1" x14ac:dyDescent="0.25">
      <c r="A512" s="94">
        <v>5423</v>
      </c>
      <c r="B512" s="229">
        <v>621900</v>
      </c>
      <c r="C512" s="84" t="s">
        <v>450</v>
      </c>
      <c r="D512" s="108"/>
      <c r="E512" s="109">
        <f t="shared" si="127"/>
        <v>0</v>
      </c>
      <c r="F512" s="108"/>
      <c r="G512" s="108"/>
      <c r="H512" s="108"/>
      <c r="I512" s="108"/>
      <c r="J512" s="108"/>
      <c r="K512" s="110"/>
      <c r="L512" s="137" t="e">
        <f t="shared" si="141"/>
        <v>#DIV/0!</v>
      </c>
    </row>
    <row r="513" spans="1:12" ht="12.75" hidden="1" customHeight="1" x14ac:dyDescent="0.25">
      <c r="A513" s="93">
        <v>5424</v>
      </c>
      <c r="B513" s="224">
        <v>622000</v>
      </c>
      <c r="C513" s="82" t="s">
        <v>451</v>
      </c>
      <c r="D513" s="100">
        <f>SUM(D514:D521)</f>
        <v>0</v>
      </c>
      <c r="E513" s="100">
        <f t="shared" si="127"/>
        <v>0</v>
      </c>
      <c r="F513" s="100">
        <f t="shared" ref="F513:K513" si="147">SUM(F514:F521)</f>
        <v>0</v>
      </c>
      <c r="G513" s="100">
        <f t="shared" si="147"/>
        <v>0</v>
      </c>
      <c r="H513" s="100">
        <f t="shared" si="147"/>
        <v>0</v>
      </c>
      <c r="I513" s="100">
        <f t="shared" si="147"/>
        <v>0</v>
      </c>
      <c r="J513" s="100">
        <f t="shared" si="147"/>
        <v>0</v>
      </c>
      <c r="K513" s="101">
        <f t="shared" si="147"/>
        <v>0</v>
      </c>
      <c r="L513" s="137" t="e">
        <f t="shared" si="141"/>
        <v>#DIV/0!</v>
      </c>
    </row>
    <row r="514" spans="1:12" ht="12.75" hidden="1" customHeight="1" x14ac:dyDescent="0.25">
      <c r="A514" s="94">
        <v>5425</v>
      </c>
      <c r="B514" s="229">
        <v>622100</v>
      </c>
      <c r="C514" s="84" t="s">
        <v>452</v>
      </c>
      <c r="D514" s="108"/>
      <c r="E514" s="109">
        <f t="shared" si="127"/>
        <v>0</v>
      </c>
      <c r="F514" s="108"/>
      <c r="G514" s="108"/>
      <c r="H514" s="108"/>
      <c r="I514" s="108"/>
      <c r="J514" s="108"/>
      <c r="K514" s="110"/>
      <c r="L514" s="137" t="e">
        <f t="shared" si="141"/>
        <v>#DIV/0!</v>
      </c>
    </row>
    <row r="515" spans="1:12" ht="12.75" hidden="1" customHeight="1" x14ac:dyDescent="0.25">
      <c r="A515" s="94">
        <v>5426</v>
      </c>
      <c r="B515" s="229">
        <v>622200</v>
      </c>
      <c r="C515" s="84" t="s">
        <v>453</v>
      </c>
      <c r="D515" s="108"/>
      <c r="E515" s="109">
        <f t="shared" si="127"/>
        <v>0</v>
      </c>
      <c r="F515" s="108"/>
      <c r="G515" s="108"/>
      <c r="H515" s="108"/>
      <c r="I515" s="108"/>
      <c r="J515" s="108"/>
      <c r="K515" s="110"/>
      <c r="L515" s="137" t="e">
        <f t="shared" si="141"/>
        <v>#DIV/0!</v>
      </c>
    </row>
    <row r="516" spans="1:12" ht="12.75" hidden="1" customHeight="1" x14ac:dyDescent="0.25">
      <c r="A516" s="94">
        <v>5427</v>
      </c>
      <c r="B516" s="229">
        <v>622300</v>
      </c>
      <c r="C516" s="84" t="s">
        <v>454</v>
      </c>
      <c r="D516" s="108"/>
      <c r="E516" s="109">
        <f t="shared" si="127"/>
        <v>0</v>
      </c>
      <c r="F516" s="108"/>
      <c r="G516" s="108"/>
      <c r="H516" s="108"/>
      <c r="I516" s="108"/>
      <c r="J516" s="108"/>
      <c r="K516" s="110"/>
      <c r="L516" s="137" t="e">
        <f t="shared" si="141"/>
        <v>#DIV/0!</v>
      </c>
    </row>
    <row r="517" spans="1:12" ht="12.75" hidden="1" customHeight="1" x14ac:dyDescent="0.25">
      <c r="A517" s="94">
        <v>5428</v>
      </c>
      <c r="B517" s="229">
        <v>622400</v>
      </c>
      <c r="C517" s="84" t="s">
        <v>455</v>
      </c>
      <c r="D517" s="108"/>
      <c r="E517" s="109">
        <f t="shared" si="127"/>
        <v>0</v>
      </c>
      <c r="F517" s="108"/>
      <c r="G517" s="108"/>
      <c r="H517" s="108"/>
      <c r="I517" s="108"/>
      <c r="J517" s="108"/>
      <c r="K517" s="110"/>
      <c r="L517" s="137" t="e">
        <f t="shared" si="141"/>
        <v>#DIV/0!</v>
      </c>
    </row>
    <row r="518" spans="1:12" ht="12.75" hidden="1" customHeight="1" x14ac:dyDescent="0.25">
      <c r="A518" s="94">
        <v>5429</v>
      </c>
      <c r="B518" s="229">
        <v>622500</v>
      </c>
      <c r="C518" s="84" t="s">
        <v>456</v>
      </c>
      <c r="D518" s="108"/>
      <c r="E518" s="109">
        <f t="shared" si="127"/>
        <v>0</v>
      </c>
      <c r="F518" s="108"/>
      <c r="G518" s="108"/>
      <c r="H518" s="108"/>
      <c r="I518" s="108"/>
      <c r="J518" s="108"/>
      <c r="K518" s="110"/>
      <c r="L518" s="137" t="e">
        <f t="shared" si="141"/>
        <v>#DIV/0!</v>
      </c>
    </row>
    <row r="519" spans="1:12" ht="12.75" hidden="1" customHeight="1" x14ac:dyDescent="0.25">
      <c r="A519" s="94">
        <v>5430</v>
      </c>
      <c r="B519" s="229">
        <v>622600</v>
      </c>
      <c r="C519" s="84" t="s">
        <v>457</v>
      </c>
      <c r="D519" s="108"/>
      <c r="E519" s="109">
        <f t="shared" ref="E519:E524" si="148">SUM(F519:K519)</f>
        <v>0</v>
      </c>
      <c r="F519" s="108"/>
      <c r="G519" s="108"/>
      <c r="H519" s="108"/>
      <c r="I519" s="108"/>
      <c r="J519" s="108"/>
      <c r="K519" s="110"/>
      <c r="L519" s="137" t="e">
        <f t="shared" si="141"/>
        <v>#DIV/0!</v>
      </c>
    </row>
    <row r="520" spans="1:12" ht="12.75" hidden="1" customHeight="1" x14ac:dyDescent="0.25">
      <c r="A520" s="94">
        <v>5431</v>
      </c>
      <c r="B520" s="229">
        <v>622700</v>
      </c>
      <c r="C520" s="84" t="s">
        <v>458</v>
      </c>
      <c r="D520" s="108"/>
      <c r="E520" s="109">
        <f t="shared" si="148"/>
        <v>0</v>
      </c>
      <c r="F520" s="108"/>
      <c r="G520" s="108"/>
      <c r="H520" s="108"/>
      <c r="I520" s="108"/>
      <c r="J520" s="108"/>
      <c r="K520" s="110"/>
      <c r="L520" s="137" t="e">
        <f t="shared" si="141"/>
        <v>#DIV/0!</v>
      </c>
    </row>
    <row r="521" spans="1:12" ht="12.75" hidden="1" customHeight="1" x14ac:dyDescent="0.25">
      <c r="A521" s="94">
        <v>5432</v>
      </c>
      <c r="B521" s="229">
        <v>622800</v>
      </c>
      <c r="C521" s="84" t="s">
        <v>459</v>
      </c>
      <c r="D521" s="108"/>
      <c r="E521" s="109">
        <f t="shared" si="148"/>
        <v>0</v>
      </c>
      <c r="F521" s="108"/>
      <c r="G521" s="108"/>
      <c r="H521" s="108"/>
      <c r="I521" s="108"/>
      <c r="J521" s="108"/>
      <c r="K521" s="110"/>
      <c r="L521" s="137" t="e">
        <f t="shared" si="141"/>
        <v>#DIV/0!</v>
      </c>
    </row>
    <row r="522" spans="1:12" ht="12.75" hidden="1" customHeight="1" x14ac:dyDescent="0.25">
      <c r="A522" s="93">
        <v>5433</v>
      </c>
      <c r="B522" s="224">
        <v>623000</v>
      </c>
      <c r="C522" s="82" t="s">
        <v>460</v>
      </c>
      <c r="D522" s="100">
        <f>D523</f>
        <v>0</v>
      </c>
      <c r="E522" s="100">
        <f t="shared" si="148"/>
        <v>0</v>
      </c>
      <c r="F522" s="100">
        <f t="shared" ref="F522:K522" si="149">F523</f>
        <v>0</v>
      </c>
      <c r="G522" s="100">
        <f t="shared" si="149"/>
        <v>0</v>
      </c>
      <c r="H522" s="100">
        <f t="shared" si="149"/>
        <v>0</v>
      </c>
      <c r="I522" s="100">
        <f t="shared" si="149"/>
        <v>0</v>
      </c>
      <c r="J522" s="100">
        <f t="shared" si="149"/>
        <v>0</v>
      </c>
      <c r="K522" s="101">
        <f t="shared" si="149"/>
        <v>0</v>
      </c>
      <c r="L522" s="137" t="e">
        <f t="shared" si="141"/>
        <v>#DIV/0!</v>
      </c>
    </row>
    <row r="523" spans="1:12" ht="12.75" hidden="1" customHeight="1" x14ac:dyDescent="0.25">
      <c r="A523" s="94">
        <v>5434</v>
      </c>
      <c r="B523" s="229">
        <v>623100</v>
      </c>
      <c r="C523" s="84" t="s">
        <v>461</v>
      </c>
      <c r="D523" s="108"/>
      <c r="E523" s="109">
        <f t="shared" si="148"/>
        <v>0</v>
      </c>
      <c r="F523" s="108"/>
      <c r="G523" s="108"/>
      <c r="H523" s="108"/>
      <c r="I523" s="108"/>
      <c r="J523" s="108"/>
      <c r="K523" s="110"/>
      <c r="L523" s="137" t="e">
        <f t="shared" si="141"/>
        <v>#DIV/0!</v>
      </c>
    </row>
    <row r="524" spans="1:12" ht="12.75" customHeight="1" thickBot="1" x14ac:dyDescent="0.3">
      <c r="A524" s="96">
        <v>5435</v>
      </c>
      <c r="B524" s="88"/>
      <c r="C524" s="89" t="s">
        <v>462</v>
      </c>
      <c r="D524" s="113">
        <f>D220+D468</f>
        <v>1527836</v>
      </c>
      <c r="E524" s="113">
        <f t="shared" si="148"/>
        <v>1158819</v>
      </c>
      <c r="F524" s="113">
        <f t="shared" ref="F524:K524" si="150">F220+F468</f>
        <v>11839</v>
      </c>
      <c r="G524" s="113">
        <f t="shared" si="150"/>
        <v>0</v>
      </c>
      <c r="H524" s="113">
        <f t="shared" si="150"/>
        <v>0</v>
      </c>
      <c r="I524" s="113">
        <f t="shared" si="150"/>
        <v>1132382</v>
      </c>
      <c r="J524" s="113">
        <f t="shared" si="150"/>
        <v>0</v>
      </c>
      <c r="K524" s="114">
        <f t="shared" si="150"/>
        <v>14598</v>
      </c>
      <c r="L524" s="138">
        <f t="shared" si="141"/>
        <v>0.75847080445807014</v>
      </c>
    </row>
    <row r="525" spans="1:12" ht="18.75" customHeight="1" x14ac:dyDescent="0.25">
      <c r="A525" s="90"/>
      <c r="B525" s="91"/>
      <c r="C525" s="91"/>
      <c r="D525" s="91"/>
      <c r="E525" s="91"/>
      <c r="F525" s="91"/>
      <c r="G525" s="91"/>
      <c r="H525" s="91"/>
      <c r="I525" s="91"/>
      <c r="J525" s="91"/>
      <c r="K525" s="91"/>
    </row>
    <row r="526" spans="1:12" ht="12.75" customHeight="1" x14ac:dyDescent="0.25">
      <c r="A526" s="92" t="s">
        <v>516</v>
      </c>
      <c r="B526" s="91"/>
      <c r="C526" s="91"/>
      <c r="D526" s="91"/>
      <c r="E526" s="91"/>
      <c r="F526" s="91"/>
      <c r="G526" s="91"/>
      <c r="H526" s="91"/>
      <c r="I526" s="91"/>
      <c r="J526" s="91"/>
      <c r="K526" s="91"/>
    </row>
    <row r="527" spans="1:12" ht="12.75" customHeight="1" thickBot="1" x14ac:dyDescent="0.3">
      <c r="A527" s="90"/>
      <c r="B527" s="91"/>
      <c r="C527" s="91"/>
      <c r="D527" s="91"/>
      <c r="E527" s="91"/>
      <c r="F527" s="91"/>
      <c r="G527" s="91"/>
      <c r="H527" s="91"/>
      <c r="I527" s="91"/>
      <c r="J527" s="91"/>
      <c r="K527" s="91"/>
    </row>
    <row r="528" spans="1:12" ht="12.75" customHeight="1" x14ac:dyDescent="0.25">
      <c r="A528" s="572" t="s">
        <v>0</v>
      </c>
      <c r="B528" s="574" t="s">
        <v>1</v>
      </c>
      <c r="C528" s="574" t="s">
        <v>2</v>
      </c>
      <c r="D528" s="574" t="s">
        <v>517</v>
      </c>
      <c r="E528" s="574" t="s">
        <v>518</v>
      </c>
      <c r="F528" s="574"/>
      <c r="G528" s="574"/>
      <c r="H528" s="574"/>
      <c r="I528" s="574"/>
      <c r="J528" s="574"/>
      <c r="K528" s="593"/>
    </row>
    <row r="529" spans="1:11" ht="12.75" customHeight="1" x14ac:dyDescent="0.25">
      <c r="A529" s="573"/>
      <c r="B529" s="575"/>
      <c r="C529" s="575"/>
      <c r="D529" s="575"/>
      <c r="E529" s="575" t="s">
        <v>199</v>
      </c>
      <c r="F529" s="575" t="s">
        <v>519</v>
      </c>
      <c r="G529" s="575"/>
      <c r="H529" s="575"/>
      <c r="I529" s="575"/>
      <c r="J529" s="575" t="s">
        <v>7</v>
      </c>
      <c r="K529" s="594" t="s">
        <v>8</v>
      </c>
    </row>
    <row r="530" spans="1:11" s="115" customFormat="1" ht="12.75" customHeight="1" x14ac:dyDescent="0.25">
      <c r="A530" s="573"/>
      <c r="B530" s="575"/>
      <c r="C530" s="575"/>
      <c r="D530" s="575"/>
      <c r="E530" s="589"/>
      <c r="F530" s="224" t="s">
        <v>9</v>
      </c>
      <c r="G530" s="224" t="s">
        <v>10</v>
      </c>
      <c r="H530" s="224" t="s">
        <v>11</v>
      </c>
      <c r="I530" s="224" t="s">
        <v>12</v>
      </c>
      <c r="J530" s="575"/>
      <c r="K530" s="594"/>
    </row>
    <row r="531" spans="1:11" s="115" customFormat="1" ht="12.75" customHeight="1" x14ac:dyDescent="0.25">
      <c r="A531" s="226">
        <v>1</v>
      </c>
      <c r="B531" s="224">
        <v>2</v>
      </c>
      <c r="C531" s="224">
        <v>3</v>
      </c>
      <c r="D531" s="224">
        <v>4</v>
      </c>
      <c r="E531" s="224">
        <v>5</v>
      </c>
      <c r="F531" s="224">
        <v>6</v>
      </c>
      <c r="G531" s="224">
        <v>7</v>
      </c>
      <c r="H531" s="224">
        <v>8</v>
      </c>
      <c r="I531" s="224">
        <v>9</v>
      </c>
      <c r="J531" s="224">
        <v>10</v>
      </c>
      <c r="K531" s="227">
        <v>11</v>
      </c>
    </row>
    <row r="532" spans="1:11" s="115" customFormat="1" ht="12.75" customHeight="1" x14ac:dyDescent="0.25">
      <c r="A532" s="226">
        <v>5436</v>
      </c>
      <c r="B532" s="224"/>
      <c r="C532" s="82" t="s">
        <v>520</v>
      </c>
      <c r="D532" s="100">
        <f>D9</f>
        <v>1522451</v>
      </c>
      <c r="E532" s="100">
        <f>SUM(F532:K532)</f>
        <v>1153554</v>
      </c>
      <c r="F532" s="100">
        <f t="shared" ref="F532:K532" si="151">F9</f>
        <v>11653</v>
      </c>
      <c r="G532" s="100">
        <f t="shared" si="151"/>
        <v>0</v>
      </c>
      <c r="H532" s="100">
        <f t="shared" si="151"/>
        <v>0</v>
      </c>
      <c r="I532" s="100">
        <f t="shared" si="151"/>
        <v>1132192</v>
      </c>
      <c r="J532" s="100">
        <f t="shared" si="151"/>
        <v>0</v>
      </c>
      <c r="K532" s="121">
        <f t="shared" si="151"/>
        <v>9709</v>
      </c>
    </row>
    <row r="533" spans="1:11" s="115" customFormat="1" ht="12.75" customHeight="1" x14ac:dyDescent="0.25">
      <c r="A533" s="226">
        <v>5437</v>
      </c>
      <c r="B533" s="224"/>
      <c r="C533" s="82" t="s">
        <v>521</v>
      </c>
      <c r="D533" s="100">
        <f>D220</f>
        <v>1527836</v>
      </c>
      <c r="E533" s="100">
        <f>SUM(F533:K533)</f>
        <v>1158819</v>
      </c>
      <c r="F533" s="100">
        <f t="shared" ref="F533:K533" si="152">F220</f>
        <v>11839</v>
      </c>
      <c r="G533" s="100">
        <f t="shared" si="152"/>
        <v>0</v>
      </c>
      <c r="H533" s="100">
        <f t="shared" si="152"/>
        <v>0</v>
      </c>
      <c r="I533" s="100">
        <f t="shared" si="152"/>
        <v>1132382</v>
      </c>
      <c r="J533" s="100">
        <f t="shared" si="152"/>
        <v>0</v>
      </c>
      <c r="K533" s="121">
        <f t="shared" si="152"/>
        <v>14598</v>
      </c>
    </row>
    <row r="534" spans="1:11" s="115" customFormat="1" ht="12.75" customHeight="1" x14ac:dyDescent="0.25">
      <c r="A534" s="83">
        <v>5438</v>
      </c>
      <c r="B534" s="229"/>
      <c r="C534" s="84" t="s">
        <v>522</v>
      </c>
      <c r="D534" s="109">
        <f>IF((D532-D533)&gt;0,D532-D533,0)</f>
        <v>0</v>
      </c>
      <c r="E534" s="109">
        <f>IF((E532-E533)&gt;0,E532-E533,0)</f>
        <v>0</v>
      </c>
      <c r="F534" s="109">
        <f t="shared" ref="F534:K534" si="153">IF((F532-F533)&gt;0,F532-F533,0)</f>
        <v>0</v>
      </c>
      <c r="G534" s="109">
        <f t="shared" si="153"/>
        <v>0</v>
      </c>
      <c r="H534" s="109">
        <f t="shared" si="153"/>
        <v>0</v>
      </c>
      <c r="I534" s="109">
        <f t="shared" si="153"/>
        <v>0</v>
      </c>
      <c r="J534" s="109">
        <f t="shared" si="153"/>
        <v>0</v>
      </c>
      <c r="K534" s="122">
        <f t="shared" si="153"/>
        <v>0</v>
      </c>
    </row>
    <row r="535" spans="1:11" s="115" customFormat="1" ht="12.75" customHeight="1" x14ac:dyDescent="0.25">
      <c r="A535" s="83">
        <v>5439</v>
      </c>
      <c r="B535" s="229"/>
      <c r="C535" s="84" t="s">
        <v>523</v>
      </c>
      <c r="D535" s="109">
        <f>IF((D533-D532)&gt;0,D533-D532,0)</f>
        <v>5385</v>
      </c>
      <c r="E535" s="109">
        <f>IF((E533-E532)&gt;0,E533-E532,0)</f>
        <v>5265</v>
      </c>
      <c r="F535" s="109">
        <f t="shared" ref="F535:K535" si="154">IF((F533-F532)&gt;0,F533-F532,0)</f>
        <v>186</v>
      </c>
      <c r="G535" s="109">
        <f t="shared" si="154"/>
        <v>0</v>
      </c>
      <c r="H535" s="109">
        <f t="shared" si="154"/>
        <v>0</v>
      </c>
      <c r="I535" s="109">
        <f t="shared" si="154"/>
        <v>190</v>
      </c>
      <c r="J535" s="109">
        <f t="shared" si="154"/>
        <v>0</v>
      </c>
      <c r="K535" s="122">
        <f t="shared" si="154"/>
        <v>4889</v>
      </c>
    </row>
    <row r="536" spans="1:11" s="115" customFormat="1" ht="12.75" customHeight="1" x14ac:dyDescent="0.25">
      <c r="A536" s="226">
        <v>5440</v>
      </c>
      <c r="B536" s="224">
        <v>900000</v>
      </c>
      <c r="C536" s="82" t="s">
        <v>524</v>
      </c>
      <c r="D536" s="100">
        <f>D163</f>
        <v>0</v>
      </c>
      <c r="E536" s="100">
        <f>SUM(F536:K536)</f>
        <v>0</v>
      </c>
      <c r="F536" s="100">
        <f t="shared" ref="F536:K536" si="155">F163</f>
        <v>0</v>
      </c>
      <c r="G536" s="100">
        <f t="shared" si="155"/>
        <v>0</v>
      </c>
      <c r="H536" s="100">
        <f t="shared" si="155"/>
        <v>0</v>
      </c>
      <c r="I536" s="100">
        <f t="shared" si="155"/>
        <v>0</v>
      </c>
      <c r="J536" s="100">
        <f t="shared" si="155"/>
        <v>0</v>
      </c>
      <c r="K536" s="121">
        <f t="shared" si="155"/>
        <v>0</v>
      </c>
    </row>
    <row r="537" spans="1:11" s="115" customFormat="1" ht="12.75" customHeight="1" x14ac:dyDescent="0.25">
      <c r="A537" s="226">
        <v>5441</v>
      </c>
      <c r="B537" s="224">
        <v>600000</v>
      </c>
      <c r="C537" s="82" t="s">
        <v>525</v>
      </c>
      <c r="D537" s="100">
        <f>D468</f>
        <v>0</v>
      </c>
      <c r="E537" s="100">
        <f>SUM(F537:K537)</f>
        <v>0</v>
      </c>
      <c r="F537" s="100">
        <f t="shared" ref="F537:K537" si="156">F468</f>
        <v>0</v>
      </c>
      <c r="G537" s="100">
        <f t="shared" si="156"/>
        <v>0</v>
      </c>
      <c r="H537" s="100">
        <f t="shared" si="156"/>
        <v>0</v>
      </c>
      <c r="I537" s="100">
        <f t="shared" si="156"/>
        <v>0</v>
      </c>
      <c r="J537" s="100">
        <f t="shared" si="156"/>
        <v>0</v>
      </c>
      <c r="K537" s="121">
        <f t="shared" si="156"/>
        <v>0</v>
      </c>
    </row>
    <row r="538" spans="1:11" s="115" customFormat="1" ht="12.75" customHeight="1" x14ac:dyDescent="0.25">
      <c r="A538" s="226">
        <v>5442</v>
      </c>
      <c r="B538" s="224"/>
      <c r="C538" s="82" t="s">
        <v>526</v>
      </c>
      <c r="D538" s="100">
        <f>IF((D536-D537)&gt;0,D536-D537,0)</f>
        <v>0</v>
      </c>
      <c r="E538" s="100">
        <f>IF((E536-E537)&gt;0,E536-E537,0)</f>
        <v>0</v>
      </c>
      <c r="F538" s="100">
        <f t="shared" ref="F538:K538" si="157">IF((F536-F537)&gt;0,F536-F537,0)</f>
        <v>0</v>
      </c>
      <c r="G538" s="100">
        <f t="shared" si="157"/>
        <v>0</v>
      </c>
      <c r="H538" s="100">
        <f t="shared" si="157"/>
        <v>0</v>
      </c>
      <c r="I538" s="100">
        <f t="shared" si="157"/>
        <v>0</v>
      </c>
      <c r="J538" s="100">
        <f t="shared" si="157"/>
        <v>0</v>
      </c>
      <c r="K538" s="121">
        <f t="shared" si="157"/>
        <v>0</v>
      </c>
    </row>
    <row r="539" spans="1:11" s="115" customFormat="1" ht="12.75" customHeight="1" x14ac:dyDescent="0.25">
      <c r="A539" s="226">
        <v>5443</v>
      </c>
      <c r="B539" s="224"/>
      <c r="C539" s="82" t="s">
        <v>527</v>
      </c>
      <c r="D539" s="100">
        <f>IF((D537-D536)&gt;0,D537-D536,0)</f>
        <v>0</v>
      </c>
      <c r="E539" s="100">
        <f>IF((E537-E536)&gt;0,E537-E536,0)</f>
        <v>0</v>
      </c>
      <c r="F539" s="100">
        <f t="shared" ref="F539:K539" si="158">IF((F537-F536)&gt;0,F537-F536,0)</f>
        <v>0</v>
      </c>
      <c r="G539" s="100">
        <f t="shared" si="158"/>
        <v>0</v>
      </c>
      <c r="H539" s="100">
        <f t="shared" si="158"/>
        <v>0</v>
      </c>
      <c r="I539" s="100">
        <f t="shared" si="158"/>
        <v>0</v>
      </c>
      <c r="J539" s="100">
        <f t="shared" si="158"/>
        <v>0</v>
      </c>
      <c r="K539" s="121">
        <f t="shared" si="158"/>
        <v>0</v>
      </c>
    </row>
    <row r="540" spans="1:11" s="115" customFormat="1" ht="12.75" customHeight="1" x14ac:dyDescent="0.25">
      <c r="A540" s="226">
        <v>5444</v>
      </c>
      <c r="B540" s="224"/>
      <c r="C540" s="82" t="s">
        <v>528</v>
      </c>
      <c r="D540" s="100">
        <f t="shared" ref="D540:K540" si="159">IF(D211-D524&gt;0,D211-D524,0)</f>
        <v>0</v>
      </c>
      <c r="E540" s="100">
        <f t="shared" si="159"/>
        <v>0</v>
      </c>
      <c r="F540" s="100">
        <f t="shared" si="159"/>
        <v>0</v>
      </c>
      <c r="G540" s="100">
        <f t="shared" si="159"/>
        <v>0</v>
      </c>
      <c r="H540" s="100">
        <f t="shared" si="159"/>
        <v>0</v>
      </c>
      <c r="I540" s="100">
        <f t="shared" si="159"/>
        <v>0</v>
      </c>
      <c r="J540" s="100">
        <f t="shared" si="159"/>
        <v>0</v>
      </c>
      <c r="K540" s="121">
        <f t="shared" si="159"/>
        <v>0</v>
      </c>
    </row>
    <row r="541" spans="1:11" s="115" customFormat="1" ht="12.75" customHeight="1" thickBot="1" x14ac:dyDescent="0.3">
      <c r="A541" s="87">
        <v>5445</v>
      </c>
      <c r="B541" s="97"/>
      <c r="C541" s="89" t="s">
        <v>529</v>
      </c>
      <c r="D541" s="113">
        <f t="shared" ref="D541:K541" si="160">IF(D524-D211&gt;0,D524-D211,0)</f>
        <v>5385</v>
      </c>
      <c r="E541" s="113">
        <f t="shared" si="160"/>
        <v>5265</v>
      </c>
      <c r="F541" s="113">
        <f t="shared" si="160"/>
        <v>186</v>
      </c>
      <c r="G541" s="113">
        <f t="shared" si="160"/>
        <v>0</v>
      </c>
      <c r="H541" s="113">
        <f t="shared" si="160"/>
        <v>0</v>
      </c>
      <c r="I541" s="113">
        <f t="shared" si="160"/>
        <v>190</v>
      </c>
      <c r="J541" s="113">
        <f t="shared" si="160"/>
        <v>0</v>
      </c>
      <c r="K541" s="123">
        <f t="shared" si="160"/>
        <v>4889</v>
      </c>
    </row>
  </sheetData>
  <mergeCells count="191">
    <mergeCell ref="A5:A7"/>
    <mergeCell ref="B5:B7"/>
    <mergeCell ref="C5:C7"/>
    <mergeCell ref="D5:D7"/>
    <mergeCell ref="E5:K5"/>
    <mergeCell ref="L5:L7"/>
    <mergeCell ref="E6:E7"/>
    <mergeCell ref="F6:I6"/>
    <mergeCell ref="J6:J7"/>
    <mergeCell ref="K6:K7"/>
    <mergeCell ref="A14:A16"/>
    <mergeCell ref="B14:B16"/>
    <mergeCell ref="C14:C16"/>
    <mergeCell ref="D14:D16"/>
    <mergeCell ref="E14:K14"/>
    <mergeCell ref="E15:E16"/>
    <mergeCell ref="F15:I15"/>
    <mergeCell ref="J15:J16"/>
    <mergeCell ref="K15:K16"/>
    <mergeCell ref="A46:A48"/>
    <mergeCell ref="B46:B48"/>
    <mergeCell ref="C46:C48"/>
    <mergeCell ref="D46:D48"/>
    <mergeCell ref="E46:K46"/>
    <mergeCell ref="E47:E48"/>
    <mergeCell ref="F47:I47"/>
    <mergeCell ref="J47:J48"/>
    <mergeCell ref="K47:K48"/>
    <mergeCell ref="A73:A75"/>
    <mergeCell ref="B73:B75"/>
    <mergeCell ref="C73:C75"/>
    <mergeCell ref="D73:D75"/>
    <mergeCell ref="E73:K73"/>
    <mergeCell ref="E74:E75"/>
    <mergeCell ref="F74:I74"/>
    <mergeCell ref="J74:J75"/>
    <mergeCell ref="K74:K75"/>
    <mergeCell ref="A103:A105"/>
    <mergeCell ref="B103:B105"/>
    <mergeCell ref="C103:C105"/>
    <mergeCell ref="D103:D105"/>
    <mergeCell ref="E103:K103"/>
    <mergeCell ref="E104:E105"/>
    <mergeCell ref="F104:I104"/>
    <mergeCell ref="J104:J105"/>
    <mergeCell ref="K104:K105"/>
    <mergeCell ref="A129:A131"/>
    <mergeCell ref="B129:B131"/>
    <mergeCell ref="C129:C131"/>
    <mergeCell ref="D129:D131"/>
    <mergeCell ref="E129:K129"/>
    <mergeCell ref="E130:E131"/>
    <mergeCell ref="F130:I130"/>
    <mergeCell ref="J130:J131"/>
    <mergeCell ref="K130:K131"/>
    <mergeCell ref="A156:A158"/>
    <mergeCell ref="B156:B158"/>
    <mergeCell ref="C156:C158"/>
    <mergeCell ref="D156:D158"/>
    <mergeCell ref="E156:K156"/>
    <mergeCell ref="E157:E158"/>
    <mergeCell ref="F157:I157"/>
    <mergeCell ref="J157:J158"/>
    <mergeCell ref="K157:K158"/>
    <mergeCell ref="A182:A184"/>
    <mergeCell ref="B182:B184"/>
    <mergeCell ref="C182:C184"/>
    <mergeCell ref="D182:D184"/>
    <mergeCell ref="E182:K182"/>
    <mergeCell ref="E183:E184"/>
    <mergeCell ref="F183:I183"/>
    <mergeCell ref="J183:J184"/>
    <mergeCell ref="K183:K184"/>
    <mergeCell ref="A204:A206"/>
    <mergeCell ref="B204:B206"/>
    <mergeCell ref="C204:C206"/>
    <mergeCell ref="D204:D206"/>
    <mergeCell ref="E204:K204"/>
    <mergeCell ref="E205:E206"/>
    <mergeCell ref="F205:I205"/>
    <mergeCell ref="J205:J206"/>
    <mergeCell ref="K205:K206"/>
    <mergeCell ref="A216:A218"/>
    <mergeCell ref="B216:B218"/>
    <mergeCell ref="C216:C218"/>
    <mergeCell ref="D216:D218"/>
    <mergeCell ref="E216:K216"/>
    <mergeCell ref="L216:L218"/>
    <mergeCell ref="E217:E218"/>
    <mergeCell ref="F217:I217"/>
    <mergeCell ref="J217:J218"/>
    <mergeCell ref="K217:K218"/>
    <mergeCell ref="A235:A237"/>
    <mergeCell ref="B235:B237"/>
    <mergeCell ref="C235:C237"/>
    <mergeCell ref="D235:D237"/>
    <mergeCell ref="E235:K235"/>
    <mergeCell ref="E236:E237"/>
    <mergeCell ref="F236:I236"/>
    <mergeCell ref="J236:J237"/>
    <mergeCell ref="K236:K237"/>
    <mergeCell ref="A271:A273"/>
    <mergeCell ref="B271:B273"/>
    <mergeCell ref="C271:C273"/>
    <mergeCell ref="D271:D273"/>
    <mergeCell ref="E271:K271"/>
    <mergeCell ref="E272:E273"/>
    <mergeCell ref="F272:I272"/>
    <mergeCell ref="J272:J273"/>
    <mergeCell ref="K272:K273"/>
    <mergeCell ref="A302:A304"/>
    <mergeCell ref="B302:B304"/>
    <mergeCell ref="C302:C304"/>
    <mergeCell ref="D302:D304"/>
    <mergeCell ref="E302:K302"/>
    <mergeCell ref="E303:E304"/>
    <mergeCell ref="F303:I303"/>
    <mergeCell ref="J303:J304"/>
    <mergeCell ref="K303:K304"/>
    <mergeCell ref="A332:A334"/>
    <mergeCell ref="B332:B334"/>
    <mergeCell ref="C332:C334"/>
    <mergeCell ref="D332:D334"/>
    <mergeCell ref="E332:K332"/>
    <mergeCell ref="E333:E334"/>
    <mergeCell ref="F333:I333"/>
    <mergeCell ref="J333:J334"/>
    <mergeCell ref="K333:K334"/>
    <mergeCell ref="A358:A360"/>
    <mergeCell ref="B358:B360"/>
    <mergeCell ref="C358:C360"/>
    <mergeCell ref="D358:D360"/>
    <mergeCell ref="E358:K358"/>
    <mergeCell ref="E359:E360"/>
    <mergeCell ref="F359:I359"/>
    <mergeCell ref="J359:J360"/>
    <mergeCell ref="K359:K360"/>
    <mergeCell ref="A383:A385"/>
    <mergeCell ref="B383:B385"/>
    <mergeCell ref="C383:C385"/>
    <mergeCell ref="D383:D385"/>
    <mergeCell ref="E383:K383"/>
    <mergeCell ref="E384:E385"/>
    <mergeCell ref="F384:I384"/>
    <mergeCell ref="J384:J385"/>
    <mergeCell ref="K384:K385"/>
    <mergeCell ref="A411:A413"/>
    <mergeCell ref="B411:B413"/>
    <mergeCell ref="C411:C413"/>
    <mergeCell ref="D411:D413"/>
    <mergeCell ref="E411:K411"/>
    <mergeCell ref="E412:E413"/>
    <mergeCell ref="F412:I412"/>
    <mergeCell ref="J412:J413"/>
    <mergeCell ref="K412:K413"/>
    <mergeCell ref="A446:A448"/>
    <mergeCell ref="B446:B448"/>
    <mergeCell ref="C446:C448"/>
    <mergeCell ref="D446:D448"/>
    <mergeCell ref="E446:K446"/>
    <mergeCell ref="E447:E448"/>
    <mergeCell ref="F447:I447"/>
    <mergeCell ref="J447:J448"/>
    <mergeCell ref="K447:K448"/>
    <mergeCell ref="A474:A476"/>
    <mergeCell ref="B474:B476"/>
    <mergeCell ref="C474:C476"/>
    <mergeCell ref="D474:D476"/>
    <mergeCell ref="E474:K474"/>
    <mergeCell ref="E475:E476"/>
    <mergeCell ref="F475:I475"/>
    <mergeCell ref="J475:J476"/>
    <mergeCell ref="K475:K476"/>
    <mergeCell ref="A501:A503"/>
    <mergeCell ref="B501:B503"/>
    <mergeCell ref="C501:C503"/>
    <mergeCell ref="D501:D503"/>
    <mergeCell ref="E501:K501"/>
    <mergeCell ref="E502:E503"/>
    <mergeCell ref="F502:I502"/>
    <mergeCell ref="J502:J503"/>
    <mergeCell ref="K502:K503"/>
    <mergeCell ref="A528:A530"/>
    <mergeCell ref="B528:B530"/>
    <mergeCell ref="C528:C530"/>
    <mergeCell ref="D528:D530"/>
    <mergeCell ref="E528:K528"/>
    <mergeCell ref="E529:E530"/>
    <mergeCell ref="F529:I529"/>
    <mergeCell ref="J529:J530"/>
    <mergeCell ref="K529:K530"/>
  </mergeCells>
  <dataValidations count="1">
    <dataValidation type="whole" allowBlank="1" showErrorMessage="1" errorTitle="Upozorenje" error="Niste uneli korektnu vrednost!_x000a_Ponovite unos." sqref="D9:K13 D415:K445 D239:K270 D77:K102 D450:K473 D478:K500 D362:K382 D336:K357 D306:K331 D275:K301 D505:K524 D220:K234 D186:K203 D160:K181 D133:K155 D107:K128 D50:K72 D18:K45 D387:K410 D208:K211">
      <formula1>0</formula1>
      <formula2>999999999</formula2>
    </dataValidation>
  </dataValidations>
  <pageMargins left="0.16" right="0.16" top="0.56999999999999995" bottom="0.26" header="0.22" footer="0.3"/>
  <pageSetup paperSize="9" scale="95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V549"/>
  <sheetViews>
    <sheetView topLeftCell="A210" workbookViewId="0">
      <selection activeCell="M266" sqref="M266"/>
    </sheetView>
  </sheetViews>
  <sheetFormatPr defaultRowHeight="15" x14ac:dyDescent="0.25"/>
  <cols>
    <col min="1" max="1" width="4.85546875" style="152" customWidth="1"/>
    <col min="2" max="2" width="9" style="152" customWidth="1"/>
    <col min="3" max="3" width="28.42578125" style="152" customWidth="1"/>
    <col min="4" max="4" width="3.28515625" style="152" customWidth="1"/>
    <col min="5" max="5" width="8.7109375" style="152" hidden="1" customWidth="1"/>
    <col min="6" max="6" width="9" style="152" customWidth="1"/>
    <col min="7" max="7" width="0" style="152" hidden="1" customWidth="1"/>
    <col min="8" max="8" width="9.7109375" style="152" customWidth="1"/>
    <col min="9" max="9" width="7.5703125" style="152" hidden="1" customWidth="1"/>
    <col min="10" max="10" width="0" style="152" hidden="1" customWidth="1"/>
    <col min="11" max="11" width="7.28515625" style="152" customWidth="1"/>
    <col min="12" max="12" width="6.28515625" style="152" hidden="1" customWidth="1"/>
    <col min="13" max="13" width="10.28515625" style="152" customWidth="1"/>
    <col min="14" max="14" width="0" style="152" hidden="1" customWidth="1"/>
    <col min="15" max="15" width="0.5703125" style="152" hidden="1" customWidth="1"/>
    <col min="16" max="16" width="10.5703125" style="152" customWidth="1"/>
    <col min="17" max="17" width="7.85546875" style="152" hidden="1" customWidth="1"/>
    <col min="18" max="22" width="0" style="152" hidden="1" customWidth="1"/>
    <col min="23" max="16384" width="9.140625" style="152"/>
  </cols>
  <sheetData>
    <row r="1" spans="1:17" ht="33.75" customHeight="1" thickBot="1" x14ac:dyDescent="0.3">
      <c r="A1" s="150" t="s">
        <v>507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</row>
    <row r="2" spans="1:17" ht="15" customHeight="1" thickBot="1" x14ac:dyDescent="0.3">
      <c r="A2" s="623" t="s">
        <v>0</v>
      </c>
      <c r="B2" s="625" t="s">
        <v>1</v>
      </c>
      <c r="C2" s="625" t="s">
        <v>2</v>
      </c>
      <c r="D2" s="627"/>
      <c r="E2" s="628" t="s">
        <v>3</v>
      </c>
      <c r="F2" s="629" t="s">
        <v>3</v>
      </c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1"/>
    </row>
    <row r="3" spans="1:17" ht="29.25" customHeight="1" x14ac:dyDescent="0.25">
      <c r="A3" s="624"/>
      <c r="B3" s="600"/>
      <c r="C3" s="626"/>
      <c r="D3" s="622"/>
      <c r="E3" s="600"/>
      <c r="F3" s="627" t="s">
        <v>510</v>
      </c>
      <c r="G3" s="632" t="s">
        <v>5</v>
      </c>
      <c r="H3" s="633" t="s">
        <v>6</v>
      </c>
      <c r="I3" s="634"/>
      <c r="J3" s="634"/>
      <c r="K3" s="634"/>
      <c r="L3" s="634"/>
      <c r="M3" s="634"/>
      <c r="N3" s="635"/>
      <c r="O3" s="610" t="s">
        <v>7</v>
      </c>
      <c r="P3" s="610" t="s">
        <v>8</v>
      </c>
      <c r="Q3" s="611" t="s">
        <v>8</v>
      </c>
    </row>
    <row r="4" spans="1:17" ht="39" x14ac:dyDescent="0.25">
      <c r="A4" s="624"/>
      <c r="B4" s="600"/>
      <c r="C4" s="626"/>
      <c r="D4" s="610"/>
      <c r="E4" s="600"/>
      <c r="F4" s="610"/>
      <c r="G4" s="607"/>
      <c r="H4" s="153" t="s">
        <v>9</v>
      </c>
      <c r="I4" s="235" t="s">
        <v>9</v>
      </c>
      <c r="J4" s="235" t="s">
        <v>9</v>
      </c>
      <c r="K4" s="235" t="s">
        <v>11</v>
      </c>
      <c r="L4" s="235" t="s">
        <v>11</v>
      </c>
      <c r="M4" s="235" t="s">
        <v>12</v>
      </c>
      <c r="N4" s="235" t="s">
        <v>12</v>
      </c>
      <c r="O4" s="600"/>
      <c r="P4" s="600"/>
      <c r="Q4" s="606"/>
    </row>
    <row r="5" spans="1:17" x14ac:dyDescent="0.25">
      <c r="A5" s="241">
        <v>1</v>
      </c>
      <c r="B5" s="235">
        <v>2</v>
      </c>
      <c r="C5" s="235">
        <v>3</v>
      </c>
      <c r="D5" s="235"/>
      <c r="E5" s="235">
        <v>4</v>
      </c>
      <c r="F5" s="235">
        <v>4</v>
      </c>
      <c r="G5" s="235">
        <v>4</v>
      </c>
      <c r="H5" s="235">
        <v>5</v>
      </c>
      <c r="I5" s="235">
        <v>5</v>
      </c>
      <c r="J5" s="235">
        <v>7</v>
      </c>
      <c r="K5" s="235">
        <v>6</v>
      </c>
      <c r="L5" s="235">
        <v>6</v>
      </c>
      <c r="M5" s="235">
        <v>7</v>
      </c>
      <c r="N5" s="235">
        <v>7</v>
      </c>
      <c r="O5" s="235">
        <v>10</v>
      </c>
      <c r="P5" s="235">
        <v>8</v>
      </c>
      <c r="Q5" s="236">
        <v>8</v>
      </c>
    </row>
    <row r="6" spans="1:17" ht="42" customHeight="1" x14ac:dyDescent="0.25">
      <c r="A6" s="157">
        <v>5001</v>
      </c>
      <c r="B6" s="235"/>
      <c r="C6" s="158" t="s">
        <v>13</v>
      </c>
      <c r="D6" s="158"/>
      <c r="E6" s="159">
        <f>E7+E133</f>
        <v>1500538</v>
      </c>
      <c r="F6" s="159">
        <f>F7+F133</f>
        <v>1529702</v>
      </c>
      <c r="G6" s="159">
        <f t="shared" ref="G6:Q6" si="0">G7+G133</f>
        <v>2912893</v>
      </c>
      <c r="H6" s="159">
        <f t="shared" si="0"/>
        <v>24480</v>
      </c>
      <c r="I6" s="159">
        <f t="shared" si="0"/>
        <v>18738</v>
      </c>
      <c r="J6" s="159">
        <f t="shared" si="0"/>
        <v>0</v>
      </c>
      <c r="K6" s="159">
        <f t="shared" si="0"/>
        <v>8447</v>
      </c>
      <c r="L6" s="159">
        <f t="shared" si="0"/>
        <v>505</v>
      </c>
      <c r="M6" s="159">
        <f t="shared" si="0"/>
        <v>1483920</v>
      </c>
      <c r="N6" s="159">
        <f t="shared" si="0"/>
        <v>1398192</v>
      </c>
      <c r="O6" s="159">
        <f t="shared" si="0"/>
        <v>0</v>
      </c>
      <c r="P6" s="159">
        <f t="shared" si="0"/>
        <v>12855</v>
      </c>
      <c r="Q6" s="160">
        <f t="shared" si="0"/>
        <v>12669</v>
      </c>
    </row>
    <row r="7" spans="1:17" ht="39" x14ac:dyDescent="0.25">
      <c r="A7" s="157">
        <v>5002</v>
      </c>
      <c r="B7" s="235">
        <v>700000</v>
      </c>
      <c r="C7" s="158" t="s">
        <v>14</v>
      </c>
      <c r="D7" s="158"/>
      <c r="E7" s="159">
        <f>E8+E60+E74+E86+E115+E122+E126</f>
        <v>1500338</v>
      </c>
      <c r="F7" s="161">
        <f>F86+F122+F126</f>
        <v>1529447</v>
      </c>
      <c r="G7" s="159">
        <f>G8+G60+G74+G86+G115+G122+G126</f>
        <v>2912709</v>
      </c>
      <c r="H7" s="159">
        <f t="shared" ref="H7:Q7" si="1">H8+H60+H74+H86+H115+H122+H126</f>
        <v>24480</v>
      </c>
      <c r="I7" s="159">
        <f t="shared" si="1"/>
        <v>18738</v>
      </c>
      <c r="J7" s="159">
        <f t="shared" si="1"/>
        <v>0</v>
      </c>
      <c r="K7" s="159">
        <f t="shared" si="1"/>
        <v>8447</v>
      </c>
      <c r="L7" s="159">
        <f t="shared" si="1"/>
        <v>505</v>
      </c>
      <c r="M7" s="159">
        <f t="shared" si="1"/>
        <v>1483920</v>
      </c>
      <c r="N7" s="159">
        <f t="shared" si="1"/>
        <v>1398192</v>
      </c>
      <c r="O7" s="159">
        <f t="shared" si="1"/>
        <v>0</v>
      </c>
      <c r="P7" s="159">
        <f t="shared" si="1"/>
        <v>12600</v>
      </c>
      <c r="Q7" s="160">
        <f t="shared" si="1"/>
        <v>12485</v>
      </c>
    </row>
    <row r="8" spans="1:17" ht="39" hidden="1" customHeight="1" x14ac:dyDescent="0.25">
      <c r="A8" s="241">
        <v>5003</v>
      </c>
      <c r="B8" s="235">
        <v>710000</v>
      </c>
      <c r="C8" s="158" t="s">
        <v>15</v>
      </c>
      <c r="D8" s="158"/>
      <c r="E8" s="162">
        <f>E9+E17+E19+E26+E32+E39+E42+E53</f>
        <v>0</v>
      </c>
      <c r="F8" s="162"/>
      <c r="G8" s="162">
        <f t="shared" ref="G8:G41" si="2">SUM(I8:Q8)</f>
        <v>0</v>
      </c>
      <c r="H8" s="162"/>
      <c r="I8" s="162">
        <f t="shared" ref="I8:Q8" si="3">I9+I17+I19+I26+I32+I39+I42+I53</f>
        <v>0</v>
      </c>
      <c r="J8" s="162">
        <f t="shared" si="3"/>
        <v>0</v>
      </c>
      <c r="K8" s="162"/>
      <c r="L8" s="162">
        <f t="shared" si="3"/>
        <v>0</v>
      </c>
      <c r="M8" s="162"/>
      <c r="N8" s="162">
        <f t="shared" si="3"/>
        <v>0</v>
      </c>
      <c r="O8" s="162">
        <f t="shared" si="3"/>
        <v>0</v>
      </c>
      <c r="P8" s="162"/>
      <c r="Q8" s="163">
        <f t="shared" si="3"/>
        <v>0</v>
      </c>
    </row>
    <row r="9" spans="1:17" ht="39" hidden="1" customHeight="1" x14ac:dyDescent="0.25">
      <c r="A9" s="241">
        <v>5004</v>
      </c>
      <c r="B9" s="235">
        <v>711000</v>
      </c>
      <c r="C9" s="158" t="s">
        <v>16</v>
      </c>
      <c r="D9" s="158"/>
      <c r="E9" s="162">
        <f>SUM(E10:E16)</f>
        <v>0</v>
      </c>
      <c r="F9" s="162"/>
      <c r="G9" s="162">
        <f t="shared" si="2"/>
        <v>0</v>
      </c>
      <c r="H9" s="162"/>
      <c r="I9" s="162">
        <f t="shared" ref="I9:Q9" si="4">SUM(I10:I16)</f>
        <v>0</v>
      </c>
      <c r="J9" s="162">
        <f t="shared" si="4"/>
        <v>0</v>
      </c>
      <c r="K9" s="162"/>
      <c r="L9" s="162">
        <f t="shared" si="4"/>
        <v>0</v>
      </c>
      <c r="M9" s="162"/>
      <c r="N9" s="162">
        <f t="shared" si="4"/>
        <v>0</v>
      </c>
      <c r="O9" s="162">
        <f t="shared" si="4"/>
        <v>0</v>
      </c>
      <c r="P9" s="162"/>
      <c r="Q9" s="163">
        <f t="shared" si="4"/>
        <v>0</v>
      </c>
    </row>
    <row r="10" spans="1:17" ht="39" hidden="1" customHeight="1" x14ac:dyDescent="0.25">
      <c r="A10" s="164">
        <v>5005</v>
      </c>
      <c r="B10" s="165">
        <v>711100</v>
      </c>
      <c r="C10" s="166" t="s">
        <v>17</v>
      </c>
      <c r="D10" s="167"/>
      <c r="E10" s="168"/>
      <c r="F10" s="169"/>
      <c r="G10" s="169">
        <f t="shared" si="2"/>
        <v>0</v>
      </c>
      <c r="H10" s="169"/>
      <c r="I10" s="169"/>
      <c r="J10" s="169"/>
      <c r="K10" s="169"/>
      <c r="L10" s="169"/>
      <c r="M10" s="169"/>
      <c r="N10" s="169"/>
      <c r="O10" s="169"/>
      <c r="P10" s="169"/>
      <c r="Q10" s="170"/>
    </row>
    <row r="11" spans="1:17" ht="24" hidden="1" customHeight="1" x14ac:dyDescent="0.25">
      <c r="A11" s="612" t="s">
        <v>0</v>
      </c>
      <c r="B11" s="615" t="s">
        <v>1</v>
      </c>
      <c r="C11" s="618" t="s">
        <v>2</v>
      </c>
      <c r="D11" s="237"/>
      <c r="E11" s="621" t="s">
        <v>3</v>
      </c>
      <c r="F11" s="235"/>
      <c r="G11" s="600" t="s">
        <v>4</v>
      </c>
      <c r="H11" s="600"/>
      <c r="I11" s="600"/>
      <c r="J11" s="600"/>
      <c r="K11" s="600"/>
      <c r="L11" s="600"/>
      <c r="M11" s="600"/>
      <c r="N11" s="600"/>
      <c r="O11" s="600"/>
      <c r="P11" s="600"/>
      <c r="Q11" s="606"/>
    </row>
    <row r="12" spans="1:17" ht="24" hidden="1" customHeight="1" x14ac:dyDescent="0.25">
      <c r="A12" s="613"/>
      <c r="B12" s="616"/>
      <c r="C12" s="619"/>
      <c r="D12" s="238"/>
      <c r="E12" s="622"/>
      <c r="F12" s="235"/>
      <c r="G12" s="607" t="s">
        <v>5</v>
      </c>
      <c r="H12" s="240"/>
      <c r="I12" s="600" t="s">
        <v>6</v>
      </c>
      <c r="J12" s="600"/>
      <c r="K12" s="600"/>
      <c r="L12" s="600"/>
      <c r="M12" s="600"/>
      <c r="N12" s="600"/>
      <c r="O12" s="600" t="s">
        <v>7</v>
      </c>
      <c r="P12" s="235"/>
      <c r="Q12" s="606" t="s">
        <v>8</v>
      </c>
    </row>
    <row r="13" spans="1:17" ht="39" hidden="1" customHeight="1" x14ac:dyDescent="0.25">
      <c r="A13" s="614"/>
      <c r="B13" s="617"/>
      <c r="C13" s="620"/>
      <c r="D13" s="239"/>
      <c r="E13" s="610"/>
      <c r="F13" s="235"/>
      <c r="G13" s="607"/>
      <c r="H13" s="240"/>
      <c r="I13" s="235" t="s">
        <v>9</v>
      </c>
      <c r="J13" s="235" t="s">
        <v>10</v>
      </c>
      <c r="K13" s="235"/>
      <c r="L13" s="235" t="s">
        <v>11</v>
      </c>
      <c r="M13" s="235"/>
      <c r="N13" s="235" t="s">
        <v>12</v>
      </c>
      <c r="O13" s="600"/>
      <c r="P13" s="235"/>
      <c r="Q13" s="606"/>
    </row>
    <row r="14" spans="1:17" ht="26.25" hidden="1" customHeight="1" x14ac:dyDescent="0.25">
      <c r="A14" s="175" t="s">
        <v>18</v>
      </c>
      <c r="B14" s="242" t="s">
        <v>19</v>
      </c>
      <c r="C14" s="242" t="s">
        <v>20</v>
      </c>
      <c r="D14" s="242"/>
      <c r="E14" s="177" t="s">
        <v>21</v>
      </c>
      <c r="F14" s="177"/>
      <c r="G14" s="177" t="s">
        <v>22</v>
      </c>
      <c r="H14" s="177"/>
      <c r="I14" s="177" t="s">
        <v>23</v>
      </c>
      <c r="J14" s="177" t="s">
        <v>24</v>
      </c>
      <c r="K14" s="177"/>
      <c r="L14" s="177" t="s">
        <v>25</v>
      </c>
      <c r="M14" s="177"/>
      <c r="N14" s="177" t="s">
        <v>26</v>
      </c>
      <c r="O14" s="177" t="s">
        <v>27</v>
      </c>
      <c r="P14" s="177"/>
      <c r="Q14" s="178" t="s">
        <v>28</v>
      </c>
    </row>
    <row r="15" spans="1:17" ht="39" hidden="1" customHeight="1" x14ac:dyDescent="0.25">
      <c r="A15" s="164">
        <v>5006</v>
      </c>
      <c r="B15" s="165">
        <v>711200</v>
      </c>
      <c r="C15" s="166" t="s">
        <v>29</v>
      </c>
      <c r="D15" s="166"/>
      <c r="E15" s="169"/>
      <c r="F15" s="169"/>
      <c r="G15" s="169">
        <f t="shared" si="2"/>
        <v>0</v>
      </c>
      <c r="H15" s="169"/>
      <c r="I15" s="169"/>
      <c r="J15" s="169"/>
      <c r="K15" s="169"/>
      <c r="L15" s="169"/>
      <c r="M15" s="169"/>
      <c r="N15" s="169"/>
      <c r="O15" s="169"/>
      <c r="P15" s="169"/>
      <c r="Q15" s="170"/>
    </row>
    <row r="16" spans="1:17" ht="51.75" hidden="1" customHeight="1" x14ac:dyDescent="0.25">
      <c r="A16" s="164">
        <v>5007</v>
      </c>
      <c r="B16" s="165">
        <v>711300</v>
      </c>
      <c r="C16" s="166" t="s">
        <v>30</v>
      </c>
      <c r="D16" s="166"/>
      <c r="E16" s="169"/>
      <c r="F16" s="169"/>
      <c r="G16" s="169">
        <f t="shared" si="2"/>
        <v>0</v>
      </c>
      <c r="H16" s="169"/>
      <c r="I16" s="169"/>
      <c r="J16" s="169"/>
      <c r="K16" s="169"/>
      <c r="L16" s="169"/>
      <c r="M16" s="169"/>
      <c r="N16" s="169"/>
      <c r="O16" s="169"/>
      <c r="P16" s="169"/>
      <c r="Q16" s="170"/>
    </row>
    <row r="17" spans="1:17" ht="26.25" hidden="1" customHeight="1" x14ac:dyDescent="0.25">
      <c r="A17" s="241">
        <v>5008</v>
      </c>
      <c r="B17" s="235">
        <v>712000</v>
      </c>
      <c r="C17" s="158" t="s">
        <v>31</v>
      </c>
      <c r="D17" s="158"/>
      <c r="E17" s="162">
        <f>E18</f>
        <v>0</v>
      </c>
      <c r="F17" s="162"/>
      <c r="G17" s="162">
        <f t="shared" si="2"/>
        <v>0</v>
      </c>
      <c r="H17" s="162"/>
      <c r="I17" s="162">
        <f t="shared" ref="I17:Q17" si="5">I18</f>
        <v>0</v>
      </c>
      <c r="J17" s="162">
        <f t="shared" si="5"/>
        <v>0</v>
      </c>
      <c r="K17" s="162"/>
      <c r="L17" s="162">
        <f t="shared" si="5"/>
        <v>0</v>
      </c>
      <c r="M17" s="162"/>
      <c r="N17" s="162">
        <f t="shared" si="5"/>
        <v>0</v>
      </c>
      <c r="O17" s="162">
        <f t="shared" si="5"/>
        <v>0</v>
      </c>
      <c r="P17" s="162"/>
      <c r="Q17" s="163">
        <f t="shared" si="5"/>
        <v>0</v>
      </c>
    </row>
    <row r="18" spans="1:17" ht="15" hidden="1" customHeight="1" x14ac:dyDescent="0.25">
      <c r="A18" s="164">
        <v>5009</v>
      </c>
      <c r="B18" s="165">
        <v>712100</v>
      </c>
      <c r="C18" s="166" t="s">
        <v>32</v>
      </c>
      <c r="D18" s="166"/>
      <c r="E18" s="169"/>
      <c r="F18" s="169"/>
      <c r="G18" s="169">
        <f t="shared" si="2"/>
        <v>0</v>
      </c>
      <c r="H18" s="169"/>
      <c r="I18" s="169"/>
      <c r="J18" s="169"/>
      <c r="K18" s="169"/>
      <c r="L18" s="169"/>
      <c r="M18" s="169"/>
      <c r="N18" s="169"/>
      <c r="O18" s="169"/>
      <c r="P18" s="169"/>
      <c r="Q18" s="170"/>
    </row>
    <row r="19" spans="1:17" ht="26.25" hidden="1" customHeight="1" x14ac:dyDescent="0.25">
      <c r="A19" s="241">
        <v>5010</v>
      </c>
      <c r="B19" s="235">
        <v>713000</v>
      </c>
      <c r="C19" s="158" t="s">
        <v>33</v>
      </c>
      <c r="D19" s="158"/>
      <c r="E19" s="162">
        <f>SUM(E20:E25)</f>
        <v>0</v>
      </c>
      <c r="F19" s="162"/>
      <c r="G19" s="162">
        <f t="shared" si="2"/>
        <v>0</v>
      </c>
      <c r="H19" s="162"/>
      <c r="I19" s="162">
        <f t="shared" ref="I19:Q19" si="6">SUM(I20:I25)</f>
        <v>0</v>
      </c>
      <c r="J19" s="162">
        <f t="shared" si="6"/>
        <v>0</v>
      </c>
      <c r="K19" s="162"/>
      <c r="L19" s="162">
        <f t="shared" si="6"/>
        <v>0</v>
      </c>
      <c r="M19" s="162"/>
      <c r="N19" s="162">
        <f t="shared" si="6"/>
        <v>0</v>
      </c>
      <c r="O19" s="162">
        <f t="shared" si="6"/>
        <v>0</v>
      </c>
      <c r="P19" s="162"/>
      <c r="Q19" s="163">
        <f t="shared" si="6"/>
        <v>0</v>
      </c>
    </row>
    <row r="20" spans="1:17" ht="26.25" hidden="1" customHeight="1" x14ac:dyDescent="0.25">
      <c r="A20" s="164">
        <v>5011</v>
      </c>
      <c r="B20" s="165">
        <v>713100</v>
      </c>
      <c r="C20" s="166" t="s">
        <v>34</v>
      </c>
      <c r="D20" s="166"/>
      <c r="E20" s="169"/>
      <c r="F20" s="169"/>
      <c r="G20" s="169">
        <f t="shared" si="2"/>
        <v>0</v>
      </c>
      <c r="H20" s="169"/>
      <c r="I20" s="169"/>
      <c r="J20" s="169"/>
      <c r="K20" s="169"/>
      <c r="L20" s="169"/>
      <c r="M20" s="169"/>
      <c r="N20" s="169"/>
      <c r="O20" s="169"/>
      <c r="P20" s="169"/>
      <c r="Q20" s="170"/>
    </row>
    <row r="21" spans="1:17" ht="26.25" hidden="1" customHeight="1" x14ac:dyDescent="0.25">
      <c r="A21" s="164">
        <v>5012</v>
      </c>
      <c r="B21" s="165">
        <v>713200</v>
      </c>
      <c r="C21" s="166" t="s">
        <v>35</v>
      </c>
      <c r="D21" s="166"/>
      <c r="E21" s="169"/>
      <c r="F21" s="169"/>
      <c r="G21" s="169">
        <f t="shared" si="2"/>
        <v>0</v>
      </c>
      <c r="H21" s="169"/>
      <c r="I21" s="169"/>
      <c r="J21" s="169"/>
      <c r="K21" s="169"/>
      <c r="L21" s="169"/>
      <c r="M21" s="169"/>
      <c r="N21" s="169"/>
      <c r="O21" s="169"/>
      <c r="P21" s="169"/>
      <c r="Q21" s="170"/>
    </row>
    <row r="22" spans="1:17" ht="26.25" hidden="1" customHeight="1" x14ac:dyDescent="0.25">
      <c r="A22" s="164">
        <v>5013</v>
      </c>
      <c r="B22" s="165">
        <v>713300</v>
      </c>
      <c r="C22" s="166" t="s">
        <v>36</v>
      </c>
      <c r="D22" s="166"/>
      <c r="E22" s="169"/>
      <c r="F22" s="169"/>
      <c r="G22" s="169">
        <f t="shared" si="2"/>
        <v>0</v>
      </c>
      <c r="H22" s="169"/>
      <c r="I22" s="169"/>
      <c r="J22" s="169"/>
      <c r="K22" s="169"/>
      <c r="L22" s="169"/>
      <c r="M22" s="169"/>
      <c r="N22" s="169"/>
      <c r="O22" s="169"/>
      <c r="P22" s="169"/>
      <c r="Q22" s="170"/>
    </row>
    <row r="23" spans="1:17" ht="26.25" hidden="1" customHeight="1" x14ac:dyDescent="0.25">
      <c r="A23" s="164">
        <v>5014</v>
      </c>
      <c r="B23" s="165">
        <v>713400</v>
      </c>
      <c r="C23" s="166" t="s">
        <v>37</v>
      </c>
      <c r="D23" s="166"/>
      <c r="E23" s="169"/>
      <c r="F23" s="169"/>
      <c r="G23" s="169">
        <f t="shared" si="2"/>
        <v>0</v>
      </c>
      <c r="H23" s="169"/>
      <c r="I23" s="169"/>
      <c r="J23" s="169"/>
      <c r="K23" s="169"/>
      <c r="L23" s="169"/>
      <c r="M23" s="169"/>
      <c r="N23" s="169"/>
      <c r="O23" s="169"/>
      <c r="P23" s="169"/>
      <c r="Q23" s="170"/>
    </row>
    <row r="24" spans="1:17" ht="26.25" hidden="1" customHeight="1" x14ac:dyDescent="0.25">
      <c r="A24" s="164">
        <v>5015</v>
      </c>
      <c r="B24" s="165">
        <v>713500</v>
      </c>
      <c r="C24" s="166" t="s">
        <v>38</v>
      </c>
      <c r="D24" s="166"/>
      <c r="E24" s="169"/>
      <c r="F24" s="169"/>
      <c r="G24" s="169">
        <f t="shared" si="2"/>
        <v>0</v>
      </c>
      <c r="H24" s="169"/>
      <c r="I24" s="169"/>
      <c r="J24" s="169"/>
      <c r="K24" s="169"/>
      <c r="L24" s="169"/>
      <c r="M24" s="169"/>
      <c r="N24" s="169"/>
      <c r="O24" s="169"/>
      <c r="P24" s="169"/>
      <c r="Q24" s="170"/>
    </row>
    <row r="25" spans="1:17" ht="26.25" hidden="1" customHeight="1" x14ac:dyDescent="0.25">
      <c r="A25" s="164">
        <v>5016</v>
      </c>
      <c r="B25" s="165">
        <v>713600</v>
      </c>
      <c r="C25" s="166" t="s">
        <v>39</v>
      </c>
      <c r="D25" s="166"/>
      <c r="E25" s="162"/>
      <c r="F25" s="162"/>
      <c r="G25" s="169">
        <f t="shared" si="2"/>
        <v>0</v>
      </c>
      <c r="H25" s="169"/>
      <c r="I25" s="162"/>
      <c r="J25" s="162"/>
      <c r="K25" s="162"/>
      <c r="L25" s="162"/>
      <c r="M25" s="162"/>
      <c r="N25" s="162"/>
      <c r="O25" s="162"/>
      <c r="P25" s="162"/>
      <c r="Q25" s="163"/>
    </row>
    <row r="26" spans="1:17" ht="26.25" hidden="1" customHeight="1" x14ac:dyDescent="0.25">
      <c r="A26" s="241">
        <v>5017</v>
      </c>
      <c r="B26" s="235">
        <v>714000</v>
      </c>
      <c r="C26" s="158" t="s">
        <v>40</v>
      </c>
      <c r="D26" s="158"/>
      <c r="E26" s="162">
        <f>SUM(E27:E31)</f>
        <v>0</v>
      </c>
      <c r="F26" s="162"/>
      <c r="G26" s="162">
        <f t="shared" si="2"/>
        <v>0</v>
      </c>
      <c r="H26" s="162"/>
      <c r="I26" s="162">
        <f t="shared" ref="I26:Q26" si="7">SUM(I27:I31)</f>
        <v>0</v>
      </c>
      <c r="J26" s="162">
        <f t="shared" si="7"/>
        <v>0</v>
      </c>
      <c r="K26" s="162"/>
      <c r="L26" s="162">
        <f t="shared" si="7"/>
        <v>0</v>
      </c>
      <c r="M26" s="162"/>
      <c r="N26" s="162">
        <f t="shared" si="7"/>
        <v>0</v>
      </c>
      <c r="O26" s="162">
        <f t="shared" si="7"/>
        <v>0</v>
      </c>
      <c r="P26" s="162"/>
      <c r="Q26" s="163">
        <f t="shared" si="7"/>
        <v>0</v>
      </c>
    </row>
    <row r="27" spans="1:17" ht="15" hidden="1" customHeight="1" x14ac:dyDescent="0.25">
      <c r="A27" s="164">
        <v>5018</v>
      </c>
      <c r="B27" s="165">
        <v>714100</v>
      </c>
      <c r="C27" s="166" t="s">
        <v>41</v>
      </c>
      <c r="D27" s="166"/>
      <c r="E27" s="169"/>
      <c r="F27" s="169"/>
      <c r="G27" s="169">
        <f t="shared" si="2"/>
        <v>0</v>
      </c>
      <c r="H27" s="169"/>
      <c r="I27" s="169"/>
      <c r="J27" s="169"/>
      <c r="K27" s="169"/>
      <c r="L27" s="169"/>
      <c r="M27" s="169"/>
      <c r="N27" s="169"/>
      <c r="O27" s="169"/>
      <c r="P27" s="169"/>
      <c r="Q27" s="170"/>
    </row>
    <row r="28" spans="1:17" ht="15" hidden="1" customHeight="1" x14ac:dyDescent="0.25">
      <c r="A28" s="164">
        <v>5019</v>
      </c>
      <c r="B28" s="165">
        <v>714300</v>
      </c>
      <c r="C28" s="166" t="s">
        <v>42</v>
      </c>
      <c r="D28" s="166"/>
      <c r="E28" s="169"/>
      <c r="F28" s="169"/>
      <c r="G28" s="169">
        <f t="shared" si="2"/>
        <v>0</v>
      </c>
      <c r="H28" s="169"/>
      <c r="I28" s="169"/>
      <c r="J28" s="169"/>
      <c r="K28" s="169"/>
      <c r="L28" s="169"/>
      <c r="M28" s="169"/>
      <c r="N28" s="169"/>
      <c r="O28" s="169"/>
      <c r="P28" s="169"/>
      <c r="Q28" s="170"/>
    </row>
    <row r="29" spans="1:17" ht="15" hidden="1" customHeight="1" x14ac:dyDescent="0.25">
      <c r="A29" s="164">
        <v>5020</v>
      </c>
      <c r="B29" s="165">
        <v>714400</v>
      </c>
      <c r="C29" s="166" t="s">
        <v>43</v>
      </c>
      <c r="D29" s="166"/>
      <c r="E29" s="169"/>
      <c r="F29" s="169"/>
      <c r="G29" s="169">
        <f t="shared" si="2"/>
        <v>0</v>
      </c>
      <c r="H29" s="169"/>
      <c r="I29" s="169"/>
      <c r="J29" s="169"/>
      <c r="K29" s="169"/>
      <c r="L29" s="169"/>
      <c r="M29" s="169"/>
      <c r="N29" s="169"/>
      <c r="O29" s="169"/>
      <c r="P29" s="169"/>
      <c r="Q29" s="170"/>
    </row>
    <row r="30" spans="1:17" ht="51.75" hidden="1" customHeight="1" x14ac:dyDescent="0.25">
      <c r="A30" s="164">
        <v>5021</v>
      </c>
      <c r="B30" s="165">
        <v>714500</v>
      </c>
      <c r="C30" s="166" t="s">
        <v>44</v>
      </c>
      <c r="D30" s="166"/>
      <c r="E30" s="169"/>
      <c r="F30" s="169"/>
      <c r="G30" s="169">
        <f t="shared" si="2"/>
        <v>0</v>
      </c>
      <c r="H30" s="169"/>
      <c r="I30" s="169"/>
      <c r="J30" s="169"/>
      <c r="K30" s="169"/>
      <c r="L30" s="169"/>
      <c r="M30" s="169"/>
      <c r="N30" s="169"/>
      <c r="O30" s="169"/>
      <c r="P30" s="169"/>
      <c r="Q30" s="170"/>
    </row>
    <row r="31" spans="1:17" ht="15" hidden="1" customHeight="1" x14ac:dyDescent="0.25">
      <c r="A31" s="164">
        <v>5022</v>
      </c>
      <c r="B31" s="165">
        <v>714600</v>
      </c>
      <c r="C31" s="166" t="s">
        <v>45</v>
      </c>
      <c r="D31" s="166"/>
      <c r="E31" s="169"/>
      <c r="F31" s="169"/>
      <c r="G31" s="169">
        <f t="shared" si="2"/>
        <v>0</v>
      </c>
      <c r="H31" s="169"/>
      <c r="I31" s="169"/>
      <c r="J31" s="169"/>
      <c r="K31" s="169"/>
      <c r="L31" s="169"/>
      <c r="M31" s="169"/>
      <c r="N31" s="169"/>
      <c r="O31" s="169"/>
      <c r="P31" s="169"/>
      <c r="Q31" s="170"/>
    </row>
    <row r="32" spans="1:17" ht="39" hidden="1" customHeight="1" x14ac:dyDescent="0.25">
      <c r="A32" s="241">
        <v>5023</v>
      </c>
      <c r="B32" s="235">
        <v>715000</v>
      </c>
      <c r="C32" s="158" t="s">
        <v>46</v>
      </c>
      <c r="D32" s="158"/>
      <c r="E32" s="162">
        <f>SUM(E33:E38)</f>
        <v>0</v>
      </c>
      <c r="F32" s="162"/>
      <c r="G32" s="162">
        <f t="shared" si="2"/>
        <v>0</v>
      </c>
      <c r="H32" s="162"/>
      <c r="I32" s="162">
        <f t="shared" ref="I32:Q32" si="8">SUM(I33:I38)</f>
        <v>0</v>
      </c>
      <c r="J32" s="162">
        <f t="shared" si="8"/>
        <v>0</v>
      </c>
      <c r="K32" s="162"/>
      <c r="L32" s="162">
        <f t="shared" si="8"/>
        <v>0</v>
      </c>
      <c r="M32" s="162"/>
      <c r="N32" s="162">
        <f t="shared" si="8"/>
        <v>0</v>
      </c>
      <c r="O32" s="162">
        <f t="shared" si="8"/>
        <v>0</v>
      </c>
      <c r="P32" s="162"/>
      <c r="Q32" s="163">
        <f t="shared" si="8"/>
        <v>0</v>
      </c>
    </row>
    <row r="33" spans="1:17" ht="15" hidden="1" customHeight="1" x14ac:dyDescent="0.25">
      <c r="A33" s="164">
        <v>5024</v>
      </c>
      <c r="B33" s="165">
        <v>715100</v>
      </c>
      <c r="C33" s="166" t="s">
        <v>47</v>
      </c>
      <c r="D33" s="166"/>
      <c r="E33" s="169"/>
      <c r="F33" s="169"/>
      <c r="G33" s="169">
        <f t="shared" si="2"/>
        <v>0</v>
      </c>
      <c r="H33" s="169"/>
      <c r="I33" s="169"/>
      <c r="J33" s="169"/>
      <c r="K33" s="169"/>
      <c r="L33" s="169"/>
      <c r="M33" s="169"/>
      <c r="N33" s="169"/>
      <c r="O33" s="169"/>
      <c r="P33" s="169"/>
      <c r="Q33" s="170"/>
    </row>
    <row r="34" spans="1:17" ht="15" hidden="1" customHeight="1" x14ac:dyDescent="0.25">
      <c r="A34" s="164">
        <v>5025</v>
      </c>
      <c r="B34" s="165">
        <v>715200</v>
      </c>
      <c r="C34" s="166" t="s">
        <v>48</v>
      </c>
      <c r="D34" s="166"/>
      <c r="E34" s="169"/>
      <c r="F34" s="169"/>
      <c r="G34" s="169">
        <f t="shared" si="2"/>
        <v>0</v>
      </c>
      <c r="H34" s="169"/>
      <c r="I34" s="169"/>
      <c r="J34" s="169"/>
      <c r="K34" s="169"/>
      <c r="L34" s="169"/>
      <c r="M34" s="169"/>
      <c r="N34" s="169"/>
      <c r="O34" s="169"/>
      <c r="P34" s="169"/>
      <c r="Q34" s="170"/>
    </row>
    <row r="35" spans="1:17" ht="26.25" hidden="1" x14ac:dyDescent="0.25">
      <c r="A35" s="164">
        <v>5026</v>
      </c>
      <c r="B35" s="165">
        <v>715300</v>
      </c>
      <c r="C35" s="166" t="s">
        <v>49</v>
      </c>
      <c r="D35" s="166"/>
      <c r="E35" s="169"/>
      <c r="F35" s="169"/>
      <c r="G35" s="169">
        <f t="shared" si="2"/>
        <v>0</v>
      </c>
      <c r="H35" s="169"/>
      <c r="I35" s="169"/>
      <c r="J35" s="169"/>
      <c r="K35" s="169"/>
      <c r="L35" s="169"/>
      <c r="M35" s="169"/>
      <c r="N35" s="169"/>
      <c r="O35" s="169"/>
      <c r="P35" s="169"/>
      <c r="Q35" s="170"/>
    </row>
    <row r="36" spans="1:17" ht="39" hidden="1" x14ac:dyDescent="0.25">
      <c r="A36" s="164">
        <v>5027</v>
      </c>
      <c r="B36" s="165">
        <v>715400</v>
      </c>
      <c r="C36" s="166" t="s">
        <v>50</v>
      </c>
      <c r="D36" s="166"/>
      <c r="E36" s="169"/>
      <c r="F36" s="169"/>
      <c r="G36" s="169">
        <f t="shared" si="2"/>
        <v>0</v>
      </c>
      <c r="H36" s="169"/>
      <c r="I36" s="169"/>
      <c r="J36" s="169"/>
      <c r="K36" s="169"/>
      <c r="L36" s="169"/>
      <c r="M36" s="169"/>
      <c r="N36" s="169"/>
      <c r="O36" s="169"/>
      <c r="P36" s="169"/>
      <c r="Q36" s="170"/>
    </row>
    <row r="37" spans="1:17" ht="26.25" hidden="1" x14ac:dyDescent="0.25">
      <c r="A37" s="164">
        <v>5028</v>
      </c>
      <c r="B37" s="165">
        <v>715500</v>
      </c>
      <c r="C37" s="166" t="s">
        <v>51</v>
      </c>
      <c r="D37" s="166"/>
      <c r="E37" s="169"/>
      <c r="F37" s="169"/>
      <c r="G37" s="169">
        <f t="shared" si="2"/>
        <v>0</v>
      </c>
      <c r="H37" s="169"/>
      <c r="I37" s="169"/>
      <c r="J37" s="169"/>
      <c r="K37" s="169"/>
      <c r="L37" s="169"/>
      <c r="M37" s="169"/>
      <c r="N37" s="169"/>
      <c r="O37" s="169"/>
      <c r="P37" s="169"/>
      <c r="Q37" s="170"/>
    </row>
    <row r="38" spans="1:17" ht="26.25" hidden="1" x14ac:dyDescent="0.25">
      <c r="A38" s="164">
        <v>5029</v>
      </c>
      <c r="B38" s="165">
        <v>715600</v>
      </c>
      <c r="C38" s="166" t="s">
        <v>52</v>
      </c>
      <c r="D38" s="166"/>
      <c r="E38" s="169"/>
      <c r="F38" s="169"/>
      <c r="G38" s="169">
        <f t="shared" si="2"/>
        <v>0</v>
      </c>
      <c r="H38" s="169"/>
      <c r="I38" s="169"/>
      <c r="J38" s="169"/>
      <c r="K38" s="169"/>
      <c r="L38" s="169"/>
      <c r="M38" s="169"/>
      <c r="N38" s="169"/>
      <c r="O38" s="169"/>
      <c r="P38" s="169"/>
      <c r="Q38" s="170"/>
    </row>
    <row r="39" spans="1:17" hidden="1" x14ac:dyDescent="0.25">
      <c r="A39" s="241">
        <v>5030</v>
      </c>
      <c r="B39" s="235">
        <v>716000</v>
      </c>
      <c r="C39" s="158" t="s">
        <v>53</v>
      </c>
      <c r="D39" s="158"/>
      <c r="E39" s="162">
        <f>E40+E41</f>
        <v>0</v>
      </c>
      <c r="F39" s="162"/>
      <c r="G39" s="162">
        <f t="shared" si="2"/>
        <v>0</v>
      </c>
      <c r="H39" s="162"/>
      <c r="I39" s="162">
        <f t="shared" ref="I39:Q39" si="9">I40+I41</f>
        <v>0</v>
      </c>
      <c r="J39" s="162">
        <f t="shared" si="9"/>
        <v>0</v>
      </c>
      <c r="K39" s="162"/>
      <c r="L39" s="162">
        <f t="shared" si="9"/>
        <v>0</v>
      </c>
      <c r="M39" s="162"/>
      <c r="N39" s="162">
        <f t="shared" si="9"/>
        <v>0</v>
      </c>
      <c r="O39" s="162">
        <f t="shared" si="9"/>
        <v>0</v>
      </c>
      <c r="P39" s="162"/>
      <c r="Q39" s="163">
        <f t="shared" si="9"/>
        <v>0</v>
      </c>
    </row>
    <row r="40" spans="1:17" ht="39" hidden="1" x14ac:dyDescent="0.25">
      <c r="A40" s="164">
        <v>5031</v>
      </c>
      <c r="B40" s="165">
        <v>716100</v>
      </c>
      <c r="C40" s="166" t="s">
        <v>54</v>
      </c>
      <c r="D40" s="166"/>
      <c r="E40" s="169"/>
      <c r="F40" s="169"/>
      <c r="G40" s="169">
        <f t="shared" si="2"/>
        <v>0</v>
      </c>
      <c r="H40" s="169"/>
      <c r="I40" s="169"/>
      <c r="J40" s="169"/>
      <c r="K40" s="169"/>
      <c r="L40" s="169"/>
      <c r="M40" s="169"/>
      <c r="N40" s="169"/>
      <c r="O40" s="169"/>
      <c r="P40" s="169"/>
      <c r="Q40" s="170"/>
    </row>
    <row r="41" spans="1:17" ht="39" hidden="1" x14ac:dyDescent="0.25">
      <c r="A41" s="164">
        <v>5032</v>
      </c>
      <c r="B41" s="165">
        <v>716200</v>
      </c>
      <c r="C41" s="166" t="s">
        <v>55</v>
      </c>
      <c r="D41" s="166"/>
      <c r="E41" s="169"/>
      <c r="F41" s="169"/>
      <c r="G41" s="169">
        <f t="shared" si="2"/>
        <v>0</v>
      </c>
      <c r="H41" s="169"/>
      <c r="I41" s="169"/>
      <c r="J41" s="169"/>
      <c r="K41" s="169"/>
      <c r="L41" s="169"/>
      <c r="M41" s="169"/>
      <c r="N41" s="169"/>
      <c r="O41" s="169"/>
      <c r="P41" s="169"/>
      <c r="Q41" s="170"/>
    </row>
    <row r="42" spans="1:17" hidden="1" x14ac:dyDescent="0.25">
      <c r="A42" s="241">
        <v>5033</v>
      </c>
      <c r="B42" s="235">
        <v>717000</v>
      </c>
      <c r="C42" s="158" t="s">
        <v>56</v>
      </c>
      <c r="D42" s="158"/>
      <c r="E42" s="162">
        <f>SUM(E47:E52)</f>
        <v>0</v>
      </c>
      <c r="F42" s="162"/>
      <c r="G42" s="162">
        <f t="shared" ref="G42:G83" si="10">SUM(I42:Q42)</f>
        <v>0</v>
      </c>
      <c r="H42" s="162"/>
      <c r="I42" s="162">
        <f t="shared" ref="I42:Q42" si="11">SUM(I47:I52)</f>
        <v>0</v>
      </c>
      <c r="J42" s="162">
        <f t="shared" si="11"/>
        <v>0</v>
      </c>
      <c r="K42" s="162"/>
      <c r="L42" s="162">
        <f t="shared" si="11"/>
        <v>0</v>
      </c>
      <c r="M42" s="162"/>
      <c r="N42" s="162">
        <f t="shared" si="11"/>
        <v>0</v>
      </c>
      <c r="O42" s="162">
        <f t="shared" si="11"/>
        <v>0</v>
      </c>
      <c r="P42" s="162"/>
      <c r="Q42" s="163">
        <f t="shared" si="11"/>
        <v>0</v>
      </c>
    </row>
    <row r="43" spans="1:17" hidden="1" x14ac:dyDescent="0.25">
      <c r="A43" s="605" t="s">
        <v>0</v>
      </c>
      <c r="B43" s="599" t="s">
        <v>1</v>
      </c>
      <c r="C43" s="598" t="s">
        <v>2</v>
      </c>
      <c r="D43" s="243"/>
      <c r="E43" s="608" t="s">
        <v>3</v>
      </c>
      <c r="F43" s="244"/>
      <c r="G43" s="608" t="s">
        <v>4</v>
      </c>
      <c r="H43" s="608"/>
      <c r="I43" s="608"/>
      <c r="J43" s="608"/>
      <c r="K43" s="608"/>
      <c r="L43" s="608"/>
      <c r="M43" s="608"/>
      <c r="N43" s="608"/>
      <c r="O43" s="608"/>
      <c r="P43" s="608"/>
      <c r="Q43" s="609"/>
    </row>
    <row r="44" spans="1:17" hidden="1" x14ac:dyDescent="0.25">
      <c r="A44" s="605"/>
      <c r="B44" s="599"/>
      <c r="C44" s="598"/>
      <c r="D44" s="243"/>
      <c r="E44" s="608"/>
      <c r="F44" s="244"/>
      <c r="G44" s="598" t="s">
        <v>5</v>
      </c>
      <c r="H44" s="243"/>
      <c r="I44" s="608" t="s">
        <v>6</v>
      </c>
      <c r="J44" s="608"/>
      <c r="K44" s="608"/>
      <c r="L44" s="608"/>
      <c r="M44" s="608"/>
      <c r="N44" s="608"/>
      <c r="O44" s="608" t="s">
        <v>7</v>
      </c>
      <c r="P44" s="244"/>
      <c r="Q44" s="609" t="s">
        <v>8</v>
      </c>
    </row>
    <row r="45" spans="1:17" ht="39" hidden="1" x14ac:dyDescent="0.25">
      <c r="A45" s="605"/>
      <c r="B45" s="599"/>
      <c r="C45" s="598"/>
      <c r="D45" s="243"/>
      <c r="E45" s="608"/>
      <c r="F45" s="244"/>
      <c r="G45" s="598"/>
      <c r="H45" s="243"/>
      <c r="I45" s="244" t="s">
        <v>9</v>
      </c>
      <c r="J45" s="244" t="s">
        <v>10</v>
      </c>
      <c r="K45" s="244"/>
      <c r="L45" s="244" t="s">
        <v>11</v>
      </c>
      <c r="M45" s="244"/>
      <c r="N45" s="244" t="s">
        <v>12</v>
      </c>
      <c r="O45" s="608"/>
      <c r="P45" s="244"/>
      <c r="Q45" s="609"/>
    </row>
    <row r="46" spans="1:17" ht="26.25" hidden="1" x14ac:dyDescent="0.25">
      <c r="A46" s="175" t="s">
        <v>18</v>
      </c>
      <c r="B46" s="242" t="s">
        <v>19</v>
      </c>
      <c r="C46" s="242" t="s">
        <v>20</v>
      </c>
      <c r="D46" s="242"/>
      <c r="E46" s="242" t="s">
        <v>21</v>
      </c>
      <c r="F46" s="242"/>
      <c r="G46" s="242" t="s">
        <v>22</v>
      </c>
      <c r="H46" s="242"/>
      <c r="I46" s="242" t="s">
        <v>23</v>
      </c>
      <c r="J46" s="242" t="s">
        <v>24</v>
      </c>
      <c r="K46" s="242"/>
      <c r="L46" s="242" t="s">
        <v>25</v>
      </c>
      <c r="M46" s="242"/>
      <c r="N46" s="242" t="s">
        <v>26</v>
      </c>
      <c r="O46" s="242" t="s">
        <v>27</v>
      </c>
      <c r="P46" s="242"/>
      <c r="Q46" s="181" t="s">
        <v>28</v>
      </c>
    </row>
    <row r="47" spans="1:17" hidden="1" x14ac:dyDescent="0.25">
      <c r="A47" s="164">
        <v>5034</v>
      </c>
      <c r="B47" s="165">
        <v>717100</v>
      </c>
      <c r="C47" s="166" t="s">
        <v>57</v>
      </c>
      <c r="D47" s="166"/>
      <c r="E47" s="169"/>
      <c r="F47" s="169"/>
      <c r="G47" s="169">
        <f t="shared" si="10"/>
        <v>0</v>
      </c>
      <c r="H47" s="169"/>
      <c r="I47" s="169"/>
      <c r="J47" s="169"/>
      <c r="K47" s="169"/>
      <c r="L47" s="169"/>
      <c r="M47" s="169"/>
      <c r="N47" s="169"/>
      <c r="O47" s="169"/>
      <c r="P47" s="169"/>
      <c r="Q47" s="170"/>
    </row>
    <row r="48" spans="1:17" hidden="1" x14ac:dyDescent="0.25">
      <c r="A48" s="164">
        <v>5035</v>
      </c>
      <c r="B48" s="165">
        <v>717200</v>
      </c>
      <c r="C48" s="166" t="s">
        <v>58</v>
      </c>
      <c r="D48" s="166"/>
      <c r="E48" s="169"/>
      <c r="F48" s="169"/>
      <c r="G48" s="169">
        <f t="shared" si="10"/>
        <v>0</v>
      </c>
      <c r="H48" s="169"/>
      <c r="I48" s="169"/>
      <c r="J48" s="169"/>
      <c r="K48" s="169"/>
      <c r="L48" s="169"/>
      <c r="M48" s="169"/>
      <c r="N48" s="169"/>
      <c r="O48" s="169"/>
      <c r="P48" s="169"/>
      <c r="Q48" s="170"/>
    </row>
    <row r="49" spans="1:17" hidden="1" x14ac:dyDescent="0.25">
      <c r="A49" s="164">
        <v>5036</v>
      </c>
      <c r="B49" s="165">
        <v>717300</v>
      </c>
      <c r="C49" s="166" t="s">
        <v>59</v>
      </c>
      <c r="D49" s="166"/>
      <c r="E49" s="169"/>
      <c r="F49" s="169"/>
      <c r="G49" s="169">
        <f t="shared" si="10"/>
        <v>0</v>
      </c>
      <c r="H49" s="169"/>
      <c r="I49" s="169"/>
      <c r="J49" s="169"/>
      <c r="K49" s="169"/>
      <c r="L49" s="169"/>
      <c r="M49" s="169"/>
      <c r="N49" s="169"/>
      <c r="O49" s="169"/>
      <c r="P49" s="169"/>
      <c r="Q49" s="170"/>
    </row>
    <row r="50" spans="1:17" ht="26.25" hidden="1" x14ac:dyDescent="0.25">
      <c r="A50" s="164">
        <v>5037</v>
      </c>
      <c r="B50" s="165">
        <v>717400</v>
      </c>
      <c r="C50" s="166" t="s">
        <v>60</v>
      </c>
      <c r="D50" s="166"/>
      <c r="E50" s="169"/>
      <c r="F50" s="169"/>
      <c r="G50" s="169">
        <f t="shared" si="10"/>
        <v>0</v>
      </c>
      <c r="H50" s="169"/>
      <c r="I50" s="169"/>
      <c r="J50" s="169"/>
      <c r="K50" s="169"/>
      <c r="L50" s="169"/>
      <c r="M50" s="169"/>
      <c r="N50" s="169"/>
      <c r="O50" s="169"/>
      <c r="P50" s="169"/>
      <c r="Q50" s="170"/>
    </row>
    <row r="51" spans="1:17" hidden="1" x14ac:dyDescent="0.25">
      <c r="A51" s="164">
        <v>5038</v>
      </c>
      <c r="B51" s="165">
        <v>717500</v>
      </c>
      <c r="C51" s="166" t="s">
        <v>61</v>
      </c>
      <c r="D51" s="166"/>
      <c r="E51" s="169"/>
      <c r="F51" s="169"/>
      <c r="G51" s="169">
        <f t="shared" si="10"/>
        <v>0</v>
      </c>
      <c r="H51" s="169"/>
      <c r="I51" s="169"/>
      <c r="J51" s="169"/>
      <c r="K51" s="169"/>
      <c r="L51" s="169"/>
      <c r="M51" s="169"/>
      <c r="N51" s="169"/>
      <c r="O51" s="169"/>
      <c r="P51" s="169"/>
      <c r="Q51" s="170"/>
    </row>
    <row r="52" spans="1:17" hidden="1" x14ac:dyDescent="0.25">
      <c r="A52" s="164">
        <v>5039</v>
      </c>
      <c r="B52" s="165">
        <v>717600</v>
      </c>
      <c r="C52" s="166" t="s">
        <v>62</v>
      </c>
      <c r="D52" s="166"/>
      <c r="E52" s="169"/>
      <c r="F52" s="169"/>
      <c r="G52" s="169">
        <f t="shared" si="10"/>
        <v>0</v>
      </c>
      <c r="H52" s="169"/>
      <c r="I52" s="169"/>
      <c r="J52" s="169"/>
      <c r="K52" s="169"/>
      <c r="L52" s="169"/>
      <c r="M52" s="169"/>
      <c r="N52" s="169"/>
      <c r="O52" s="169"/>
      <c r="P52" s="169"/>
      <c r="Q52" s="170"/>
    </row>
    <row r="53" spans="1:17" ht="77.25" hidden="1" x14ac:dyDescent="0.25">
      <c r="A53" s="241">
        <v>5040</v>
      </c>
      <c r="B53" s="235">
        <v>719000</v>
      </c>
      <c r="C53" s="158" t="s">
        <v>63</v>
      </c>
      <c r="D53" s="158"/>
      <c r="E53" s="162">
        <f>SUM(E54:E59)</f>
        <v>0</v>
      </c>
      <c r="F53" s="162"/>
      <c r="G53" s="162">
        <f t="shared" si="10"/>
        <v>0</v>
      </c>
      <c r="H53" s="162"/>
      <c r="I53" s="162">
        <f t="shared" ref="I53:Q53" si="12">SUM(I54:I59)</f>
        <v>0</v>
      </c>
      <c r="J53" s="162">
        <f t="shared" si="12"/>
        <v>0</v>
      </c>
      <c r="K53" s="162"/>
      <c r="L53" s="162">
        <f t="shared" si="12"/>
        <v>0</v>
      </c>
      <c r="M53" s="162"/>
      <c r="N53" s="162">
        <f t="shared" si="12"/>
        <v>0</v>
      </c>
      <c r="O53" s="162">
        <f t="shared" si="12"/>
        <v>0</v>
      </c>
      <c r="P53" s="162"/>
      <c r="Q53" s="163">
        <f t="shared" si="12"/>
        <v>0</v>
      </c>
    </row>
    <row r="54" spans="1:17" ht="39" hidden="1" x14ac:dyDescent="0.25">
      <c r="A54" s="164">
        <v>5041</v>
      </c>
      <c r="B54" s="165">
        <v>719100</v>
      </c>
      <c r="C54" s="166" t="s">
        <v>64</v>
      </c>
      <c r="D54" s="166"/>
      <c r="E54" s="169"/>
      <c r="F54" s="169"/>
      <c r="G54" s="169">
        <f t="shared" si="10"/>
        <v>0</v>
      </c>
      <c r="H54" s="169"/>
      <c r="I54" s="169"/>
      <c r="J54" s="169"/>
      <c r="K54" s="169"/>
      <c r="L54" s="169"/>
      <c r="M54" s="169"/>
      <c r="N54" s="169"/>
      <c r="O54" s="169"/>
      <c r="P54" s="169"/>
      <c r="Q54" s="170"/>
    </row>
    <row r="55" spans="1:17" ht="51.75" hidden="1" x14ac:dyDescent="0.25">
      <c r="A55" s="164">
        <v>5042</v>
      </c>
      <c r="B55" s="165">
        <v>719200</v>
      </c>
      <c r="C55" s="166" t="s">
        <v>65</v>
      </c>
      <c r="D55" s="166"/>
      <c r="E55" s="169"/>
      <c r="F55" s="169"/>
      <c r="G55" s="169">
        <f t="shared" si="10"/>
        <v>0</v>
      </c>
      <c r="H55" s="169"/>
      <c r="I55" s="169"/>
      <c r="J55" s="169"/>
      <c r="K55" s="169"/>
      <c r="L55" s="169"/>
      <c r="M55" s="169"/>
      <c r="N55" s="169"/>
      <c r="O55" s="169"/>
      <c r="P55" s="169"/>
      <c r="Q55" s="170"/>
    </row>
    <row r="56" spans="1:17" ht="39" hidden="1" x14ac:dyDescent="0.25">
      <c r="A56" s="164">
        <v>5043</v>
      </c>
      <c r="B56" s="165">
        <v>719300</v>
      </c>
      <c r="C56" s="166" t="s">
        <v>66</v>
      </c>
      <c r="D56" s="166"/>
      <c r="E56" s="169"/>
      <c r="F56" s="169"/>
      <c r="G56" s="169">
        <f t="shared" si="10"/>
        <v>0</v>
      </c>
      <c r="H56" s="169"/>
      <c r="I56" s="169"/>
      <c r="J56" s="169"/>
      <c r="K56" s="169"/>
      <c r="L56" s="169"/>
      <c r="M56" s="169"/>
      <c r="N56" s="169"/>
      <c r="O56" s="169"/>
      <c r="P56" s="169"/>
      <c r="Q56" s="170"/>
    </row>
    <row r="57" spans="1:17" ht="26.25" hidden="1" x14ac:dyDescent="0.25">
      <c r="A57" s="164">
        <v>5044</v>
      </c>
      <c r="B57" s="165">
        <v>719400</v>
      </c>
      <c r="C57" s="166" t="s">
        <v>67</v>
      </c>
      <c r="D57" s="166"/>
      <c r="E57" s="169"/>
      <c r="F57" s="169"/>
      <c r="G57" s="169">
        <f t="shared" si="10"/>
        <v>0</v>
      </c>
      <c r="H57" s="169"/>
      <c r="I57" s="169"/>
      <c r="J57" s="169"/>
      <c r="K57" s="169"/>
      <c r="L57" s="169"/>
      <c r="M57" s="169"/>
      <c r="N57" s="169"/>
      <c r="O57" s="169"/>
      <c r="P57" s="169"/>
      <c r="Q57" s="170"/>
    </row>
    <row r="58" spans="1:17" ht="39" hidden="1" x14ac:dyDescent="0.25">
      <c r="A58" s="164">
        <v>5045</v>
      </c>
      <c r="B58" s="165">
        <v>719500</v>
      </c>
      <c r="C58" s="166" t="s">
        <v>68</v>
      </c>
      <c r="D58" s="166"/>
      <c r="E58" s="169"/>
      <c r="F58" s="169"/>
      <c r="G58" s="169">
        <f t="shared" si="10"/>
        <v>0</v>
      </c>
      <c r="H58" s="169"/>
      <c r="I58" s="169"/>
      <c r="J58" s="169"/>
      <c r="K58" s="169"/>
      <c r="L58" s="169"/>
      <c r="M58" s="169"/>
      <c r="N58" s="169"/>
      <c r="O58" s="169"/>
      <c r="P58" s="169"/>
      <c r="Q58" s="170"/>
    </row>
    <row r="59" spans="1:17" ht="26.25" hidden="1" x14ac:dyDescent="0.25">
      <c r="A59" s="164">
        <v>5046</v>
      </c>
      <c r="B59" s="165">
        <v>719600</v>
      </c>
      <c r="C59" s="166" t="s">
        <v>69</v>
      </c>
      <c r="D59" s="166"/>
      <c r="E59" s="169"/>
      <c r="F59" s="169"/>
      <c r="G59" s="169">
        <f t="shared" si="10"/>
        <v>0</v>
      </c>
      <c r="H59" s="169"/>
      <c r="I59" s="169"/>
      <c r="J59" s="169"/>
      <c r="K59" s="169"/>
      <c r="L59" s="169"/>
      <c r="M59" s="169"/>
      <c r="N59" s="169"/>
      <c r="O59" s="169"/>
      <c r="P59" s="169"/>
      <c r="Q59" s="170"/>
    </row>
    <row r="60" spans="1:17" ht="26.25" hidden="1" x14ac:dyDescent="0.25">
      <c r="A60" s="241">
        <v>5047</v>
      </c>
      <c r="B60" s="235">
        <v>720000</v>
      </c>
      <c r="C60" s="158" t="s">
        <v>70</v>
      </c>
      <c r="D60" s="158"/>
      <c r="E60" s="159">
        <f>E61+E66</f>
        <v>0</v>
      </c>
      <c r="F60" s="159"/>
      <c r="G60" s="159">
        <f t="shared" si="10"/>
        <v>0</v>
      </c>
      <c r="H60" s="159"/>
      <c r="I60" s="159">
        <f t="shared" ref="I60:Q60" si="13">I61+I66</f>
        <v>0</v>
      </c>
      <c r="J60" s="159">
        <f t="shared" si="13"/>
        <v>0</v>
      </c>
      <c r="K60" s="159"/>
      <c r="L60" s="159">
        <f t="shared" si="13"/>
        <v>0</v>
      </c>
      <c r="M60" s="159"/>
      <c r="N60" s="159">
        <f t="shared" si="13"/>
        <v>0</v>
      </c>
      <c r="O60" s="159">
        <f t="shared" si="13"/>
        <v>0</v>
      </c>
      <c r="P60" s="159"/>
      <c r="Q60" s="160">
        <f t="shared" si="13"/>
        <v>0</v>
      </c>
    </row>
    <row r="61" spans="1:17" ht="26.25" hidden="1" x14ac:dyDescent="0.25">
      <c r="A61" s="241">
        <v>5048</v>
      </c>
      <c r="B61" s="235">
        <v>721000</v>
      </c>
      <c r="C61" s="158" t="s">
        <v>71</v>
      </c>
      <c r="D61" s="158"/>
      <c r="E61" s="159">
        <f>SUM(E62:E65)</f>
        <v>0</v>
      </c>
      <c r="F61" s="159"/>
      <c r="G61" s="159">
        <f t="shared" si="10"/>
        <v>0</v>
      </c>
      <c r="H61" s="159"/>
      <c r="I61" s="159">
        <f t="shared" ref="I61:Q61" si="14">SUM(I62:I65)</f>
        <v>0</v>
      </c>
      <c r="J61" s="159">
        <f t="shared" si="14"/>
        <v>0</v>
      </c>
      <c r="K61" s="159"/>
      <c r="L61" s="159">
        <f t="shared" si="14"/>
        <v>0</v>
      </c>
      <c r="M61" s="159"/>
      <c r="N61" s="159">
        <f t="shared" si="14"/>
        <v>0</v>
      </c>
      <c r="O61" s="159">
        <f t="shared" si="14"/>
        <v>0</v>
      </c>
      <c r="P61" s="159"/>
      <c r="Q61" s="160">
        <f t="shared" si="14"/>
        <v>0</v>
      </c>
    </row>
    <row r="62" spans="1:17" ht="26.25" hidden="1" x14ac:dyDescent="0.25">
      <c r="A62" s="164">
        <v>5049</v>
      </c>
      <c r="B62" s="165">
        <v>721100</v>
      </c>
      <c r="C62" s="166" t="s">
        <v>72</v>
      </c>
      <c r="D62" s="166"/>
      <c r="E62" s="182"/>
      <c r="F62" s="182"/>
      <c r="G62" s="183">
        <f t="shared" si="10"/>
        <v>0</v>
      </c>
      <c r="H62" s="183"/>
      <c r="I62" s="182"/>
      <c r="J62" s="182"/>
      <c r="K62" s="182"/>
      <c r="L62" s="182"/>
      <c r="M62" s="182"/>
      <c r="N62" s="182"/>
      <c r="O62" s="182"/>
      <c r="P62" s="182"/>
      <c r="Q62" s="184"/>
    </row>
    <row r="63" spans="1:17" ht="26.25" hidden="1" x14ac:dyDescent="0.25">
      <c r="A63" s="164">
        <v>5050</v>
      </c>
      <c r="B63" s="165">
        <v>721200</v>
      </c>
      <c r="C63" s="166" t="s">
        <v>73</v>
      </c>
      <c r="D63" s="166"/>
      <c r="E63" s="182"/>
      <c r="F63" s="182"/>
      <c r="G63" s="183">
        <f t="shared" si="10"/>
        <v>0</v>
      </c>
      <c r="H63" s="183"/>
      <c r="I63" s="182"/>
      <c r="J63" s="182"/>
      <c r="K63" s="182"/>
      <c r="L63" s="182"/>
      <c r="M63" s="182"/>
      <c r="N63" s="182"/>
      <c r="O63" s="182"/>
      <c r="P63" s="182"/>
      <c r="Q63" s="184"/>
    </row>
    <row r="64" spans="1:17" ht="51.75" hidden="1" x14ac:dyDescent="0.25">
      <c r="A64" s="164">
        <v>5051</v>
      </c>
      <c r="B64" s="165">
        <v>721300</v>
      </c>
      <c r="C64" s="166" t="s">
        <v>74</v>
      </c>
      <c r="D64" s="166"/>
      <c r="E64" s="182"/>
      <c r="F64" s="182"/>
      <c r="G64" s="183">
        <f t="shared" si="10"/>
        <v>0</v>
      </c>
      <c r="H64" s="183"/>
      <c r="I64" s="182"/>
      <c r="J64" s="182"/>
      <c r="K64" s="182"/>
      <c r="L64" s="182"/>
      <c r="M64" s="182"/>
      <c r="N64" s="182"/>
      <c r="O64" s="182"/>
      <c r="P64" s="182"/>
      <c r="Q64" s="184"/>
    </row>
    <row r="65" spans="1:17" ht="39" hidden="1" x14ac:dyDescent="0.25">
      <c r="A65" s="164">
        <v>5052</v>
      </c>
      <c r="B65" s="165">
        <v>721400</v>
      </c>
      <c r="C65" s="166" t="s">
        <v>75</v>
      </c>
      <c r="D65" s="166"/>
      <c r="E65" s="182"/>
      <c r="F65" s="182"/>
      <c r="G65" s="183">
        <f t="shared" si="10"/>
        <v>0</v>
      </c>
      <c r="H65" s="183"/>
      <c r="I65" s="182"/>
      <c r="J65" s="182"/>
      <c r="K65" s="182"/>
      <c r="L65" s="182"/>
      <c r="M65" s="182"/>
      <c r="N65" s="182"/>
      <c r="O65" s="182"/>
      <c r="P65" s="182"/>
      <c r="Q65" s="184"/>
    </row>
    <row r="66" spans="1:17" ht="26.25" hidden="1" x14ac:dyDescent="0.25">
      <c r="A66" s="241">
        <v>5053</v>
      </c>
      <c r="B66" s="235">
        <v>722000</v>
      </c>
      <c r="C66" s="158" t="s">
        <v>76</v>
      </c>
      <c r="D66" s="158"/>
      <c r="E66" s="159">
        <f>SUM(E67:E69)</f>
        <v>0</v>
      </c>
      <c r="F66" s="159"/>
      <c r="G66" s="159">
        <f t="shared" si="10"/>
        <v>0</v>
      </c>
      <c r="H66" s="159"/>
      <c r="I66" s="159">
        <f t="shared" ref="I66:Q66" si="15">SUM(I67:I69)</f>
        <v>0</v>
      </c>
      <c r="J66" s="159">
        <f t="shared" si="15"/>
        <v>0</v>
      </c>
      <c r="K66" s="159"/>
      <c r="L66" s="159">
        <f t="shared" si="15"/>
        <v>0</v>
      </c>
      <c r="M66" s="159"/>
      <c r="N66" s="159">
        <f t="shared" si="15"/>
        <v>0</v>
      </c>
      <c r="O66" s="159">
        <f t="shared" si="15"/>
        <v>0</v>
      </c>
      <c r="P66" s="159"/>
      <c r="Q66" s="160">
        <f t="shared" si="15"/>
        <v>0</v>
      </c>
    </row>
    <row r="67" spans="1:17" ht="26.25" hidden="1" x14ac:dyDescent="0.25">
      <c r="A67" s="164">
        <v>5054</v>
      </c>
      <c r="B67" s="165">
        <v>722100</v>
      </c>
      <c r="C67" s="166" t="s">
        <v>77</v>
      </c>
      <c r="D67" s="166"/>
      <c r="E67" s="182"/>
      <c r="F67" s="182"/>
      <c r="G67" s="183">
        <f t="shared" si="10"/>
        <v>0</v>
      </c>
      <c r="H67" s="183"/>
      <c r="I67" s="182"/>
      <c r="J67" s="182"/>
      <c r="K67" s="182"/>
      <c r="L67" s="182"/>
      <c r="M67" s="182"/>
      <c r="N67" s="182"/>
      <c r="O67" s="182"/>
      <c r="P67" s="182"/>
      <c r="Q67" s="184"/>
    </row>
    <row r="68" spans="1:17" ht="26.25" hidden="1" x14ac:dyDescent="0.25">
      <c r="A68" s="164">
        <v>5055</v>
      </c>
      <c r="B68" s="165">
        <v>722200</v>
      </c>
      <c r="C68" s="166" t="s">
        <v>78</v>
      </c>
      <c r="D68" s="166"/>
      <c r="E68" s="182"/>
      <c r="F68" s="182"/>
      <c r="G68" s="183">
        <f t="shared" si="10"/>
        <v>0</v>
      </c>
      <c r="H68" s="183"/>
      <c r="I68" s="182"/>
      <c r="J68" s="182"/>
      <c r="K68" s="182"/>
      <c r="L68" s="182"/>
      <c r="M68" s="182"/>
      <c r="N68" s="182"/>
      <c r="O68" s="182"/>
      <c r="P68" s="182"/>
      <c r="Q68" s="184"/>
    </row>
    <row r="69" spans="1:17" ht="26.25" hidden="1" x14ac:dyDescent="0.25">
      <c r="A69" s="164">
        <v>5056</v>
      </c>
      <c r="B69" s="165">
        <v>722300</v>
      </c>
      <c r="C69" s="166" t="s">
        <v>79</v>
      </c>
      <c r="D69" s="166"/>
      <c r="E69" s="182"/>
      <c r="F69" s="182"/>
      <c r="G69" s="183">
        <f t="shared" si="10"/>
        <v>0</v>
      </c>
      <c r="H69" s="183"/>
      <c r="I69" s="182"/>
      <c r="J69" s="182"/>
      <c r="K69" s="182"/>
      <c r="L69" s="182"/>
      <c r="M69" s="182"/>
      <c r="N69" s="182"/>
      <c r="O69" s="182"/>
      <c r="P69" s="182"/>
      <c r="Q69" s="184"/>
    </row>
    <row r="70" spans="1:17" hidden="1" x14ac:dyDescent="0.25">
      <c r="A70" s="605" t="s">
        <v>0</v>
      </c>
      <c r="B70" s="599" t="s">
        <v>1</v>
      </c>
      <c r="C70" s="598" t="s">
        <v>2</v>
      </c>
      <c r="D70" s="243"/>
      <c r="E70" s="600" t="s">
        <v>3</v>
      </c>
      <c r="F70" s="235"/>
      <c r="G70" s="600" t="s">
        <v>4</v>
      </c>
      <c r="H70" s="600"/>
      <c r="I70" s="600"/>
      <c r="J70" s="600"/>
      <c r="K70" s="600"/>
      <c r="L70" s="600"/>
      <c r="M70" s="600"/>
      <c r="N70" s="600"/>
      <c r="O70" s="600"/>
      <c r="P70" s="600"/>
      <c r="Q70" s="606"/>
    </row>
    <row r="71" spans="1:17" hidden="1" x14ac:dyDescent="0.25">
      <c r="A71" s="605"/>
      <c r="B71" s="599"/>
      <c r="C71" s="598"/>
      <c r="D71" s="243"/>
      <c r="E71" s="600"/>
      <c r="F71" s="235"/>
      <c r="G71" s="607" t="s">
        <v>5</v>
      </c>
      <c r="H71" s="240"/>
      <c r="I71" s="600" t="s">
        <v>6</v>
      </c>
      <c r="J71" s="600"/>
      <c r="K71" s="600"/>
      <c r="L71" s="600"/>
      <c r="M71" s="600"/>
      <c r="N71" s="600"/>
      <c r="O71" s="600" t="s">
        <v>7</v>
      </c>
      <c r="P71" s="235"/>
      <c r="Q71" s="606" t="s">
        <v>8</v>
      </c>
    </row>
    <row r="72" spans="1:17" ht="39" hidden="1" x14ac:dyDescent="0.25">
      <c r="A72" s="605"/>
      <c r="B72" s="599"/>
      <c r="C72" s="598"/>
      <c r="D72" s="243"/>
      <c r="E72" s="600"/>
      <c r="F72" s="235"/>
      <c r="G72" s="607"/>
      <c r="H72" s="240"/>
      <c r="I72" s="235" t="s">
        <v>9</v>
      </c>
      <c r="J72" s="235" t="s">
        <v>10</v>
      </c>
      <c r="K72" s="235"/>
      <c r="L72" s="235" t="s">
        <v>11</v>
      </c>
      <c r="M72" s="235"/>
      <c r="N72" s="235" t="s">
        <v>12</v>
      </c>
      <c r="O72" s="600"/>
      <c r="P72" s="235"/>
      <c r="Q72" s="606"/>
    </row>
    <row r="73" spans="1:17" ht="26.25" hidden="1" x14ac:dyDescent="0.25">
      <c r="A73" s="175" t="s">
        <v>18</v>
      </c>
      <c r="B73" s="242" t="s">
        <v>19</v>
      </c>
      <c r="C73" s="242" t="s">
        <v>20</v>
      </c>
      <c r="D73" s="242"/>
      <c r="E73" s="177" t="s">
        <v>21</v>
      </c>
      <c r="F73" s="177"/>
      <c r="G73" s="177" t="s">
        <v>22</v>
      </c>
      <c r="H73" s="177"/>
      <c r="I73" s="177" t="s">
        <v>23</v>
      </c>
      <c r="J73" s="177" t="s">
        <v>24</v>
      </c>
      <c r="K73" s="177"/>
      <c r="L73" s="177" t="s">
        <v>25</v>
      </c>
      <c r="M73" s="177"/>
      <c r="N73" s="177" t="s">
        <v>26</v>
      </c>
      <c r="O73" s="177" t="s">
        <v>27</v>
      </c>
      <c r="P73" s="177"/>
      <c r="Q73" s="178" t="s">
        <v>28</v>
      </c>
    </row>
    <row r="74" spans="1:17" ht="39" hidden="1" x14ac:dyDescent="0.25">
      <c r="A74" s="241">
        <v>5057</v>
      </c>
      <c r="B74" s="235">
        <v>730000</v>
      </c>
      <c r="C74" s="158" t="s">
        <v>80</v>
      </c>
      <c r="D74" s="158"/>
      <c r="E74" s="159">
        <f>E75+E78+E83</f>
        <v>0</v>
      </c>
      <c r="F74" s="159"/>
      <c r="G74" s="159">
        <f t="shared" si="10"/>
        <v>0</v>
      </c>
      <c r="H74" s="159"/>
      <c r="I74" s="159">
        <f t="shared" ref="I74:Q74" si="16">I75+I78+I83</f>
        <v>0</v>
      </c>
      <c r="J74" s="159">
        <f t="shared" si="16"/>
        <v>0</v>
      </c>
      <c r="K74" s="159"/>
      <c r="L74" s="159">
        <f t="shared" si="16"/>
        <v>0</v>
      </c>
      <c r="M74" s="159"/>
      <c r="N74" s="159">
        <f t="shared" si="16"/>
        <v>0</v>
      </c>
      <c r="O74" s="159">
        <f t="shared" si="16"/>
        <v>0</v>
      </c>
      <c r="P74" s="159"/>
      <c r="Q74" s="160">
        <f t="shared" si="16"/>
        <v>0</v>
      </c>
    </row>
    <row r="75" spans="1:17" ht="26.25" hidden="1" x14ac:dyDescent="0.25">
      <c r="A75" s="241">
        <v>5058</v>
      </c>
      <c r="B75" s="235">
        <v>731000</v>
      </c>
      <c r="C75" s="158" t="s">
        <v>81</v>
      </c>
      <c r="D75" s="158"/>
      <c r="E75" s="159">
        <f>E76+E77</f>
        <v>0</v>
      </c>
      <c r="F75" s="159"/>
      <c r="G75" s="159">
        <f t="shared" si="10"/>
        <v>0</v>
      </c>
      <c r="H75" s="159"/>
      <c r="I75" s="159">
        <f t="shared" ref="I75:Q75" si="17">I76+I77</f>
        <v>0</v>
      </c>
      <c r="J75" s="159">
        <f t="shared" si="17"/>
        <v>0</v>
      </c>
      <c r="K75" s="159"/>
      <c r="L75" s="159">
        <f t="shared" si="17"/>
        <v>0</v>
      </c>
      <c r="M75" s="159"/>
      <c r="N75" s="159">
        <f t="shared" si="17"/>
        <v>0</v>
      </c>
      <c r="O75" s="159">
        <f t="shared" si="17"/>
        <v>0</v>
      </c>
      <c r="P75" s="159"/>
      <c r="Q75" s="160">
        <f t="shared" si="17"/>
        <v>0</v>
      </c>
    </row>
    <row r="76" spans="1:17" ht="26.25" hidden="1" x14ac:dyDescent="0.25">
      <c r="A76" s="164">
        <v>5059</v>
      </c>
      <c r="B76" s="165">
        <v>731100</v>
      </c>
      <c r="C76" s="166" t="s">
        <v>82</v>
      </c>
      <c r="D76" s="166"/>
      <c r="E76" s="182"/>
      <c r="F76" s="182"/>
      <c r="G76" s="183">
        <f t="shared" si="10"/>
        <v>0</v>
      </c>
      <c r="H76" s="183"/>
      <c r="I76" s="182"/>
      <c r="J76" s="182"/>
      <c r="K76" s="182"/>
      <c r="L76" s="182"/>
      <c r="M76" s="182"/>
      <c r="N76" s="182"/>
      <c r="O76" s="182"/>
      <c r="P76" s="182"/>
      <c r="Q76" s="184"/>
    </row>
    <row r="77" spans="1:17" ht="26.25" hidden="1" x14ac:dyDescent="0.25">
      <c r="A77" s="164">
        <v>5060</v>
      </c>
      <c r="B77" s="165">
        <v>731200</v>
      </c>
      <c r="C77" s="166" t="s">
        <v>83</v>
      </c>
      <c r="D77" s="166"/>
      <c r="E77" s="182"/>
      <c r="F77" s="182"/>
      <c r="G77" s="183">
        <f t="shared" si="10"/>
        <v>0</v>
      </c>
      <c r="H77" s="183"/>
      <c r="I77" s="182"/>
      <c r="J77" s="182"/>
      <c r="K77" s="182"/>
      <c r="L77" s="182"/>
      <c r="M77" s="182"/>
      <c r="N77" s="182"/>
      <c r="O77" s="182"/>
      <c r="P77" s="182"/>
      <c r="Q77" s="184"/>
    </row>
    <row r="78" spans="1:17" ht="51.75" hidden="1" x14ac:dyDescent="0.25">
      <c r="A78" s="241">
        <v>5061</v>
      </c>
      <c r="B78" s="235">
        <v>732000</v>
      </c>
      <c r="C78" s="158" t="s">
        <v>84</v>
      </c>
      <c r="D78" s="158"/>
      <c r="E78" s="159">
        <f>E79+E80+E81+E82</f>
        <v>0</v>
      </c>
      <c r="F78" s="159"/>
      <c r="G78" s="159">
        <f t="shared" si="10"/>
        <v>0</v>
      </c>
      <c r="H78" s="159"/>
      <c r="I78" s="159">
        <f t="shared" ref="I78:Q78" si="18">I79+I80+I81+I82</f>
        <v>0</v>
      </c>
      <c r="J78" s="159">
        <f t="shared" si="18"/>
        <v>0</v>
      </c>
      <c r="K78" s="159"/>
      <c r="L78" s="159">
        <f t="shared" si="18"/>
        <v>0</v>
      </c>
      <c r="M78" s="159"/>
      <c r="N78" s="159">
        <f t="shared" si="18"/>
        <v>0</v>
      </c>
      <c r="O78" s="159">
        <f t="shared" si="18"/>
        <v>0</v>
      </c>
      <c r="P78" s="159"/>
      <c r="Q78" s="160">
        <f t="shared" si="18"/>
        <v>0</v>
      </c>
    </row>
    <row r="79" spans="1:17" ht="26.25" hidden="1" x14ac:dyDescent="0.25">
      <c r="A79" s="164">
        <v>5062</v>
      </c>
      <c r="B79" s="165">
        <v>732100</v>
      </c>
      <c r="C79" s="166" t="s">
        <v>85</v>
      </c>
      <c r="D79" s="166"/>
      <c r="E79" s="182"/>
      <c r="F79" s="182"/>
      <c r="G79" s="183">
        <f t="shared" si="10"/>
        <v>0</v>
      </c>
      <c r="H79" s="183"/>
      <c r="I79" s="182"/>
      <c r="J79" s="182"/>
      <c r="K79" s="182"/>
      <c r="L79" s="182"/>
      <c r="M79" s="182"/>
      <c r="N79" s="182"/>
      <c r="O79" s="182"/>
      <c r="P79" s="182"/>
      <c r="Q79" s="184"/>
    </row>
    <row r="80" spans="1:17" ht="26.25" hidden="1" x14ac:dyDescent="0.25">
      <c r="A80" s="164">
        <v>5063</v>
      </c>
      <c r="B80" s="165">
        <v>732200</v>
      </c>
      <c r="C80" s="166" t="s">
        <v>86</v>
      </c>
      <c r="D80" s="166"/>
      <c r="E80" s="182"/>
      <c r="F80" s="182"/>
      <c r="G80" s="183">
        <f t="shared" si="10"/>
        <v>0</v>
      </c>
      <c r="H80" s="183"/>
      <c r="I80" s="182"/>
      <c r="J80" s="182"/>
      <c r="K80" s="182"/>
      <c r="L80" s="182"/>
      <c r="M80" s="182"/>
      <c r="N80" s="182"/>
      <c r="O80" s="182"/>
      <c r="P80" s="182"/>
      <c r="Q80" s="184"/>
    </row>
    <row r="81" spans="1:17" hidden="1" x14ac:dyDescent="0.25">
      <c r="A81" s="164">
        <v>5064</v>
      </c>
      <c r="B81" s="165">
        <v>732300</v>
      </c>
      <c r="C81" s="166" t="s">
        <v>87</v>
      </c>
      <c r="D81" s="166"/>
      <c r="E81" s="182"/>
      <c r="F81" s="182"/>
      <c r="G81" s="183">
        <f t="shared" si="10"/>
        <v>0</v>
      </c>
      <c r="H81" s="183"/>
      <c r="I81" s="182"/>
      <c r="J81" s="182"/>
      <c r="K81" s="182"/>
      <c r="L81" s="182"/>
      <c r="M81" s="182"/>
      <c r="N81" s="182"/>
      <c r="O81" s="182"/>
      <c r="P81" s="182"/>
      <c r="Q81" s="184"/>
    </row>
    <row r="82" spans="1:17" hidden="1" x14ac:dyDescent="0.25">
      <c r="A82" s="164">
        <v>5065</v>
      </c>
      <c r="B82" s="165">
        <v>732400</v>
      </c>
      <c r="C82" s="166" t="s">
        <v>88</v>
      </c>
      <c r="D82" s="166"/>
      <c r="E82" s="182"/>
      <c r="F82" s="182"/>
      <c r="G82" s="183">
        <f t="shared" si="10"/>
        <v>0</v>
      </c>
      <c r="H82" s="183"/>
      <c r="I82" s="182"/>
      <c r="J82" s="182"/>
      <c r="K82" s="182"/>
      <c r="L82" s="182"/>
      <c r="M82" s="182"/>
      <c r="N82" s="182"/>
      <c r="O82" s="182"/>
      <c r="P82" s="182"/>
      <c r="Q82" s="184"/>
    </row>
    <row r="83" spans="1:17" ht="26.25" hidden="1" x14ac:dyDescent="0.25">
      <c r="A83" s="241">
        <v>5066</v>
      </c>
      <c r="B83" s="235">
        <v>733000</v>
      </c>
      <c r="C83" s="158" t="s">
        <v>89</v>
      </c>
      <c r="D83" s="158"/>
      <c r="E83" s="159">
        <f>E84+E85</f>
        <v>0</v>
      </c>
      <c r="F83" s="159"/>
      <c r="G83" s="159">
        <f t="shared" si="10"/>
        <v>0</v>
      </c>
      <c r="H83" s="159"/>
      <c r="I83" s="159">
        <f t="shared" ref="I83:Q83" si="19">I84+I85</f>
        <v>0</v>
      </c>
      <c r="J83" s="159">
        <f t="shared" si="19"/>
        <v>0</v>
      </c>
      <c r="K83" s="159"/>
      <c r="L83" s="159">
        <f t="shared" si="19"/>
        <v>0</v>
      </c>
      <c r="M83" s="159"/>
      <c r="N83" s="159">
        <f t="shared" si="19"/>
        <v>0</v>
      </c>
      <c r="O83" s="159">
        <f t="shared" si="19"/>
        <v>0</v>
      </c>
      <c r="P83" s="159"/>
      <c r="Q83" s="160">
        <f t="shared" si="19"/>
        <v>0</v>
      </c>
    </row>
    <row r="84" spans="1:17" ht="26.25" hidden="1" x14ac:dyDescent="0.25">
      <c r="A84" s="164">
        <v>5067</v>
      </c>
      <c r="B84" s="165">
        <v>733100</v>
      </c>
      <c r="C84" s="166" t="s">
        <v>90</v>
      </c>
      <c r="D84" s="166"/>
      <c r="E84" s="182"/>
      <c r="F84" s="182"/>
      <c r="G84" s="183">
        <f t="shared" ref="G84:G119" si="20">SUM(I84:Q84)</f>
        <v>0</v>
      </c>
      <c r="H84" s="183"/>
      <c r="I84" s="182"/>
      <c r="J84" s="182"/>
      <c r="K84" s="182"/>
      <c r="L84" s="182"/>
      <c r="M84" s="182"/>
      <c r="N84" s="182"/>
      <c r="O84" s="182"/>
      <c r="P84" s="182"/>
      <c r="Q84" s="184"/>
    </row>
    <row r="85" spans="1:17" ht="26.25" hidden="1" x14ac:dyDescent="0.25">
      <c r="A85" s="164">
        <v>5068</v>
      </c>
      <c r="B85" s="165">
        <v>733200</v>
      </c>
      <c r="C85" s="166" t="s">
        <v>91</v>
      </c>
      <c r="D85" s="166"/>
      <c r="E85" s="182"/>
      <c r="F85" s="182"/>
      <c r="G85" s="183">
        <f t="shared" si="20"/>
        <v>0</v>
      </c>
      <c r="H85" s="183"/>
      <c r="I85" s="182"/>
      <c r="J85" s="182"/>
      <c r="K85" s="182"/>
      <c r="L85" s="182"/>
      <c r="M85" s="182"/>
      <c r="N85" s="182"/>
      <c r="O85" s="182"/>
      <c r="P85" s="182"/>
      <c r="Q85" s="184"/>
    </row>
    <row r="86" spans="1:17" ht="26.25" x14ac:dyDescent="0.25">
      <c r="A86" s="241">
        <v>5069</v>
      </c>
      <c r="B86" s="235">
        <v>740000</v>
      </c>
      <c r="C86" s="158" t="s">
        <v>92</v>
      </c>
      <c r="D86" s="158"/>
      <c r="E86" s="159">
        <f>E87+E94+E99+E110+E113</f>
        <v>19095</v>
      </c>
      <c r="F86" s="159">
        <f>F87+F94+F99+F110+F113+F120</f>
        <v>14931</v>
      </c>
      <c r="G86" s="159">
        <f t="shared" ref="G86:Q86" si="21">G87+G94+G99+G110+G113</f>
        <v>14780</v>
      </c>
      <c r="H86" s="159">
        <f>H87+H94+H99+H110+H113</f>
        <v>1200</v>
      </c>
      <c r="I86" s="159">
        <f t="shared" si="21"/>
        <v>1165</v>
      </c>
      <c r="J86" s="159">
        <f t="shared" si="21"/>
        <v>0</v>
      </c>
      <c r="K86" s="159">
        <f t="shared" si="21"/>
        <v>0</v>
      </c>
      <c r="L86" s="159">
        <f t="shared" si="21"/>
        <v>0</v>
      </c>
      <c r="M86" s="159">
        <v>1131</v>
      </c>
      <c r="N86" s="159">
        <f t="shared" si="21"/>
        <v>1130</v>
      </c>
      <c r="O86" s="159">
        <f t="shared" si="21"/>
        <v>0</v>
      </c>
      <c r="P86" s="159">
        <f>P87+P94+P99+P110+P113+P120</f>
        <v>12600</v>
      </c>
      <c r="Q86" s="160">
        <f t="shared" si="21"/>
        <v>12485</v>
      </c>
    </row>
    <row r="87" spans="1:17" ht="26.25" x14ac:dyDescent="0.25">
      <c r="A87" s="241">
        <v>5070</v>
      </c>
      <c r="B87" s="235">
        <v>741000</v>
      </c>
      <c r="C87" s="158" t="s">
        <v>93</v>
      </c>
      <c r="D87" s="158"/>
      <c r="E87" s="159">
        <f>SUM(E88:E93)</f>
        <v>1130</v>
      </c>
      <c r="F87" s="159">
        <f t="shared" ref="F87:Q87" si="22">SUM(F88:F93)</f>
        <v>1131</v>
      </c>
      <c r="G87" s="159">
        <f>SUM(G88:G93)</f>
        <v>1130</v>
      </c>
      <c r="H87" s="159">
        <f t="shared" si="22"/>
        <v>0</v>
      </c>
      <c r="I87" s="159">
        <f t="shared" si="22"/>
        <v>0</v>
      </c>
      <c r="J87" s="159">
        <f t="shared" si="22"/>
        <v>0</v>
      </c>
      <c r="K87" s="159">
        <f t="shared" si="22"/>
        <v>0</v>
      </c>
      <c r="L87" s="159">
        <f t="shared" si="22"/>
        <v>0</v>
      </c>
      <c r="M87" s="159">
        <f t="shared" si="22"/>
        <v>1131</v>
      </c>
      <c r="N87" s="159">
        <f t="shared" si="22"/>
        <v>1130</v>
      </c>
      <c r="O87" s="159">
        <f t="shared" si="22"/>
        <v>0</v>
      </c>
      <c r="P87" s="159">
        <f t="shared" si="22"/>
        <v>0</v>
      </c>
      <c r="Q87" s="160">
        <f t="shared" si="22"/>
        <v>0</v>
      </c>
    </row>
    <row r="88" spans="1:17" hidden="1" x14ac:dyDescent="0.25">
      <c r="A88" s="164">
        <v>5071</v>
      </c>
      <c r="B88" s="165">
        <v>741100</v>
      </c>
      <c r="C88" s="166" t="s">
        <v>94</v>
      </c>
      <c r="D88" s="166"/>
      <c r="E88" s="182"/>
      <c r="F88" s="182"/>
      <c r="G88" s="183">
        <f t="shared" si="20"/>
        <v>0</v>
      </c>
      <c r="H88" s="183"/>
      <c r="I88" s="182"/>
      <c r="J88" s="182"/>
      <c r="K88" s="182"/>
      <c r="L88" s="182"/>
      <c r="M88" s="182"/>
      <c r="N88" s="182"/>
      <c r="O88" s="182"/>
      <c r="P88" s="182"/>
      <c r="Q88" s="184"/>
    </row>
    <row r="89" spans="1:17" hidden="1" x14ac:dyDescent="0.25">
      <c r="A89" s="164">
        <v>5072</v>
      </c>
      <c r="B89" s="165">
        <v>741200</v>
      </c>
      <c r="C89" s="166" t="s">
        <v>95</v>
      </c>
      <c r="D89" s="166"/>
      <c r="E89" s="182"/>
      <c r="F89" s="182"/>
      <c r="G89" s="183">
        <f t="shared" si="20"/>
        <v>0</v>
      </c>
      <c r="H89" s="183"/>
      <c r="I89" s="182"/>
      <c r="J89" s="182"/>
      <c r="K89" s="182"/>
      <c r="L89" s="182"/>
      <c r="M89" s="182"/>
      <c r="N89" s="182"/>
      <c r="O89" s="182"/>
      <c r="P89" s="182"/>
      <c r="Q89" s="184"/>
    </row>
    <row r="90" spans="1:17" ht="26.25" hidden="1" x14ac:dyDescent="0.25">
      <c r="A90" s="164">
        <v>5073</v>
      </c>
      <c r="B90" s="165">
        <v>741300</v>
      </c>
      <c r="C90" s="166" t="s">
        <v>96</v>
      </c>
      <c r="D90" s="166"/>
      <c r="E90" s="182"/>
      <c r="F90" s="182"/>
      <c r="G90" s="183">
        <f t="shared" si="20"/>
        <v>0</v>
      </c>
      <c r="H90" s="183"/>
      <c r="I90" s="182"/>
      <c r="J90" s="182"/>
      <c r="K90" s="182"/>
      <c r="L90" s="182"/>
      <c r="M90" s="182"/>
      <c r="N90" s="182"/>
      <c r="O90" s="182"/>
      <c r="P90" s="182"/>
      <c r="Q90" s="184"/>
    </row>
    <row r="91" spans="1:17" ht="26.25" x14ac:dyDescent="0.25">
      <c r="A91" s="164">
        <v>5074</v>
      </c>
      <c r="B91" s="165">
        <v>741400</v>
      </c>
      <c r="C91" s="166" t="s">
        <v>97</v>
      </c>
      <c r="D91" s="166"/>
      <c r="E91" s="161">
        <v>1130</v>
      </c>
      <c r="F91" s="185">
        <f>H91+K91+M91+P91</f>
        <v>1131</v>
      </c>
      <c r="G91" s="183">
        <f>SUM(I91:Q91)-K91-M91-P91</f>
        <v>1130</v>
      </c>
      <c r="H91" s="183"/>
      <c r="I91" s="185"/>
      <c r="J91" s="185"/>
      <c r="K91" s="185"/>
      <c r="L91" s="185"/>
      <c r="M91" s="185">
        <v>1131</v>
      </c>
      <c r="N91" s="185">
        <v>1130</v>
      </c>
      <c r="O91" s="185"/>
      <c r="P91" s="185"/>
      <c r="Q91" s="186"/>
    </row>
    <row r="92" spans="1:17" hidden="1" x14ac:dyDescent="0.25">
      <c r="A92" s="164">
        <v>5075</v>
      </c>
      <c r="B92" s="165">
        <v>741500</v>
      </c>
      <c r="C92" s="166" t="s">
        <v>98</v>
      </c>
      <c r="D92" s="166"/>
      <c r="E92" s="182"/>
      <c r="F92" s="161">
        <f t="shared" ref="F92:F138" si="23">H92+K92+M92+P92</f>
        <v>0</v>
      </c>
      <c r="G92" s="183">
        <f t="shared" si="20"/>
        <v>0</v>
      </c>
      <c r="H92" s="183"/>
      <c r="I92" s="182"/>
      <c r="J92" s="182"/>
      <c r="K92" s="182"/>
      <c r="L92" s="182"/>
      <c r="M92" s="182"/>
      <c r="N92" s="182"/>
      <c r="O92" s="182"/>
      <c r="P92" s="182"/>
      <c r="Q92" s="184"/>
    </row>
    <row r="93" spans="1:17" ht="26.25" hidden="1" x14ac:dyDescent="0.25">
      <c r="A93" s="164">
        <v>5076</v>
      </c>
      <c r="B93" s="165">
        <v>741600</v>
      </c>
      <c r="C93" s="166" t="s">
        <v>99</v>
      </c>
      <c r="D93" s="166"/>
      <c r="E93" s="182"/>
      <c r="F93" s="161">
        <f t="shared" si="23"/>
        <v>0</v>
      </c>
      <c r="G93" s="183">
        <f t="shared" si="20"/>
        <v>0</v>
      </c>
      <c r="H93" s="183"/>
      <c r="I93" s="182"/>
      <c r="J93" s="182"/>
      <c r="K93" s="182"/>
      <c r="L93" s="182"/>
      <c r="M93" s="182"/>
      <c r="N93" s="182"/>
      <c r="O93" s="182"/>
      <c r="P93" s="182"/>
      <c r="Q93" s="184"/>
    </row>
    <row r="94" spans="1:17" ht="39" x14ac:dyDescent="0.25">
      <c r="A94" s="241">
        <v>5077</v>
      </c>
      <c r="B94" s="235">
        <v>742000</v>
      </c>
      <c r="C94" s="158" t="s">
        <v>100</v>
      </c>
      <c r="D94" s="158"/>
      <c r="E94" s="159">
        <f>SUM(E95:E98)</f>
        <v>13865</v>
      </c>
      <c r="F94" s="161">
        <f>SUM(F95:F98)</f>
        <v>13700</v>
      </c>
      <c r="G94" s="159">
        <f t="shared" ref="G94:Q94" si="24">SUM(G95:G98)</f>
        <v>13236</v>
      </c>
      <c r="H94" s="159">
        <f t="shared" si="24"/>
        <v>1200</v>
      </c>
      <c r="I94" s="159">
        <f t="shared" si="24"/>
        <v>1165</v>
      </c>
      <c r="J94" s="159">
        <f t="shared" si="24"/>
        <v>0</v>
      </c>
      <c r="K94" s="159">
        <f t="shared" si="24"/>
        <v>0</v>
      </c>
      <c r="L94" s="159">
        <f t="shared" si="24"/>
        <v>0</v>
      </c>
      <c r="M94" s="159">
        <f t="shared" si="24"/>
        <v>0</v>
      </c>
      <c r="N94" s="159">
        <f t="shared" si="24"/>
        <v>0</v>
      </c>
      <c r="O94" s="159">
        <f t="shared" si="24"/>
        <v>0</v>
      </c>
      <c r="P94" s="159">
        <f t="shared" si="24"/>
        <v>12500</v>
      </c>
      <c r="Q94" s="160">
        <f t="shared" si="24"/>
        <v>12071</v>
      </c>
    </row>
    <row r="95" spans="1:17" ht="26.25" x14ac:dyDescent="0.25">
      <c r="A95" s="164">
        <v>5078</v>
      </c>
      <c r="B95" s="165">
        <v>742100</v>
      </c>
      <c r="C95" s="166" t="s">
        <v>508</v>
      </c>
      <c r="D95" s="166"/>
      <c r="E95" s="182">
        <v>5000</v>
      </c>
      <c r="F95" s="185">
        <f t="shared" si="23"/>
        <v>5000</v>
      </c>
      <c r="G95" s="183">
        <f>SUM(I95:Q95)-K95-M95-P95</f>
        <v>4891</v>
      </c>
      <c r="H95" s="183"/>
      <c r="I95" s="182"/>
      <c r="J95" s="182"/>
      <c r="K95" s="182"/>
      <c r="L95" s="182"/>
      <c r="M95" s="182"/>
      <c r="N95" s="182"/>
      <c r="O95" s="182"/>
      <c r="P95" s="182">
        <v>5000</v>
      </c>
      <c r="Q95" s="184">
        <v>4891</v>
      </c>
    </row>
    <row r="96" spans="1:17" hidden="1" x14ac:dyDescent="0.25">
      <c r="A96" s="164">
        <v>5079</v>
      </c>
      <c r="B96" s="165">
        <v>742200</v>
      </c>
      <c r="C96" s="166" t="s">
        <v>102</v>
      </c>
      <c r="D96" s="166"/>
      <c r="E96" s="182"/>
      <c r="F96" s="161">
        <f t="shared" si="23"/>
        <v>0</v>
      </c>
      <c r="G96" s="183">
        <f t="shared" ref="G96" si="25">SUM(I96:Q96)-H96-K96-M96-P96</f>
        <v>0</v>
      </c>
      <c r="H96" s="183"/>
      <c r="I96" s="182"/>
      <c r="J96" s="182"/>
      <c r="K96" s="182"/>
      <c r="L96" s="182"/>
      <c r="M96" s="182"/>
      <c r="N96" s="182"/>
      <c r="O96" s="182"/>
      <c r="P96" s="182"/>
      <c r="Q96" s="184"/>
    </row>
    <row r="97" spans="1:17" ht="39" x14ac:dyDescent="0.25">
      <c r="A97" s="164">
        <v>5080</v>
      </c>
      <c r="B97" s="165">
        <v>742300</v>
      </c>
      <c r="C97" s="166" t="s">
        <v>103</v>
      </c>
      <c r="D97" s="166"/>
      <c r="E97" s="182">
        <v>8865</v>
      </c>
      <c r="F97" s="185">
        <f t="shared" si="23"/>
        <v>8700</v>
      </c>
      <c r="G97" s="183">
        <f>SUM(I97:Q97)-K97-M97-P97</f>
        <v>8345</v>
      </c>
      <c r="H97" s="183">
        <v>1200</v>
      </c>
      <c r="I97" s="182">
        <v>1165</v>
      </c>
      <c r="J97" s="182"/>
      <c r="K97" s="182"/>
      <c r="L97" s="182"/>
      <c r="M97" s="182"/>
      <c r="N97" s="182"/>
      <c r="O97" s="182"/>
      <c r="P97" s="182">
        <v>7500</v>
      </c>
      <c r="Q97" s="184">
        <v>7180</v>
      </c>
    </row>
    <row r="98" spans="1:17" ht="26.25" hidden="1" x14ac:dyDescent="0.25">
      <c r="A98" s="164">
        <v>5081</v>
      </c>
      <c r="B98" s="165">
        <v>742400</v>
      </c>
      <c r="C98" s="166" t="s">
        <v>104</v>
      </c>
      <c r="D98" s="166"/>
      <c r="E98" s="182"/>
      <c r="F98" s="185">
        <f t="shared" si="23"/>
        <v>0</v>
      </c>
      <c r="G98" s="183">
        <f t="shared" si="20"/>
        <v>0</v>
      </c>
      <c r="H98" s="183"/>
      <c r="I98" s="182"/>
      <c r="J98" s="182"/>
      <c r="K98" s="182"/>
      <c r="L98" s="182"/>
      <c r="M98" s="182"/>
      <c r="N98" s="182"/>
      <c r="O98" s="182"/>
      <c r="P98" s="182"/>
      <c r="Q98" s="184"/>
    </row>
    <row r="99" spans="1:17" ht="39" hidden="1" x14ac:dyDescent="0.25">
      <c r="A99" s="241">
        <v>5082</v>
      </c>
      <c r="B99" s="235">
        <v>743000</v>
      </c>
      <c r="C99" s="158" t="s">
        <v>105</v>
      </c>
      <c r="D99" s="158"/>
      <c r="E99" s="159">
        <f>SUM(E104:E109)</f>
        <v>0</v>
      </c>
      <c r="F99" s="185">
        <f t="shared" si="23"/>
        <v>0</v>
      </c>
      <c r="G99" s="159">
        <f t="shared" si="20"/>
        <v>0</v>
      </c>
      <c r="H99" s="159"/>
      <c r="I99" s="159">
        <f t="shared" ref="I99:Q99" si="26">SUM(I104:I109)</f>
        <v>0</v>
      </c>
      <c r="J99" s="159">
        <f t="shared" si="26"/>
        <v>0</v>
      </c>
      <c r="K99" s="159"/>
      <c r="L99" s="159">
        <f t="shared" si="26"/>
        <v>0</v>
      </c>
      <c r="M99" s="159"/>
      <c r="N99" s="159">
        <f t="shared" si="26"/>
        <v>0</v>
      </c>
      <c r="O99" s="159">
        <f t="shared" si="26"/>
        <v>0</v>
      </c>
      <c r="P99" s="159"/>
      <c r="Q99" s="160">
        <f t="shared" si="26"/>
        <v>0</v>
      </c>
    </row>
    <row r="100" spans="1:17" hidden="1" x14ac:dyDescent="0.25">
      <c r="A100" s="605" t="s">
        <v>0</v>
      </c>
      <c r="B100" s="599" t="s">
        <v>1</v>
      </c>
      <c r="C100" s="598" t="s">
        <v>2</v>
      </c>
      <c r="D100" s="243"/>
      <c r="E100" s="600" t="s">
        <v>3</v>
      </c>
      <c r="F100" s="185">
        <f t="shared" si="23"/>
        <v>0</v>
      </c>
      <c r="G100" s="600" t="s">
        <v>4</v>
      </c>
      <c r="H100" s="600"/>
      <c r="I100" s="600"/>
      <c r="J100" s="600"/>
      <c r="K100" s="600"/>
      <c r="L100" s="600"/>
      <c r="M100" s="600"/>
      <c r="N100" s="600"/>
      <c r="O100" s="600"/>
      <c r="P100" s="600"/>
      <c r="Q100" s="606"/>
    </row>
    <row r="101" spans="1:17" hidden="1" x14ac:dyDescent="0.25">
      <c r="A101" s="605"/>
      <c r="B101" s="599"/>
      <c r="C101" s="598"/>
      <c r="D101" s="243"/>
      <c r="E101" s="600"/>
      <c r="F101" s="185">
        <f t="shared" si="23"/>
        <v>0</v>
      </c>
      <c r="G101" s="607" t="s">
        <v>5</v>
      </c>
      <c r="H101" s="240"/>
      <c r="I101" s="600" t="s">
        <v>6</v>
      </c>
      <c r="J101" s="600"/>
      <c r="K101" s="600"/>
      <c r="L101" s="600"/>
      <c r="M101" s="600"/>
      <c r="N101" s="600"/>
      <c r="O101" s="600" t="s">
        <v>7</v>
      </c>
      <c r="P101" s="235"/>
      <c r="Q101" s="606" t="s">
        <v>8</v>
      </c>
    </row>
    <row r="102" spans="1:17" ht="39" hidden="1" x14ac:dyDescent="0.25">
      <c r="A102" s="605"/>
      <c r="B102" s="599"/>
      <c r="C102" s="598"/>
      <c r="D102" s="243"/>
      <c r="E102" s="600"/>
      <c r="F102" s="185">
        <f t="shared" si="23"/>
        <v>0</v>
      </c>
      <c r="G102" s="607"/>
      <c r="H102" s="240"/>
      <c r="I102" s="235" t="s">
        <v>9</v>
      </c>
      <c r="J102" s="235" t="s">
        <v>10</v>
      </c>
      <c r="K102" s="235"/>
      <c r="L102" s="235" t="s">
        <v>11</v>
      </c>
      <c r="M102" s="235"/>
      <c r="N102" s="235" t="s">
        <v>12</v>
      </c>
      <c r="O102" s="600"/>
      <c r="P102" s="235"/>
      <c r="Q102" s="606"/>
    </row>
    <row r="103" spans="1:17" ht="26.25" hidden="1" x14ac:dyDescent="0.25">
      <c r="A103" s="175" t="s">
        <v>18</v>
      </c>
      <c r="B103" s="242" t="s">
        <v>19</v>
      </c>
      <c r="C103" s="242" t="s">
        <v>20</v>
      </c>
      <c r="D103" s="242"/>
      <c r="E103" s="177" t="s">
        <v>21</v>
      </c>
      <c r="F103" s="185">
        <f t="shared" si="23"/>
        <v>0</v>
      </c>
      <c r="G103" s="177" t="s">
        <v>22</v>
      </c>
      <c r="H103" s="177"/>
      <c r="I103" s="177" t="s">
        <v>23</v>
      </c>
      <c r="J103" s="177" t="s">
        <v>24</v>
      </c>
      <c r="K103" s="177"/>
      <c r="L103" s="177" t="s">
        <v>25</v>
      </c>
      <c r="M103" s="177"/>
      <c r="N103" s="177" t="s">
        <v>26</v>
      </c>
      <c r="O103" s="177" t="s">
        <v>27</v>
      </c>
      <c r="P103" s="177"/>
      <c r="Q103" s="178" t="s">
        <v>28</v>
      </c>
    </row>
    <row r="104" spans="1:17" ht="26.25" hidden="1" x14ac:dyDescent="0.25">
      <c r="A104" s="164">
        <v>5083</v>
      </c>
      <c r="B104" s="165">
        <v>743100</v>
      </c>
      <c r="C104" s="166" t="s">
        <v>106</v>
      </c>
      <c r="D104" s="166"/>
      <c r="E104" s="182"/>
      <c r="F104" s="185">
        <f t="shared" si="23"/>
        <v>0</v>
      </c>
      <c r="G104" s="183">
        <f t="shared" si="20"/>
        <v>0</v>
      </c>
      <c r="H104" s="183"/>
      <c r="I104" s="182"/>
      <c r="J104" s="182"/>
      <c r="K104" s="182"/>
      <c r="L104" s="182"/>
      <c r="M104" s="182"/>
      <c r="N104" s="182"/>
      <c r="O104" s="182"/>
      <c r="P104" s="182"/>
      <c r="Q104" s="184"/>
    </row>
    <row r="105" spans="1:17" ht="26.25" hidden="1" x14ac:dyDescent="0.25">
      <c r="A105" s="164">
        <v>5084</v>
      </c>
      <c r="B105" s="165">
        <v>743200</v>
      </c>
      <c r="C105" s="166" t="s">
        <v>107</v>
      </c>
      <c r="D105" s="166"/>
      <c r="E105" s="182"/>
      <c r="F105" s="185">
        <f t="shared" si="23"/>
        <v>0</v>
      </c>
      <c r="G105" s="183">
        <f t="shared" si="20"/>
        <v>0</v>
      </c>
      <c r="H105" s="183"/>
      <c r="I105" s="182"/>
      <c r="J105" s="182"/>
      <c r="K105" s="182"/>
      <c r="L105" s="182"/>
      <c r="M105" s="182"/>
      <c r="N105" s="182"/>
      <c r="O105" s="182"/>
      <c r="P105" s="182"/>
      <c r="Q105" s="184"/>
    </row>
    <row r="106" spans="1:17" ht="26.25" hidden="1" x14ac:dyDescent="0.25">
      <c r="A106" s="164">
        <v>5085</v>
      </c>
      <c r="B106" s="165">
        <v>743300</v>
      </c>
      <c r="C106" s="166" t="s">
        <v>108</v>
      </c>
      <c r="D106" s="166"/>
      <c r="E106" s="182"/>
      <c r="F106" s="185">
        <f t="shared" si="23"/>
        <v>0</v>
      </c>
      <c r="G106" s="183">
        <f t="shared" si="20"/>
        <v>0</v>
      </c>
      <c r="H106" s="183"/>
      <c r="I106" s="182"/>
      <c r="J106" s="182"/>
      <c r="K106" s="182"/>
      <c r="L106" s="182"/>
      <c r="M106" s="182"/>
      <c r="N106" s="182"/>
      <c r="O106" s="182"/>
      <c r="P106" s="182"/>
      <c r="Q106" s="184"/>
    </row>
    <row r="107" spans="1:17" hidden="1" x14ac:dyDescent="0.25">
      <c r="A107" s="164">
        <v>5086</v>
      </c>
      <c r="B107" s="165">
        <v>743400</v>
      </c>
      <c r="C107" s="166" t="s">
        <v>109</v>
      </c>
      <c r="D107" s="166"/>
      <c r="E107" s="182"/>
      <c r="F107" s="185">
        <f t="shared" si="23"/>
        <v>0</v>
      </c>
      <c r="G107" s="183">
        <f t="shared" si="20"/>
        <v>0</v>
      </c>
      <c r="H107" s="183"/>
      <c r="I107" s="182"/>
      <c r="J107" s="182"/>
      <c r="K107" s="182"/>
      <c r="L107" s="182"/>
      <c r="M107" s="182"/>
      <c r="N107" s="182"/>
      <c r="O107" s="182"/>
      <c r="P107" s="182"/>
      <c r="Q107" s="184"/>
    </row>
    <row r="108" spans="1:17" ht="26.25" hidden="1" x14ac:dyDescent="0.25">
      <c r="A108" s="164">
        <v>5087</v>
      </c>
      <c r="B108" s="165">
        <v>743500</v>
      </c>
      <c r="C108" s="166" t="s">
        <v>110</v>
      </c>
      <c r="D108" s="166"/>
      <c r="E108" s="182"/>
      <c r="F108" s="185">
        <f t="shared" si="23"/>
        <v>0</v>
      </c>
      <c r="G108" s="183">
        <f t="shared" si="20"/>
        <v>0</v>
      </c>
      <c r="H108" s="183"/>
      <c r="I108" s="182"/>
      <c r="J108" s="182"/>
      <c r="K108" s="182"/>
      <c r="L108" s="182"/>
      <c r="M108" s="182"/>
      <c r="N108" s="182"/>
      <c r="O108" s="182"/>
      <c r="P108" s="182"/>
      <c r="Q108" s="184"/>
    </row>
    <row r="109" spans="1:17" ht="39" hidden="1" x14ac:dyDescent="0.25">
      <c r="A109" s="164">
        <v>5088</v>
      </c>
      <c r="B109" s="165">
        <v>743900</v>
      </c>
      <c r="C109" s="166" t="s">
        <v>111</v>
      </c>
      <c r="D109" s="166"/>
      <c r="E109" s="182"/>
      <c r="F109" s="185">
        <f t="shared" si="23"/>
        <v>0</v>
      </c>
      <c r="G109" s="183">
        <f t="shared" si="20"/>
        <v>0</v>
      </c>
      <c r="H109" s="183"/>
      <c r="I109" s="182"/>
      <c r="J109" s="182"/>
      <c r="K109" s="182"/>
      <c r="L109" s="182"/>
      <c r="M109" s="182"/>
      <c r="N109" s="182"/>
      <c r="O109" s="182"/>
      <c r="P109" s="182"/>
      <c r="Q109" s="184"/>
    </row>
    <row r="110" spans="1:17" ht="39" hidden="1" x14ac:dyDescent="0.25">
      <c r="A110" s="241">
        <v>5089</v>
      </c>
      <c r="B110" s="235">
        <v>744000</v>
      </c>
      <c r="C110" s="158" t="s">
        <v>112</v>
      </c>
      <c r="D110" s="158"/>
      <c r="E110" s="159">
        <f>E111+E112</f>
        <v>4100</v>
      </c>
      <c r="F110" s="185">
        <f t="shared" si="23"/>
        <v>0</v>
      </c>
      <c r="G110" s="159">
        <f t="shared" ref="G110:Q110" si="27">G111+G112</f>
        <v>414</v>
      </c>
      <c r="H110" s="159">
        <f t="shared" si="27"/>
        <v>0</v>
      </c>
      <c r="I110" s="159">
        <f t="shared" si="27"/>
        <v>0</v>
      </c>
      <c r="J110" s="159">
        <f t="shared" si="27"/>
        <v>0</v>
      </c>
      <c r="K110" s="159">
        <f t="shared" si="27"/>
        <v>0</v>
      </c>
      <c r="L110" s="159">
        <f t="shared" si="27"/>
        <v>0</v>
      </c>
      <c r="M110" s="159">
        <f t="shared" si="27"/>
        <v>0</v>
      </c>
      <c r="N110" s="159">
        <f t="shared" si="27"/>
        <v>0</v>
      </c>
      <c r="O110" s="159">
        <f t="shared" si="27"/>
        <v>0</v>
      </c>
      <c r="P110" s="159">
        <f t="shared" si="27"/>
        <v>0</v>
      </c>
      <c r="Q110" s="160">
        <f t="shared" si="27"/>
        <v>414</v>
      </c>
    </row>
    <row r="111" spans="1:17" ht="26.25" hidden="1" x14ac:dyDescent="0.25">
      <c r="A111" s="164">
        <v>5090</v>
      </c>
      <c r="B111" s="165">
        <v>744100</v>
      </c>
      <c r="C111" s="166" t="s">
        <v>113</v>
      </c>
      <c r="D111" s="166"/>
      <c r="E111" s="182">
        <v>4100</v>
      </c>
      <c r="F111" s="185">
        <f t="shared" si="23"/>
        <v>0</v>
      </c>
      <c r="G111" s="183">
        <f t="shared" si="20"/>
        <v>414</v>
      </c>
      <c r="H111" s="183"/>
      <c r="I111" s="182"/>
      <c r="J111" s="182"/>
      <c r="K111" s="182"/>
      <c r="L111" s="182"/>
      <c r="M111" s="182"/>
      <c r="N111" s="182"/>
      <c r="O111" s="182"/>
      <c r="P111" s="182"/>
      <c r="Q111" s="184">
        <v>414</v>
      </c>
    </row>
    <row r="112" spans="1:17" ht="39" hidden="1" x14ac:dyDescent="0.25">
      <c r="A112" s="164">
        <v>5091</v>
      </c>
      <c r="B112" s="165">
        <v>744200</v>
      </c>
      <c r="C112" s="166" t="s">
        <v>114</v>
      </c>
      <c r="D112" s="166"/>
      <c r="E112" s="182"/>
      <c r="F112" s="185">
        <f t="shared" si="23"/>
        <v>0</v>
      </c>
      <c r="G112" s="183">
        <f t="shared" si="20"/>
        <v>0</v>
      </c>
      <c r="H112" s="183"/>
      <c r="I112" s="182"/>
      <c r="J112" s="182"/>
      <c r="K112" s="182"/>
      <c r="L112" s="182"/>
      <c r="M112" s="182"/>
      <c r="N112" s="182"/>
      <c r="O112" s="182"/>
      <c r="P112" s="182"/>
      <c r="Q112" s="184"/>
    </row>
    <row r="113" spans="1:22" ht="26.25" hidden="1" x14ac:dyDescent="0.25">
      <c r="A113" s="241">
        <v>5092</v>
      </c>
      <c r="B113" s="235">
        <v>745000</v>
      </c>
      <c r="C113" s="158" t="s">
        <v>115</v>
      </c>
      <c r="D113" s="158"/>
      <c r="E113" s="159">
        <f>E114</f>
        <v>0</v>
      </c>
      <c r="F113" s="185">
        <f t="shared" si="23"/>
        <v>0</v>
      </c>
      <c r="G113" s="159">
        <f t="shared" si="20"/>
        <v>0</v>
      </c>
      <c r="H113" s="159"/>
      <c r="I113" s="159">
        <f t="shared" ref="I113:Q113" si="28">I114</f>
        <v>0</v>
      </c>
      <c r="J113" s="159">
        <f t="shared" si="28"/>
        <v>0</v>
      </c>
      <c r="K113" s="159"/>
      <c r="L113" s="159">
        <f t="shared" si="28"/>
        <v>0</v>
      </c>
      <c r="M113" s="159"/>
      <c r="N113" s="159">
        <f t="shared" si="28"/>
        <v>0</v>
      </c>
      <c r="O113" s="159">
        <f t="shared" si="28"/>
        <v>0</v>
      </c>
      <c r="P113" s="159"/>
      <c r="Q113" s="160">
        <f t="shared" si="28"/>
        <v>0</v>
      </c>
    </row>
    <row r="114" spans="1:22" hidden="1" x14ac:dyDescent="0.25">
      <c r="A114" s="164">
        <v>5093</v>
      </c>
      <c r="B114" s="165">
        <v>745100</v>
      </c>
      <c r="C114" s="166" t="s">
        <v>116</v>
      </c>
      <c r="D114" s="166"/>
      <c r="E114" s="182"/>
      <c r="F114" s="185">
        <f t="shared" si="23"/>
        <v>0</v>
      </c>
      <c r="G114" s="183">
        <f t="shared" si="20"/>
        <v>0</v>
      </c>
      <c r="H114" s="183"/>
      <c r="I114" s="182"/>
      <c r="J114" s="182"/>
      <c r="K114" s="182"/>
      <c r="L114" s="182"/>
      <c r="M114" s="182"/>
      <c r="N114" s="182"/>
      <c r="O114" s="182"/>
      <c r="P114" s="182"/>
      <c r="Q114" s="184"/>
    </row>
    <row r="115" spans="1:22" ht="39" hidden="1" x14ac:dyDescent="0.25">
      <c r="A115" s="241">
        <v>5094</v>
      </c>
      <c r="B115" s="235">
        <v>770000</v>
      </c>
      <c r="C115" s="158" t="s">
        <v>117</v>
      </c>
      <c r="D115" s="158"/>
      <c r="E115" s="159">
        <f>E116+E118</f>
        <v>0</v>
      </c>
      <c r="F115" s="185">
        <f t="shared" si="23"/>
        <v>0</v>
      </c>
      <c r="G115" s="159">
        <f t="shared" si="20"/>
        <v>0</v>
      </c>
      <c r="H115" s="159"/>
      <c r="I115" s="159">
        <f t="shared" ref="I115:Q115" si="29">I116+I118</f>
        <v>0</v>
      </c>
      <c r="J115" s="159">
        <f t="shared" si="29"/>
        <v>0</v>
      </c>
      <c r="K115" s="159"/>
      <c r="L115" s="159">
        <f t="shared" si="29"/>
        <v>0</v>
      </c>
      <c r="M115" s="159"/>
      <c r="N115" s="159">
        <f t="shared" si="29"/>
        <v>0</v>
      </c>
      <c r="O115" s="159">
        <f t="shared" si="29"/>
        <v>0</v>
      </c>
      <c r="P115" s="159"/>
      <c r="Q115" s="160">
        <f t="shared" si="29"/>
        <v>0</v>
      </c>
    </row>
    <row r="116" spans="1:22" ht="39" hidden="1" x14ac:dyDescent="0.25">
      <c r="A116" s="241">
        <v>5095</v>
      </c>
      <c r="B116" s="235">
        <v>771000</v>
      </c>
      <c r="C116" s="158" t="s">
        <v>118</v>
      </c>
      <c r="D116" s="158"/>
      <c r="E116" s="159">
        <f>E117</f>
        <v>0</v>
      </c>
      <c r="F116" s="185">
        <f t="shared" si="23"/>
        <v>0</v>
      </c>
      <c r="G116" s="159">
        <f t="shared" si="20"/>
        <v>0</v>
      </c>
      <c r="H116" s="159"/>
      <c r="I116" s="159">
        <f t="shared" ref="I116:Q116" si="30">I117</f>
        <v>0</v>
      </c>
      <c r="J116" s="159">
        <f t="shared" si="30"/>
        <v>0</v>
      </c>
      <c r="K116" s="159"/>
      <c r="L116" s="159">
        <f t="shared" si="30"/>
        <v>0</v>
      </c>
      <c r="M116" s="159"/>
      <c r="N116" s="159">
        <f t="shared" si="30"/>
        <v>0</v>
      </c>
      <c r="O116" s="159">
        <f t="shared" si="30"/>
        <v>0</v>
      </c>
      <c r="P116" s="159"/>
      <c r="Q116" s="160">
        <f t="shared" si="30"/>
        <v>0</v>
      </c>
    </row>
    <row r="117" spans="1:22" ht="26.25" hidden="1" x14ac:dyDescent="0.25">
      <c r="A117" s="164">
        <v>5096</v>
      </c>
      <c r="B117" s="165">
        <v>771100</v>
      </c>
      <c r="C117" s="166" t="s">
        <v>119</v>
      </c>
      <c r="D117" s="166"/>
      <c r="E117" s="182"/>
      <c r="F117" s="185">
        <f t="shared" si="23"/>
        <v>0</v>
      </c>
      <c r="G117" s="183">
        <f t="shared" si="20"/>
        <v>0</v>
      </c>
      <c r="H117" s="183"/>
      <c r="I117" s="182"/>
      <c r="J117" s="182"/>
      <c r="K117" s="182"/>
      <c r="L117" s="182"/>
      <c r="M117" s="182"/>
      <c r="N117" s="182"/>
      <c r="O117" s="182"/>
      <c r="P117" s="182"/>
      <c r="Q117" s="184"/>
    </row>
    <row r="118" spans="1:22" ht="51.75" hidden="1" x14ac:dyDescent="0.25">
      <c r="A118" s="241">
        <v>5097</v>
      </c>
      <c r="B118" s="235">
        <v>772000</v>
      </c>
      <c r="C118" s="158" t="s">
        <v>120</v>
      </c>
      <c r="D118" s="158"/>
      <c r="E118" s="159">
        <f>E119</f>
        <v>0</v>
      </c>
      <c r="F118" s="185">
        <f t="shared" si="23"/>
        <v>0</v>
      </c>
      <c r="G118" s="159">
        <f t="shared" si="20"/>
        <v>0</v>
      </c>
      <c r="H118" s="159"/>
      <c r="I118" s="159">
        <f t="shared" ref="I118:Q118" si="31">I119</f>
        <v>0</v>
      </c>
      <c r="J118" s="159">
        <f t="shared" si="31"/>
        <v>0</v>
      </c>
      <c r="K118" s="159"/>
      <c r="L118" s="159">
        <f t="shared" si="31"/>
        <v>0</v>
      </c>
      <c r="M118" s="159"/>
      <c r="N118" s="159">
        <f t="shared" si="31"/>
        <v>0</v>
      </c>
      <c r="O118" s="159">
        <f t="shared" si="31"/>
        <v>0</v>
      </c>
      <c r="P118" s="159"/>
      <c r="Q118" s="160">
        <f t="shared" si="31"/>
        <v>0</v>
      </c>
    </row>
    <row r="119" spans="1:22" ht="39" hidden="1" x14ac:dyDescent="0.25">
      <c r="A119" s="164">
        <v>5098</v>
      </c>
      <c r="B119" s="165">
        <v>772100</v>
      </c>
      <c r="C119" s="166" t="s">
        <v>121</v>
      </c>
      <c r="D119" s="166"/>
      <c r="E119" s="182"/>
      <c r="F119" s="185">
        <f t="shared" si="23"/>
        <v>0</v>
      </c>
      <c r="G119" s="183">
        <f t="shared" si="20"/>
        <v>0</v>
      </c>
      <c r="H119" s="183"/>
      <c r="I119" s="182"/>
      <c r="J119" s="182"/>
      <c r="K119" s="182"/>
      <c r="L119" s="182"/>
      <c r="M119" s="182"/>
      <c r="N119" s="182"/>
      <c r="O119" s="182"/>
      <c r="P119" s="182"/>
      <c r="Q119" s="184"/>
    </row>
    <row r="120" spans="1:22" ht="39" x14ac:dyDescent="0.25">
      <c r="A120" s="241">
        <v>5089</v>
      </c>
      <c r="B120" s="235">
        <v>744000</v>
      </c>
      <c r="C120" s="158" t="s">
        <v>112</v>
      </c>
      <c r="D120" s="158"/>
      <c r="E120" s="159">
        <f>E121+E122</f>
        <v>1447862</v>
      </c>
      <c r="F120" s="187">
        <f t="shared" si="23"/>
        <v>100</v>
      </c>
      <c r="G120" s="159">
        <f t="shared" ref="G120:L120" si="32">G121+G122</f>
        <v>2879851</v>
      </c>
      <c r="H120" s="159">
        <f t="shared" si="32"/>
        <v>0</v>
      </c>
      <c r="I120" s="159">
        <f t="shared" si="32"/>
        <v>0</v>
      </c>
      <c r="J120" s="159">
        <f t="shared" si="32"/>
        <v>0</v>
      </c>
      <c r="K120" s="159">
        <f t="shared" si="32"/>
        <v>0</v>
      </c>
      <c r="L120" s="159">
        <f t="shared" si="32"/>
        <v>0</v>
      </c>
      <c r="M120" s="159"/>
      <c r="P120" s="159">
        <f>P121</f>
        <v>100</v>
      </c>
    </row>
    <row r="121" spans="1:22" ht="26.25" x14ac:dyDescent="0.25">
      <c r="A121" s="164">
        <v>5090</v>
      </c>
      <c r="B121" s="165">
        <v>744100</v>
      </c>
      <c r="C121" s="166" t="s">
        <v>113</v>
      </c>
      <c r="D121" s="166"/>
      <c r="E121" s="182">
        <v>4100</v>
      </c>
      <c r="F121" s="185">
        <f t="shared" si="23"/>
        <v>100</v>
      </c>
      <c r="G121" s="182"/>
      <c r="H121" s="182"/>
      <c r="I121" s="182"/>
      <c r="J121" s="182"/>
      <c r="K121" s="182"/>
      <c r="L121" s="182"/>
      <c r="M121" s="182"/>
      <c r="P121" s="188">
        <v>100</v>
      </c>
    </row>
    <row r="122" spans="1:22" ht="39" x14ac:dyDescent="0.25">
      <c r="A122" s="241">
        <v>5099</v>
      </c>
      <c r="B122" s="235">
        <v>780000</v>
      </c>
      <c r="C122" s="158" t="s">
        <v>122</v>
      </c>
      <c r="D122" s="158"/>
      <c r="E122" s="159">
        <f>E123</f>
        <v>1443762</v>
      </c>
      <c r="F122" s="161">
        <f t="shared" si="23"/>
        <v>1482789</v>
      </c>
      <c r="G122" s="159">
        <f t="shared" ref="G122:Q122" si="33">G123</f>
        <v>2879851</v>
      </c>
      <c r="H122" s="159">
        <f t="shared" si="33"/>
        <v>0</v>
      </c>
      <c r="I122" s="159">
        <f t="shared" si="33"/>
        <v>0</v>
      </c>
      <c r="J122" s="159">
        <f t="shared" si="33"/>
        <v>0</v>
      </c>
      <c r="K122" s="159">
        <f t="shared" si="33"/>
        <v>0</v>
      </c>
      <c r="L122" s="159">
        <f t="shared" si="33"/>
        <v>0</v>
      </c>
      <c r="M122" s="159">
        <f t="shared" si="33"/>
        <v>1482789</v>
      </c>
      <c r="N122" s="159">
        <f t="shared" si="33"/>
        <v>1397062</v>
      </c>
      <c r="O122" s="159">
        <f t="shared" si="33"/>
        <v>0</v>
      </c>
      <c r="P122" s="159">
        <f t="shared" si="33"/>
        <v>0</v>
      </c>
      <c r="Q122" s="160">
        <f t="shared" si="33"/>
        <v>0</v>
      </c>
    </row>
    <row r="123" spans="1:22" ht="39" x14ac:dyDescent="0.25">
      <c r="A123" s="241">
        <v>5100</v>
      </c>
      <c r="B123" s="235">
        <v>781000</v>
      </c>
      <c r="C123" s="158" t="s">
        <v>123</v>
      </c>
      <c r="D123" s="158"/>
      <c r="E123" s="159">
        <f>E124+E125</f>
        <v>1443762</v>
      </c>
      <c r="F123" s="161">
        <f t="shared" si="23"/>
        <v>1482789</v>
      </c>
      <c r="G123" s="159">
        <f t="shared" ref="G123:Q123" si="34">G124+G125</f>
        <v>2879851</v>
      </c>
      <c r="H123" s="159">
        <f t="shared" si="34"/>
        <v>0</v>
      </c>
      <c r="I123" s="159">
        <f t="shared" si="34"/>
        <v>0</v>
      </c>
      <c r="J123" s="159">
        <f t="shared" si="34"/>
        <v>0</v>
      </c>
      <c r="K123" s="159">
        <f t="shared" si="34"/>
        <v>0</v>
      </c>
      <c r="L123" s="159">
        <f t="shared" si="34"/>
        <v>0</v>
      </c>
      <c r="M123" s="159">
        <f t="shared" si="34"/>
        <v>1482789</v>
      </c>
      <c r="N123" s="159">
        <f t="shared" si="34"/>
        <v>1397062</v>
      </c>
      <c r="O123" s="159">
        <f t="shared" si="34"/>
        <v>0</v>
      </c>
      <c r="P123" s="159">
        <f t="shared" si="34"/>
        <v>0</v>
      </c>
      <c r="Q123" s="160">
        <f t="shared" si="34"/>
        <v>0</v>
      </c>
    </row>
    <row r="124" spans="1:22" ht="28.5" x14ac:dyDescent="0.4">
      <c r="A124" s="164">
        <v>5101</v>
      </c>
      <c r="B124" s="165">
        <v>781100</v>
      </c>
      <c r="C124" s="166" t="s">
        <v>124</v>
      </c>
      <c r="D124" s="166"/>
      <c r="E124" s="182">
        <v>1443762</v>
      </c>
      <c r="F124" s="161">
        <f t="shared" si="23"/>
        <v>1482789</v>
      </c>
      <c r="G124" s="183">
        <f>SUM(I124:Q124)</f>
        <v>2879851</v>
      </c>
      <c r="H124" s="183"/>
      <c r="I124" s="182"/>
      <c r="J124" s="182"/>
      <c r="K124" s="182"/>
      <c r="L124" s="182"/>
      <c r="M124" s="182">
        <f>1377997+1583+12500+4800+200+7710+600+37400+315+8072+399+274+18289+2813+2586+7251</f>
        <v>1482789</v>
      </c>
      <c r="N124" s="182">
        <v>1397062</v>
      </c>
      <c r="O124" s="182"/>
      <c r="P124" s="182"/>
      <c r="Q124" s="184"/>
      <c r="V124" s="189" t="s">
        <v>538</v>
      </c>
    </row>
    <row r="125" spans="1:22" ht="26.25" hidden="1" x14ac:dyDescent="0.25">
      <c r="A125" s="164">
        <v>5102</v>
      </c>
      <c r="B125" s="165">
        <v>781300</v>
      </c>
      <c r="C125" s="166" t="s">
        <v>125</v>
      </c>
      <c r="D125" s="166"/>
      <c r="E125" s="182"/>
      <c r="F125" s="161">
        <f t="shared" si="23"/>
        <v>0</v>
      </c>
      <c r="G125" s="183">
        <f t="shared" ref="G125:G161" si="35">SUM(I125:Q125)</f>
        <v>0</v>
      </c>
      <c r="H125" s="183"/>
      <c r="I125" s="182"/>
      <c r="J125" s="182"/>
      <c r="K125" s="182"/>
      <c r="L125" s="182"/>
      <c r="M125" s="182"/>
      <c r="N125" s="182"/>
      <c r="O125" s="182"/>
      <c r="P125" s="182"/>
      <c r="Q125" s="184"/>
    </row>
    <row r="126" spans="1:22" x14ac:dyDescent="0.25">
      <c r="A126" s="241">
        <v>5103</v>
      </c>
      <c r="B126" s="235">
        <v>790000</v>
      </c>
      <c r="C126" s="158" t="s">
        <v>126</v>
      </c>
      <c r="D126" s="158"/>
      <c r="E126" s="159">
        <f>E127</f>
        <v>37481</v>
      </c>
      <c r="F126" s="161">
        <f t="shared" si="23"/>
        <v>31727</v>
      </c>
      <c r="G126" s="159">
        <f t="shared" ref="G126:Q126" si="36">G127</f>
        <v>18078</v>
      </c>
      <c r="H126" s="159">
        <f>H127</f>
        <v>23280</v>
      </c>
      <c r="I126" s="159">
        <f t="shared" si="36"/>
        <v>17573</v>
      </c>
      <c r="J126" s="159">
        <f t="shared" si="36"/>
        <v>0</v>
      </c>
      <c r="K126" s="159">
        <f t="shared" si="36"/>
        <v>8447</v>
      </c>
      <c r="L126" s="159">
        <f t="shared" si="36"/>
        <v>505</v>
      </c>
      <c r="M126" s="159">
        <f t="shared" si="36"/>
        <v>0</v>
      </c>
      <c r="N126" s="159">
        <f t="shared" si="36"/>
        <v>0</v>
      </c>
      <c r="O126" s="159">
        <f t="shared" si="36"/>
        <v>0</v>
      </c>
      <c r="P126" s="159">
        <f t="shared" si="36"/>
        <v>0</v>
      </c>
      <c r="Q126" s="160">
        <f t="shared" si="36"/>
        <v>0</v>
      </c>
    </row>
    <row r="127" spans="1:22" x14ac:dyDescent="0.25">
      <c r="A127" s="241">
        <v>5104</v>
      </c>
      <c r="B127" s="235">
        <v>791000</v>
      </c>
      <c r="C127" s="158" t="s">
        <v>127</v>
      </c>
      <c r="D127" s="158"/>
      <c r="E127" s="159">
        <f>E132</f>
        <v>37481</v>
      </c>
      <c r="F127" s="161">
        <f t="shared" si="23"/>
        <v>31727</v>
      </c>
      <c r="G127" s="159">
        <f t="shared" ref="G127:Q127" si="37">G132</f>
        <v>18078</v>
      </c>
      <c r="H127" s="159">
        <f t="shared" si="37"/>
        <v>23280</v>
      </c>
      <c r="I127" s="159">
        <f t="shared" si="37"/>
        <v>17573</v>
      </c>
      <c r="J127" s="159">
        <f t="shared" si="37"/>
        <v>0</v>
      </c>
      <c r="K127" s="159">
        <f t="shared" si="37"/>
        <v>8447</v>
      </c>
      <c r="L127" s="159">
        <f t="shared" si="37"/>
        <v>505</v>
      </c>
      <c r="M127" s="159">
        <f t="shared" si="37"/>
        <v>0</v>
      </c>
      <c r="N127" s="159">
        <f t="shared" si="37"/>
        <v>0</v>
      </c>
      <c r="O127" s="159">
        <f t="shared" si="37"/>
        <v>0</v>
      </c>
      <c r="P127" s="159">
        <f t="shared" si="37"/>
        <v>0</v>
      </c>
      <c r="Q127" s="160">
        <f t="shared" si="37"/>
        <v>0</v>
      </c>
    </row>
    <row r="128" spans="1:22" hidden="1" x14ac:dyDescent="0.25">
      <c r="A128" s="605" t="s">
        <v>0</v>
      </c>
      <c r="B128" s="599" t="s">
        <v>1</v>
      </c>
      <c r="C128" s="598" t="s">
        <v>2</v>
      </c>
      <c r="D128" s="243"/>
      <c r="E128" s="600" t="s">
        <v>3</v>
      </c>
      <c r="F128" s="161">
        <f t="shared" si="23"/>
        <v>0</v>
      </c>
      <c r="G128" s="600" t="s">
        <v>4</v>
      </c>
      <c r="H128" s="600"/>
      <c r="I128" s="600"/>
      <c r="J128" s="600"/>
      <c r="K128" s="600"/>
      <c r="L128" s="600"/>
      <c r="M128" s="600"/>
      <c r="N128" s="600"/>
      <c r="O128" s="600"/>
      <c r="P128" s="600"/>
      <c r="Q128" s="606"/>
    </row>
    <row r="129" spans="1:22" hidden="1" x14ac:dyDescent="0.25">
      <c r="A129" s="605"/>
      <c r="B129" s="599"/>
      <c r="C129" s="598"/>
      <c r="D129" s="243"/>
      <c r="E129" s="600"/>
      <c r="F129" s="161">
        <f t="shared" si="23"/>
        <v>0</v>
      </c>
      <c r="G129" s="607" t="s">
        <v>5</v>
      </c>
      <c r="H129" s="240"/>
      <c r="I129" s="600" t="s">
        <v>6</v>
      </c>
      <c r="J129" s="600"/>
      <c r="K129" s="600"/>
      <c r="L129" s="600"/>
      <c r="M129" s="600"/>
      <c r="N129" s="600"/>
      <c r="O129" s="600" t="s">
        <v>7</v>
      </c>
      <c r="P129" s="235"/>
      <c r="Q129" s="606" t="s">
        <v>8</v>
      </c>
    </row>
    <row r="130" spans="1:22" ht="39" hidden="1" x14ac:dyDescent="0.25">
      <c r="A130" s="605"/>
      <c r="B130" s="599"/>
      <c r="C130" s="598"/>
      <c r="D130" s="243"/>
      <c r="E130" s="600"/>
      <c r="F130" s="161">
        <f t="shared" si="23"/>
        <v>0</v>
      </c>
      <c r="G130" s="607"/>
      <c r="H130" s="240"/>
      <c r="I130" s="235" t="s">
        <v>9</v>
      </c>
      <c r="J130" s="235" t="s">
        <v>10</v>
      </c>
      <c r="K130" s="235"/>
      <c r="L130" s="235" t="s">
        <v>11</v>
      </c>
      <c r="M130" s="235"/>
      <c r="N130" s="235" t="s">
        <v>12</v>
      </c>
      <c r="O130" s="600"/>
      <c r="P130" s="235"/>
      <c r="Q130" s="606"/>
    </row>
    <row r="131" spans="1:22" ht="26.25" hidden="1" x14ac:dyDescent="0.25">
      <c r="A131" s="175" t="s">
        <v>18</v>
      </c>
      <c r="B131" s="242" t="s">
        <v>19</v>
      </c>
      <c r="C131" s="242" t="s">
        <v>20</v>
      </c>
      <c r="D131" s="242"/>
      <c r="E131" s="177" t="s">
        <v>21</v>
      </c>
      <c r="F131" s="161">
        <f t="shared" si="23"/>
        <v>0</v>
      </c>
      <c r="G131" s="177" t="s">
        <v>22</v>
      </c>
      <c r="H131" s="177"/>
      <c r="I131" s="177" t="s">
        <v>23</v>
      </c>
      <c r="J131" s="177" t="s">
        <v>24</v>
      </c>
      <c r="K131" s="177"/>
      <c r="L131" s="177" t="s">
        <v>25</v>
      </c>
      <c r="M131" s="177"/>
      <c r="N131" s="177" t="s">
        <v>26</v>
      </c>
      <c r="O131" s="177" t="s">
        <v>27</v>
      </c>
      <c r="P131" s="177"/>
      <c r="Q131" s="178" t="s">
        <v>28</v>
      </c>
    </row>
    <row r="132" spans="1:22" ht="26.25" x14ac:dyDescent="0.4">
      <c r="A132" s="164">
        <v>5105</v>
      </c>
      <c r="B132" s="165">
        <v>791100</v>
      </c>
      <c r="C132" s="166" t="s">
        <v>128</v>
      </c>
      <c r="D132" s="166"/>
      <c r="E132" s="182">
        <v>37481</v>
      </c>
      <c r="F132" s="185">
        <f t="shared" si="23"/>
        <v>31727</v>
      </c>
      <c r="G132" s="190">
        <f>SUM(I132:Q132)-K132-M132-P132</f>
        <v>18078</v>
      </c>
      <c r="H132" s="190">
        <f>20000+42-42+3280</f>
        <v>23280</v>
      </c>
      <c r="I132" s="182">
        <v>17573</v>
      </c>
      <c r="J132" s="182"/>
      <c r="K132" s="182">
        <f>1000+7447</f>
        <v>8447</v>
      </c>
      <c r="L132" s="182">
        <v>505</v>
      </c>
      <c r="M132" s="182"/>
      <c r="N132" s="182"/>
      <c r="O132" s="182"/>
      <c r="P132" s="182"/>
      <c r="Q132" s="184"/>
      <c r="V132" s="189" t="s">
        <v>538</v>
      </c>
    </row>
    <row r="133" spans="1:22" ht="39" x14ac:dyDescent="0.25">
      <c r="A133" s="241">
        <v>5106</v>
      </c>
      <c r="B133" s="235">
        <v>800000</v>
      </c>
      <c r="C133" s="158" t="s">
        <v>129</v>
      </c>
      <c r="D133" s="158"/>
      <c r="E133" s="159">
        <f>E134+E141+E148+E151</f>
        <v>200</v>
      </c>
      <c r="F133" s="161">
        <f t="shared" si="23"/>
        <v>255</v>
      </c>
      <c r="G133" s="159">
        <f t="shared" ref="G133:Q133" si="38">G134+G141+G148+G151</f>
        <v>184</v>
      </c>
      <c r="H133" s="159">
        <f t="shared" si="38"/>
        <v>0</v>
      </c>
      <c r="I133" s="159">
        <f t="shared" si="38"/>
        <v>0</v>
      </c>
      <c r="J133" s="159">
        <f t="shared" si="38"/>
        <v>0</v>
      </c>
      <c r="K133" s="159">
        <f t="shared" si="38"/>
        <v>0</v>
      </c>
      <c r="L133" s="159">
        <f t="shared" si="38"/>
        <v>0</v>
      </c>
      <c r="M133" s="159">
        <f t="shared" si="38"/>
        <v>0</v>
      </c>
      <c r="N133" s="159">
        <f t="shared" si="38"/>
        <v>0</v>
      </c>
      <c r="O133" s="159">
        <f t="shared" si="38"/>
        <v>0</v>
      </c>
      <c r="P133" s="159">
        <f t="shared" si="38"/>
        <v>255</v>
      </c>
      <c r="Q133" s="160">
        <f t="shared" si="38"/>
        <v>184</v>
      </c>
    </row>
    <row r="134" spans="1:22" ht="39" x14ac:dyDescent="0.25">
      <c r="A134" s="241">
        <v>5107</v>
      </c>
      <c r="B134" s="235">
        <v>810000</v>
      </c>
      <c r="C134" s="158" t="s">
        <v>130</v>
      </c>
      <c r="D134" s="158"/>
      <c r="E134" s="159">
        <f>E135+E137+E139</f>
        <v>200</v>
      </c>
      <c r="F134" s="161">
        <f t="shared" si="23"/>
        <v>255</v>
      </c>
      <c r="G134" s="159">
        <f t="shared" ref="G134:Q134" si="39">G135+G137+G139</f>
        <v>184</v>
      </c>
      <c r="H134" s="159">
        <f t="shared" si="39"/>
        <v>0</v>
      </c>
      <c r="I134" s="159">
        <f t="shared" si="39"/>
        <v>0</v>
      </c>
      <c r="J134" s="159">
        <f t="shared" si="39"/>
        <v>0</v>
      </c>
      <c r="K134" s="159">
        <f t="shared" si="39"/>
        <v>0</v>
      </c>
      <c r="L134" s="159">
        <f t="shared" si="39"/>
        <v>0</v>
      </c>
      <c r="M134" s="159">
        <f t="shared" si="39"/>
        <v>0</v>
      </c>
      <c r="N134" s="159">
        <f t="shared" si="39"/>
        <v>0</v>
      </c>
      <c r="O134" s="159">
        <f t="shared" si="39"/>
        <v>0</v>
      </c>
      <c r="P134" s="159">
        <f t="shared" si="39"/>
        <v>255</v>
      </c>
      <c r="Q134" s="160">
        <f t="shared" si="39"/>
        <v>184</v>
      </c>
    </row>
    <row r="135" spans="1:22" ht="26.25" hidden="1" x14ac:dyDescent="0.25">
      <c r="A135" s="241">
        <v>5108</v>
      </c>
      <c r="B135" s="235">
        <v>811000</v>
      </c>
      <c r="C135" s="158" t="s">
        <v>131</v>
      </c>
      <c r="D135" s="158"/>
      <c r="E135" s="159">
        <f>E136</f>
        <v>0</v>
      </c>
      <c r="F135" s="161">
        <f t="shared" si="23"/>
        <v>0</v>
      </c>
      <c r="G135" s="159">
        <f t="shared" si="35"/>
        <v>0</v>
      </c>
      <c r="H135" s="159"/>
      <c r="I135" s="159">
        <f t="shared" ref="I135:Q135" si="40">I136</f>
        <v>0</v>
      </c>
      <c r="J135" s="159">
        <f t="shared" si="40"/>
        <v>0</v>
      </c>
      <c r="K135" s="159"/>
      <c r="L135" s="159">
        <f t="shared" si="40"/>
        <v>0</v>
      </c>
      <c r="M135" s="159"/>
      <c r="N135" s="159">
        <f t="shared" si="40"/>
        <v>0</v>
      </c>
      <c r="O135" s="159">
        <f t="shared" si="40"/>
        <v>0</v>
      </c>
      <c r="P135" s="159"/>
      <c r="Q135" s="160">
        <f t="shared" si="40"/>
        <v>0</v>
      </c>
    </row>
    <row r="136" spans="1:22" ht="26.25" hidden="1" x14ac:dyDescent="0.25">
      <c r="A136" s="164">
        <v>5109</v>
      </c>
      <c r="B136" s="165">
        <v>811100</v>
      </c>
      <c r="C136" s="166" t="s">
        <v>132</v>
      </c>
      <c r="D136" s="166"/>
      <c r="E136" s="182"/>
      <c r="F136" s="161">
        <f t="shared" si="23"/>
        <v>0</v>
      </c>
      <c r="G136" s="183">
        <f t="shared" si="35"/>
        <v>0</v>
      </c>
      <c r="H136" s="183"/>
      <c r="I136" s="182"/>
      <c r="J136" s="182"/>
      <c r="K136" s="182"/>
      <c r="L136" s="182"/>
      <c r="M136" s="182"/>
      <c r="N136" s="182"/>
      <c r="O136" s="182"/>
      <c r="P136" s="182"/>
      <c r="Q136" s="184"/>
    </row>
    <row r="137" spans="1:22" ht="26.25" x14ac:dyDescent="0.25">
      <c r="A137" s="241">
        <v>5110</v>
      </c>
      <c r="B137" s="235">
        <v>812000</v>
      </c>
      <c r="C137" s="158" t="s">
        <v>133</v>
      </c>
      <c r="D137" s="158"/>
      <c r="E137" s="159">
        <f>E138</f>
        <v>200</v>
      </c>
      <c r="F137" s="161">
        <f t="shared" si="23"/>
        <v>255</v>
      </c>
      <c r="G137" s="159">
        <f t="shared" ref="G137:Q137" si="41">G138</f>
        <v>184</v>
      </c>
      <c r="H137" s="159">
        <f t="shared" si="41"/>
        <v>0</v>
      </c>
      <c r="I137" s="159">
        <f t="shared" si="41"/>
        <v>0</v>
      </c>
      <c r="J137" s="159">
        <f t="shared" si="41"/>
        <v>0</v>
      </c>
      <c r="K137" s="159">
        <f t="shared" si="41"/>
        <v>0</v>
      </c>
      <c r="L137" s="159">
        <f t="shared" si="41"/>
        <v>0</v>
      </c>
      <c r="M137" s="159">
        <f t="shared" si="41"/>
        <v>0</v>
      </c>
      <c r="N137" s="159">
        <f t="shared" si="41"/>
        <v>0</v>
      </c>
      <c r="O137" s="159">
        <f t="shared" si="41"/>
        <v>0</v>
      </c>
      <c r="P137" s="159">
        <f t="shared" si="41"/>
        <v>255</v>
      </c>
      <c r="Q137" s="160">
        <f t="shared" si="41"/>
        <v>184</v>
      </c>
    </row>
    <row r="138" spans="1:22" ht="26.25" x14ac:dyDescent="0.25">
      <c r="A138" s="164">
        <v>5111</v>
      </c>
      <c r="B138" s="165">
        <v>812100</v>
      </c>
      <c r="C138" s="166" t="s">
        <v>134</v>
      </c>
      <c r="D138" s="166"/>
      <c r="E138" s="182">
        <v>200</v>
      </c>
      <c r="F138" s="185">
        <f t="shared" si="23"/>
        <v>255</v>
      </c>
      <c r="G138" s="183">
        <f>SUM(I138:Q138)-K138-M138-P138</f>
        <v>184</v>
      </c>
      <c r="H138" s="183"/>
      <c r="I138" s="182"/>
      <c r="J138" s="182"/>
      <c r="K138" s="182"/>
      <c r="L138" s="182"/>
      <c r="M138" s="182"/>
      <c r="N138" s="182"/>
      <c r="O138" s="182"/>
      <c r="P138" s="182">
        <f>200+55</f>
        <v>255</v>
      </c>
      <c r="Q138" s="184">
        <v>184</v>
      </c>
    </row>
    <row r="139" spans="1:22" ht="39" hidden="1" x14ac:dyDescent="0.25">
      <c r="A139" s="241">
        <v>5112</v>
      </c>
      <c r="B139" s="235">
        <v>813000</v>
      </c>
      <c r="C139" s="158" t="s">
        <v>135</v>
      </c>
      <c r="D139" s="158"/>
      <c r="E139" s="159">
        <f>E140</f>
        <v>0</v>
      </c>
      <c r="F139" s="159"/>
      <c r="G139" s="159">
        <f t="shared" si="35"/>
        <v>0</v>
      </c>
      <c r="H139" s="159"/>
      <c r="I139" s="159">
        <f t="shared" ref="I139:Q139" si="42">I140</f>
        <v>0</v>
      </c>
      <c r="J139" s="159">
        <f t="shared" si="42"/>
        <v>0</v>
      </c>
      <c r="K139" s="159"/>
      <c r="L139" s="159">
        <f t="shared" si="42"/>
        <v>0</v>
      </c>
      <c r="M139" s="159"/>
      <c r="N139" s="159">
        <f t="shared" si="42"/>
        <v>0</v>
      </c>
      <c r="O139" s="159">
        <f t="shared" si="42"/>
        <v>0</v>
      </c>
      <c r="P139" s="159"/>
      <c r="Q139" s="160">
        <f t="shared" si="42"/>
        <v>0</v>
      </c>
    </row>
    <row r="140" spans="1:22" ht="26.25" hidden="1" x14ac:dyDescent="0.25">
      <c r="A140" s="164">
        <v>5113</v>
      </c>
      <c r="B140" s="165">
        <v>813100</v>
      </c>
      <c r="C140" s="166" t="s">
        <v>136</v>
      </c>
      <c r="D140" s="166"/>
      <c r="E140" s="182"/>
      <c r="F140" s="182"/>
      <c r="G140" s="183">
        <f t="shared" si="35"/>
        <v>0</v>
      </c>
      <c r="H140" s="183"/>
      <c r="I140" s="182"/>
      <c r="J140" s="182"/>
      <c r="K140" s="182"/>
      <c r="L140" s="182"/>
      <c r="M140" s="182"/>
      <c r="N140" s="182"/>
      <c r="O140" s="182"/>
      <c r="P140" s="182"/>
      <c r="Q140" s="184"/>
    </row>
    <row r="141" spans="1:22" ht="26.25" hidden="1" x14ac:dyDescent="0.25">
      <c r="A141" s="241">
        <v>5114</v>
      </c>
      <c r="B141" s="235">
        <v>820000</v>
      </c>
      <c r="C141" s="158" t="s">
        <v>137</v>
      </c>
      <c r="D141" s="158"/>
      <c r="E141" s="159">
        <f>E142+E144+E146</f>
        <v>0</v>
      </c>
      <c r="F141" s="159"/>
      <c r="G141" s="159">
        <f t="shared" si="35"/>
        <v>0</v>
      </c>
      <c r="H141" s="159"/>
      <c r="I141" s="159">
        <f t="shared" ref="I141:Q141" si="43">I142+I144+I146</f>
        <v>0</v>
      </c>
      <c r="J141" s="159">
        <f t="shared" si="43"/>
        <v>0</v>
      </c>
      <c r="K141" s="159"/>
      <c r="L141" s="159">
        <f t="shared" si="43"/>
        <v>0</v>
      </c>
      <c r="M141" s="159"/>
      <c r="N141" s="159">
        <f t="shared" si="43"/>
        <v>0</v>
      </c>
      <c r="O141" s="159">
        <f t="shared" si="43"/>
        <v>0</v>
      </c>
      <c r="P141" s="159"/>
      <c r="Q141" s="160">
        <f t="shared" si="43"/>
        <v>0</v>
      </c>
    </row>
    <row r="142" spans="1:22" ht="26.25" hidden="1" x14ac:dyDescent="0.25">
      <c r="A142" s="241">
        <v>5115</v>
      </c>
      <c r="B142" s="235">
        <v>821000</v>
      </c>
      <c r="C142" s="158" t="s">
        <v>138</v>
      </c>
      <c r="D142" s="158"/>
      <c r="E142" s="159">
        <f>E143</f>
        <v>0</v>
      </c>
      <c r="F142" s="159"/>
      <c r="G142" s="159">
        <f t="shared" si="35"/>
        <v>0</v>
      </c>
      <c r="H142" s="159"/>
      <c r="I142" s="159">
        <f t="shared" ref="I142:Q142" si="44">I143</f>
        <v>0</v>
      </c>
      <c r="J142" s="159">
        <f t="shared" si="44"/>
        <v>0</v>
      </c>
      <c r="K142" s="159"/>
      <c r="L142" s="159">
        <f t="shared" si="44"/>
        <v>0</v>
      </c>
      <c r="M142" s="159"/>
      <c r="N142" s="159">
        <f t="shared" si="44"/>
        <v>0</v>
      </c>
      <c r="O142" s="159">
        <f t="shared" si="44"/>
        <v>0</v>
      </c>
      <c r="P142" s="159"/>
      <c r="Q142" s="160">
        <f t="shared" si="44"/>
        <v>0</v>
      </c>
    </row>
    <row r="143" spans="1:22" ht="26.25" hidden="1" x14ac:dyDescent="0.25">
      <c r="A143" s="164">
        <v>5116</v>
      </c>
      <c r="B143" s="165">
        <v>821100</v>
      </c>
      <c r="C143" s="166" t="s">
        <v>139</v>
      </c>
      <c r="D143" s="166"/>
      <c r="E143" s="182"/>
      <c r="F143" s="182"/>
      <c r="G143" s="183">
        <f t="shared" si="35"/>
        <v>0</v>
      </c>
      <c r="H143" s="183"/>
      <c r="I143" s="182"/>
      <c r="J143" s="182"/>
      <c r="K143" s="182"/>
      <c r="L143" s="182"/>
      <c r="M143" s="182"/>
      <c r="N143" s="182"/>
      <c r="O143" s="182"/>
      <c r="P143" s="182"/>
      <c r="Q143" s="184"/>
    </row>
    <row r="144" spans="1:22" ht="39" hidden="1" x14ac:dyDescent="0.25">
      <c r="A144" s="241">
        <v>5117</v>
      </c>
      <c r="B144" s="235">
        <v>822000</v>
      </c>
      <c r="C144" s="158" t="s">
        <v>140</v>
      </c>
      <c r="D144" s="158"/>
      <c r="E144" s="159">
        <f>E145</f>
        <v>0</v>
      </c>
      <c r="F144" s="159"/>
      <c r="G144" s="159">
        <f t="shared" si="35"/>
        <v>0</v>
      </c>
      <c r="H144" s="159"/>
      <c r="I144" s="159">
        <f t="shared" ref="I144:Q144" si="45">I145</f>
        <v>0</v>
      </c>
      <c r="J144" s="159">
        <f t="shared" si="45"/>
        <v>0</v>
      </c>
      <c r="K144" s="159"/>
      <c r="L144" s="159">
        <f t="shared" si="45"/>
        <v>0</v>
      </c>
      <c r="M144" s="159"/>
      <c r="N144" s="159">
        <f t="shared" si="45"/>
        <v>0</v>
      </c>
      <c r="O144" s="159">
        <f t="shared" si="45"/>
        <v>0</v>
      </c>
      <c r="P144" s="159"/>
      <c r="Q144" s="160">
        <f t="shared" si="45"/>
        <v>0</v>
      </c>
    </row>
    <row r="145" spans="1:17" ht="26.25" hidden="1" x14ac:dyDescent="0.25">
      <c r="A145" s="164">
        <v>5118</v>
      </c>
      <c r="B145" s="165">
        <v>822100</v>
      </c>
      <c r="C145" s="166" t="s">
        <v>141</v>
      </c>
      <c r="D145" s="166"/>
      <c r="E145" s="182"/>
      <c r="F145" s="182"/>
      <c r="G145" s="183">
        <f t="shared" si="35"/>
        <v>0</v>
      </c>
      <c r="H145" s="183"/>
      <c r="I145" s="182"/>
      <c r="J145" s="182"/>
      <c r="K145" s="182"/>
      <c r="L145" s="182"/>
      <c r="M145" s="182"/>
      <c r="N145" s="182"/>
      <c r="O145" s="182"/>
      <c r="P145" s="182"/>
      <c r="Q145" s="184"/>
    </row>
    <row r="146" spans="1:17" ht="39" hidden="1" x14ac:dyDescent="0.25">
      <c r="A146" s="241">
        <v>5119</v>
      </c>
      <c r="B146" s="235">
        <v>823000</v>
      </c>
      <c r="C146" s="158" t="s">
        <v>142</v>
      </c>
      <c r="D146" s="158"/>
      <c r="E146" s="159">
        <f>E147</f>
        <v>0</v>
      </c>
      <c r="F146" s="159"/>
      <c r="G146" s="159">
        <f t="shared" si="35"/>
        <v>0</v>
      </c>
      <c r="H146" s="159"/>
      <c r="I146" s="159">
        <f t="shared" ref="I146:Q146" si="46">I147</f>
        <v>0</v>
      </c>
      <c r="J146" s="159">
        <f t="shared" si="46"/>
        <v>0</v>
      </c>
      <c r="K146" s="159"/>
      <c r="L146" s="159">
        <f t="shared" si="46"/>
        <v>0</v>
      </c>
      <c r="M146" s="159"/>
      <c r="N146" s="159">
        <f t="shared" si="46"/>
        <v>0</v>
      </c>
      <c r="O146" s="159">
        <f t="shared" si="46"/>
        <v>0</v>
      </c>
      <c r="P146" s="159"/>
      <c r="Q146" s="160">
        <f t="shared" si="46"/>
        <v>0</v>
      </c>
    </row>
    <row r="147" spans="1:17" ht="26.25" hidden="1" x14ac:dyDescent="0.25">
      <c r="A147" s="164">
        <v>5120</v>
      </c>
      <c r="B147" s="165">
        <v>823100</v>
      </c>
      <c r="C147" s="166" t="s">
        <v>143</v>
      </c>
      <c r="D147" s="166"/>
      <c r="E147" s="182"/>
      <c r="F147" s="182"/>
      <c r="G147" s="183">
        <f t="shared" si="35"/>
        <v>0</v>
      </c>
      <c r="H147" s="183"/>
      <c r="I147" s="182"/>
      <c r="J147" s="182"/>
      <c r="K147" s="182"/>
      <c r="L147" s="182"/>
      <c r="M147" s="182"/>
      <c r="N147" s="182"/>
      <c r="O147" s="182"/>
      <c r="P147" s="182"/>
      <c r="Q147" s="184"/>
    </row>
    <row r="148" spans="1:17" ht="26.25" hidden="1" x14ac:dyDescent="0.25">
      <c r="A148" s="241">
        <v>5121</v>
      </c>
      <c r="B148" s="235">
        <v>830000</v>
      </c>
      <c r="C148" s="158" t="s">
        <v>144</v>
      </c>
      <c r="D148" s="158"/>
      <c r="E148" s="159">
        <f>E149</f>
        <v>0</v>
      </c>
      <c r="F148" s="159"/>
      <c r="G148" s="159">
        <f t="shared" si="35"/>
        <v>0</v>
      </c>
      <c r="H148" s="159"/>
      <c r="I148" s="159">
        <f t="shared" ref="I148:Q149" si="47">I149</f>
        <v>0</v>
      </c>
      <c r="J148" s="159">
        <f t="shared" si="47"/>
        <v>0</v>
      </c>
      <c r="K148" s="159"/>
      <c r="L148" s="159">
        <f t="shared" si="47"/>
        <v>0</v>
      </c>
      <c r="M148" s="159"/>
      <c r="N148" s="159">
        <f t="shared" si="47"/>
        <v>0</v>
      </c>
      <c r="O148" s="159">
        <f t="shared" si="47"/>
        <v>0</v>
      </c>
      <c r="P148" s="159"/>
      <c r="Q148" s="160">
        <f t="shared" si="47"/>
        <v>0</v>
      </c>
    </row>
    <row r="149" spans="1:17" ht="26.25" hidden="1" x14ac:dyDescent="0.25">
      <c r="A149" s="241">
        <v>5122</v>
      </c>
      <c r="B149" s="235">
        <v>831000</v>
      </c>
      <c r="C149" s="158" t="s">
        <v>145</v>
      </c>
      <c r="D149" s="158"/>
      <c r="E149" s="159">
        <f>E150</f>
        <v>0</v>
      </c>
      <c r="F149" s="159"/>
      <c r="G149" s="159">
        <f t="shared" si="35"/>
        <v>0</v>
      </c>
      <c r="H149" s="159"/>
      <c r="I149" s="159">
        <f t="shared" si="47"/>
        <v>0</v>
      </c>
      <c r="J149" s="159">
        <f t="shared" si="47"/>
        <v>0</v>
      </c>
      <c r="K149" s="159"/>
      <c r="L149" s="159">
        <f t="shared" si="47"/>
        <v>0</v>
      </c>
      <c r="M149" s="159"/>
      <c r="N149" s="159">
        <f t="shared" si="47"/>
        <v>0</v>
      </c>
      <c r="O149" s="159">
        <f t="shared" si="47"/>
        <v>0</v>
      </c>
      <c r="P149" s="159"/>
      <c r="Q149" s="160">
        <f t="shared" si="47"/>
        <v>0</v>
      </c>
    </row>
    <row r="150" spans="1:17" ht="26.25" hidden="1" x14ac:dyDescent="0.25">
      <c r="A150" s="164">
        <v>5123</v>
      </c>
      <c r="B150" s="165">
        <v>831100</v>
      </c>
      <c r="C150" s="166" t="s">
        <v>146</v>
      </c>
      <c r="D150" s="166"/>
      <c r="E150" s="182"/>
      <c r="F150" s="182"/>
      <c r="G150" s="183">
        <f t="shared" si="35"/>
        <v>0</v>
      </c>
      <c r="H150" s="183"/>
      <c r="I150" s="182"/>
      <c r="J150" s="182"/>
      <c r="K150" s="182"/>
      <c r="L150" s="182"/>
      <c r="M150" s="182"/>
      <c r="N150" s="182"/>
      <c r="O150" s="182"/>
      <c r="P150" s="182"/>
      <c r="Q150" s="184"/>
    </row>
    <row r="151" spans="1:17" ht="39" hidden="1" x14ac:dyDescent="0.25">
      <c r="A151" s="241">
        <v>5124</v>
      </c>
      <c r="B151" s="235">
        <v>840000</v>
      </c>
      <c r="C151" s="158" t="s">
        <v>147</v>
      </c>
      <c r="D151" s="158"/>
      <c r="E151" s="159">
        <f>E152+E154+E160</f>
        <v>0</v>
      </c>
      <c r="F151" s="159"/>
      <c r="G151" s="159">
        <f t="shared" si="35"/>
        <v>0</v>
      </c>
      <c r="H151" s="159"/>
      <c r="I151" s="159">
        <f t="shared" ref="I151:Q151" si="48">I152+I154+I160</f>
        <v>0</v>
      </c>
      <c r="J151" s="159">
        <f t="shared" si="48"/>
        <v>0</v>
      </c>
      <c r="K151" s="159"/>
      <c r="L151" s="159">
        <f t="shared" si="48"/>
        <v>0</v>
      </c>
      <c r="M151" s="159"/>
      <c r="N151" s="159">
        <f t="shared" si="48"/>
        <v>0</v>
      </c>
      <c r="O151" s="159">
        <f t="shared" si="48"/>
        <v>0</v>
      </c>
      <c r="P151" s="159"/>
      <c r="Q151" s="160">
        <f t="shared" si="48"/>
        <v>0</v>
      </c>
    </row>
    <row r="152" spans="1:17" ht="26.25" hidden="1" x14ac:dyDescent="0.25">
      <c r="A152" s="241">
        <v>5125</v>
      </c>
      <c r="B152" s="235">
        <v>841000</v>
      </c>
      <c r="C152" s="158" t="s">
        <v>148</v>
      </c>
      <c r="D152" s="158"/>
      <c r="E152" s="159">
        <f>E153</f>
        <v>0</v>
      </c>
      <c r="F152" s="159"/>
      <c r="G152" s="159">
        <f t="shared" si="35"/>
        <v>0</v>
      </c>
      <c r="H152" s="159"/>
      <c r="I152" s="159">
        <f t="shared" ref="I152:Q152" si="49">I153</f>
        <v>0</v>
      </c>
      <c r="J152" s="159">
        <f t="shared" si="49"/>
        <v>0</v>
      </c>
      <c r="K152" s="159"/>
      <c r="L152" s="159">
        <f t="shared" si="49"/>
        <v>0</v>
      </c>
      <c r="M152" s="159"/>
      <c r="N152" s="159">
        <f t="shared" si="49"/>
        <v>0</v>
      </c>
      <c r="O152" s="159">
        <f t="shared" si="49"/>
        <v>0</v>
      </c>
      <c r="P152" s="159"/>
      <c r="Q152" s="160">
        <f t="shared" si="49"/>
        <v>0</v>
      </c>
    </row>
    <row r="153" spans="1:17" hidden="1" x14ac:dyDescent="0.25">
      <c r="A153" s="164">
        <v>5126</v>
      </c>
      <c r="B153" s="165">
        <v>841100</v>
      </c>
      <c r="C153" s="166" t="s">
        <v>149</v>
      </c>
      <c r="D153" s="166"/>
      <c r="E153" s="182"/>
      <c r="F153" s="182"/>
      <c r="G153" s="183">
        <f t="shared" si="35"/>
        <v>0</v>
      </c>
      <c r="H153" s="183"/>
      <c r="I153" s="182"/>
      <c r="J153" s="182"/>
      <c r="K153" s="182"/>
      <c r="L153" s="182"/>
      <c r="M153" s="182"/>
      <c r="N153" s="182"/>
      <c r="O153" s="182"/>
      <c r="P153" s="182"/>
      <c r="Q153" s="184"/>
    </row>
    <row r="154" spans="1:17" ht="26.25" hidden="1" x14ac:dyDescent="0.25">
      <c r="A154" s="241">
        <v>5127</v>
      </c>
      <c r="B154" s="235">
        <v>842000</v>
      </c>
      <c r="C154" s="158" t="s">
        <v>150</v>
      </c>
      <c r="D154" s="158"/>
      <c r="E154" s="159">
        <f>E159</f>
        <v>0</v>
      </c>
      <c r="F154" s="159"/>
      <c r="G154" s="159">
        <f t="shared" si="35"/>
        <v>0</v>
      </c>
      <c r="H154" s="159"/>
      <c r="I154" s="159">
        <f t="shared" ref="I154:Q154" si="50">I159</f>
        <v>0</v>
      </c>
      <c r="J154" s="159">
        <f t="shared" si="50"/>
        <v>0</v>
      </c>
      <c r="K154" s="159"/>
      <c r="L154" s="159">
        <f t="shared" si="50"/>
        <v>0</v>
      </c>
      <c r="M154" s="159"/>
      <c r="N154" s="159">
        <f t="shared" si="50"/>
        <v>0</v>
      </c>
      <c r="O154" s="159">
        <f t="shared" si="50"/>
        <v>0</v>
      </c>
      <c r="P154" s="159"/>
      <c r="Q154" s="160">
        <f t="shared" si="50"/>
        <v>0</v>
      </c>
    </row>
    <row r="155" spans="1:17" hidden="1" x14ac:dyDescent="0.25">
      <c r="A155" s="605" t="s">
        <v>0</v>
      </c>
      <c r="B155" s="599" t="s">
        <v>1</v>
      </c>
      <c r="C155" s="598" t="s">
        <v>2</v>
      </c>
      <c r="D155" s="243"/>
      <c r="E155" s="600" t="s">
        <v>3</v>
      </c>
      <c r="F155" s="235"/>
      <c r="G155" s="600" t="s">
        <v>4</v>
      </c>
      <c r="H155" s="600"/>
      <c r="I155" s="600"/>
      <c r="J155" s="600"/>
      <c r="K155" s="600"/>
      <c r="L155" s="600"/>
      <c r="M155" s="600"/>
      <c r="N155" s="600"/>
      <c r="O155" s="600"/>
      <c r="P155" s="600"/>
      <c r="Q155" s="606"/>
    </row>
    <row r="156" spans="1:17" hidden="1" x14ac:dyDescent="0.25">
      <c r="A156" s="605"/>
      <c r="B156" s="599"/>
      <c r="C156" s="598"/>
      <c r="D156" s="243"/>
      <c r="E156" s="600"/>
      <c r="F156" s="235"/>
      <c r="G156" s="607" t="s">
        <v>5</v>
      </c>
      <c r="H156" s="240"/>
      <c r="I156" s="600" t="s">
        <v>6</v>
      </c>
      <c r="J156" s="600"/>
      <c r="K156" s="600"/>
      <c r="L156" s="600"/>
      <c r="M156" s="600"/>
      <c r="N156" s="600"/>
      <c r="O156" s="600" t="s">
        <v>7</v>
      </c>
      <c r="P156" s="235"/>
      <c r="Q156" s="606" t="s">
        <v>8</v>
      </c>
    </row>
    <row r="157" spans="1:17" ht="39" hidden="1" x14ac:dyDescent="0.25">
      <c r="A157" s="605"/>
      <c r="B157" s="599"/>
      <c r="C157" s="598"/>
      <c r="D157" s="243"/>
      <c r="E157" s="600"/>
      <c r="F157" s="235"/>
      <c r="G157" s="607"/>
      <c r="H157" s="240"/>
      <c r="I157" s="235" t="s">
        <v>9</v>
      </c>
      <c r="J157" s="235" t="s">
        <v>10</v>
      </c>
      <c r="K157" s="235"/>
      <c r="L157" s="235" t="s">
        <v>11</v>
      </c>
      <c r="M157" s="235"/>
      <c r="N157" s="235" t="s">
        <v>12</v>
      </c>
      <c r="O157" s="600"/>
      <c r="P157" s="235"/>
      <c r="Q157" s="606"/>
    </row>
    <row r="158" spans="1:17" ht="26.25" hidden="1" x14ac:dyDescent="0.25">
      <c r="A158" s="175" t="s">
        <v>18</v>
      </c>
      <c r="B158" s="242" t="s">
        <v>19</v>
      </c>
      <c r="C158" s="242" t="s">
        <v>20</v>
      </c>
      <c r="D158" s="242"/>
      <c r="E158" s="177" t="s">
        <v>21</v>
      </c>
      <c r="F158" s="177"/>
      <c r="G158" s="177" t="s">
        <v>22</v>
      </c>
      <c r="H158" s="177"/>
      <c r="I158" s="177" t="s">
        <v>23</v>
      </c>
      <c r="J158" s="177" t="s">
        <v>24</v>
      </c>
      <c r="K158" s="177"/>
      <c r="L158" s="177" t="s">
        <v>25</v>
      </c>
      <c r="M158" s="177"/>
      <c r="N158" s="177" t="s">
        <v>26</v>
      </c>
      <c r="O158" s="177" t="s">
        <v>27</v>
      </c>
      <c r="P158" s="177"/>
      <c r="Q158" s="178" t="s">
        <v>28</v>
      </c>
    </row>
    <row r="159" spans="1:17" ht="26.25" hidden="1" x14ac:dyDescent="0.25">
      <c r="A159" s="164">
        <v>5128</v>
      </c>
      <c r="B159" s="165">
        <v>842100</v>
      </c>
      <c r="C159" s="166" t="s">
        <v>151</v>
      </c>
      <c r="D159" s="166"/>
      <c r="E159" s="182"/>
      <c r="F159" s="182"/>
      <c r="G159" s="183">
        <f t="shared" si="35"/>
        <v>0</v>
      </c>
      <c r="H159" s="183"/>
      <c r="I159" s="182"/>
      <c r="J159" s="182"/>
      <c r="K159" s="182"/>
      <c r="L159" s="182"/>
      <c r="M159" s="182"/>
      <c r="N159" s="182"/>
      <c r="O159" s="182"/>
      <c r="P159" s="182"/>
      <c r="Q159" s="184"/>
    </row>
    <row r="160" spans="1:17" ht="26.25" hidden="1" x14ac:dyDescent="0.25">
      <c r="A160" s="241">
        <v>5129</v>
      </c>
      <c r="B160" s="235">
        <v>843000</v>
      </c>
      <c r="C160" s="158" t="s">
        <v>152</v>
      </c>
      <c r="D160" s="158"/>
      <c r="E160" s="159">
        <f>E161</f>
        <v>0</v>
      </c>
      <c r="F160" s="159"/>
      <c r="G160" s="159">
        <f t="shared" si="35"/>
        <v>0</v>
      </c>
      <c r="H160" s="159"/>
      <c r="I160" s="159">
        <f t="shared" ref="I160:Q160" si="51">I161</f>
        <v>0</v>
      </c>
      <c r="J160" s="159">
        <f t="shared" si="51"/>
        <v>0</v>
      </c>
      <c r="K160" s="159"/>
      <c r="L160" s="159">
        <f t="shared" si="51"/>
        <v>0</v>
      </c>
      <c r="M160" s="159"/>
      <c r="N160" s="159">
        <f t="shared" si="51"/>
        <v>0</v>
      </c>
      <c r="O160" s="159">
        <f t="shared" si="51"/>
        <v>0</v>
      </c>
      <c r="P160" s="159"/>
      <c r="Q160" s="160">
        <f t="shared" si="51"/>
        <v>0</v>
      </c>
    </row>
    <row r="161" spans="1:17" hidden="1" x14ac:dyDescent="0.25">
      <c r="A161" s="164">
        <v>5130</v>
      </c>
      <c r="B161" s="165">
        <v>843100</v>
      </c>
      <c r="C161" s="166" t="s">
        <v>153</v>
      </c>
      <c r="D161" s="166"/>
      <c r="E161" s="182"/>
      <c r="F161" s="182"/>
      <c r="G161" s="183">
        <f t="shared" si="35"/>
        <v>0</v>
      </c>
      <c r="H161" s="183"/>
      <c r="I161" s="182"/>
      <c r="J161" s="182"/>
      <c r="K161" s="182"/>
      <c r="L161" s="182"/>
      <c r="M161" s="182"/>
      <c r="N161" s="182"/>
      <c r="O161" s="182"/>
      <c r="P161" s="182"/>
      <c r="Q161" s="184"/>
    </row>
    <row r="162" spans="1:17" ht="51.75" hidden="1" x14ac:dyDescent="0.25">
      <c r="A162" s="241">
        <v>5131</v>
      </c>
      <c r="B162" s="235">
        <v>900000</v>
      </c>
      <c r="C162" s="158" t="s">
        <v>154</v>
      </c>
      <c r="D162" s="158"/>
      <c r="E162" s="159">
        <f>E163+E186</f>
        <v>0</v>
      </c>
      <c r="F162" s="159"/>
      <c r="G162" s="159">
        <f t="shared" ref="G162:G197" si="52">SUM(I162:Q162)</f>
        <v>0</v>
      </c>
      <c r="H162" s="159"/>
      <c r="I162" s="159">
        <f t="shared" ref="I162:Q162" si="53">I163+I186</f>
        <v>0</v>
      </c>
      <c r="J162" s="159">
        <f t="shared" si="53"/>
        <v>0</v>
      </c>
      <c r="K162" s="159"/>
      <c r="L162" s="159">
        <f t="shared" si="53"/>
        <v>0</v>
      </c>
      <c r="M162" s="159"/>
      <c r="N162" s="159">
        <f t="shared" si="53"/>
        <v>0</v>
      </c>
      <c r="O162" s="159">
        <f t="shared" si="53"/>
        <v>0</v>
      </c>
      <c r="P162" s="159"/>
      <c r="Q162" s="160">
        <f t="shared" si="53"/>
        <v>0</v>
      </c>
    </row>
    <row r="163" spans="1:17" ht="26.25" hidden="1" x14ac:dyDescent="0.25">
      <c r="A163" s="241">
        <v>5132</v>
      </c>
      <c r="B163" s="235">
        <v>910000</v>
      </c>
      <c r="C163" s="158" t="s">
        <v>155</v>
      </c>
      <c r="D163" s="158"/>
      <c r="E163" s="159">
        <f>E164+E174</f>
        <v>0</v>
      </c>
      <c r="F163" s="159"/>
      <c r="G163" s="159">
        <f t="shared" si="52"/>
        <v>0</v>
      </c>
      <c r="H163" s="159"/>
      <c r="I163" s="159">
        <f t="shared" ref="I163:Q163" si="54">I164+I174</f>
        <v>0</v>
      </c>
      <c r="J163" s="159">
        <f t="shared" si="54"/>
        <v>0</v>
      </c>
      <c r="K163" s="159"/>
      <c r="L163" s="159">
        <f t="shared" si="54"/>
        <v>0</v>
      </c>
      <c r="M163" s="159"/>
      <c r="N163" s="159">
        <f t="shared" si="54"/>
        <v>0</v>
      </c>
      <c r="O163" s="159">
        <f t="shared" si="54"/>
        <v>0</v>
      </c>
      <c r="P163" s="159"/>
      <c r="Q163" s="160">
        <f t="shared" si="54"/>
        <v>0</v>
      </c>
    </row>
    <row r="164" spans="1:17" ht="39" hidden="1" x14ac:dyDescent="0.25">
      <c r="A164" s="241">
        <v>5133</v>
      </c>
      <c r="B164" s="235">
        <v>911000</v>
      </c>
      <c r="C164" s="158" t="s">
        <v>156</v>
      </c>
      <c r="D164" s="158"/>
      <c r="E164" s="159">
        <f>SUM(E165:E173)</f>
        <v>0</v>
      </c>
      <c r="F164" s="159"/>
      <c r="G164" s="159">
        <f t="shared" si="52"/>
        <v>0</v>
      </c>
      <c r="H164" s="159"/>
      <c r="I164" s="159">
        <f t="shared" ref="I164:Q164" si="55">SUM(I165:I173)</f>
        <v>0</v>
      </c>
      <c r="J164" s="159">
        <f t="shared" si="55"/>
        <v>0</v>
      </c>
      <c r="K164" s="159"/>
      <c r="L164" s="159">
        <f t="shared" si="55"/>
        <v>0</v>
      </c>
      <c r="M164" s="159"/>
      <c r="N164" s="159">
        <f t="shared" si="55"/>
        <v>0</v>
      </c>
      <c r="O164" s="159">
        <f t="shared" si="55"/>
        <v>0</v>
      </c>
      <c r="P164" s="159"/>
      <c r="Q164" s="160">
        <f t="shared" si="55"/>
        <v>0</v>
      </c>
    </row>
    <row r="165" spans="1:17" ht="39" hidden="1" x14ac:dyDescent="0.25">
      <c r="A165" s="164">
        <v>5134</v>
      </c>
      <c r="B165" s="165">
        <v>911100</v>
      </c>
      <c r="C165" s="166" t="s">
        <v>157</v>
      </c>
      <c r="D165" s="166"/>
      <c r="E165" s="182"/>
      <c r="F165" s="182"/>
      <c r="G165" s="183">
        <f t="shared" si="52"/>
        <v>0</v>
      </c>
      <c r="H165" s="183"/>
      <c r="I165" s="182"/>
      <c r="J165" s="182"/>
      <c r="K165" s="182"/>
      <c r="L165" s="182"/>
      <c r="M165" s="182"/>
      <c r="N165" s="182"/>
      <c r="O165" s="182"/>
      <c r="P165" s="182"/>
      <c r="Q165" s="184"/>
    </row>
    <row r="166" spans="1:17" ht="26.25" hidden="1" x14ac:dyDescent="0.25">
      <c r="A166" s="164">
        <v>5135</v>
      </c>
      <c r="B166" s="165">
        <v>911200</v>
      </c>
      <c r="C166" s="166" t="s">
        <v>158</v>
      </c>
      <c r="D166" s="166"/>
      <c r="E166" s="182"/>
      <c r="F166" s="182"/>
      <c r="G166" s="183">
        <f t="shared" si="52"/>
        <v>0</v>
      </c>
      <c r="H166" s="183"/>
      <c r="I166" s="182"/>
      <c r="J166" s="182"/>
      <c r="K166" s="182"/>
      <c r="L166" s="182"/>
      <c r="M166" s="182"/>
      <c r="N166" s="182"/>
      <c r="O166" s="182"/>
      <c r="P166" s="182"/>
      <c r="Q166" s="184"/>
    </row>
    <row r="167" spans="1:17" ht="39" hidden="1" x14ac:dyDescent="0.25">
      <c r="A167" s="164">
        <v>5136</v>
      </c>
      <c r="B167" s="165">
        <v>911300</v>
      </c>
      <c r="C167" s="166" t="s">
        <v>159</v>
      </c>
      <c r="D167" s="166"/>
      <c r="E167" s="182"/>
      <c r="F167" s="182"/>
      <c r="G167" s="183">
        <f t="shared" si="52"/>
        <v>0</v>
      </c>
      <c r="H167" s="183"/>
      <c r="I167" s="182"/>
      <c r="J167" s="182"/>
      <c r="K167" s="182"/>
      <c r="L167" s="182"/>
      <c r="M167" s="182"/>
      <c r="N167" s="182"/>
      <c r="O167" s="182"/>
      <c r="P167" s="182"/>
      <c r="Q167" s="184"/>
    </row>
    <row r="168" spans="1:17" ht="26.25" hidden="1" x14ac:dyDescent="0.25">
      <c r="A168" s="164">
        <v>5137</v>
      </c>
      <c r="B168" s="165">
        <v>911400</v>
      </c>
      <c r="C168" s="166" t="s">
        <v>160</v>
      </c>
      <c r="D168" s="166"/>
      <c r="E168" s="182"/>
      <c r="F168" s="182"/>
      <c r="G168" s="183">
        <f t="shared" si="52"/>
        <v>0</v>
      </c>
      <c r="H168" s="183"/>
      <c r="I168" s="182"/>
      <c r="J168" s="182"/>
      <c r="K168" s="182"/>
      <c r="L168" s="182"/>
      <c r="M168" s="182"/>
      <c r="N168" s="182"/>
      <c r="O168" s="182"/>
      <c r="P168" s="182"/>
      <c r="Q168" s="184"/>
    </row>
    <row r="169" spans="1:17" ht="26.25" hidden="1" x14ac:dyDescent="0.25">
      <c r="A169" s="164">
        <v>5138</v>
      </c>
      <c r="B169" s="165">
        <v>911500</v>
      </c>
      <c r="C169" s="166" t="s">
        <v>161</v>
      </c>
      <c r="D169" s="166"/>
      <c r="E169" s="182"/>
      <c r="F169" s="182"/>
      <c r="G169" s="183">
        <f t="shared" si="52"/>
        <v>0</v>
      </c>
      <c r="H169" s="183"/>
      <c r="I169" s="182"/>
      <c r="J169" s="182"/>
      <c r="K169" s="182"/>
      <c r="L169" s="182"/>
      <c r="M169" s="182"/>
      <c r="N169" s="182"/>
      <c r="O169" s="182"/>
      <c r="P169" s="182"/>
      <c r="Q169" s="184"/>
    </row>
    <row r="170" spans="1:17" ht="26.25" hidden="1" x14ac:dyDescent="0.25">
      <c r="A170" s="164">
        <v>5139</v>
      </c>
      <c r="B170" s="165">
        <v>911600</v>
      </c>
      <c r="C170" s="166" t="s">
        <v>162</v>
      </c>
      <c r="D170" s="166"/>
      <c r="E170" s="182"/>
      <c r="F170" s="182"/>
      <c r="G170" s="183">
        <f t="shared" si="52"/>
        <v>0</v>
      </c>
      <c r="H170" s="183"/>
      <c r="I170" s="182"/>
      <c r="J170" s="182"/>
      <c r="K170" s="182"/>
      <c r="L170" s="182"/>
      <c r="M170" s="182"/>
      <c r="N170" s="182"/>
      <c r="O170" s="182"/>
      <c r="P170" s="182"/>
      <c r="Q170" s="184"/>
    </row>
    <row r="171" spans="1:17" ht="26.25" hidden="1" x14ac:dyDescent="0.25">
      <c r="A171" s="164">
        <v>5140</v>
      </c>
      <c r="B171" s="165">
        <v>911700</v>
      </c>
      <c r="C171" s="166" t="s">
        <v>163</v>
      </c>
      <c r="D171" s="166"/>
      <c r="E171" s="182"/>
      <c r="F171" s="182"/>
      <c r="G171" s="183">
        <f t="shared" si="52"/>
        <v>0</v>
      </c>
      <c r="H171" s="183"/>
      <c r="I171" s="182"/>
      <c r="J171" s="182"/>
      <c r="K171" s="182"/>
      <c r="L171" s="182"/>
      <c r="M171" s="182"/>
      <c r="N171" s="182"/>
      <c r="O171" s="182"/>
      <c r="P171" s="182"/>
      <c r="Q171" s="184"/>
    </row>
    <row r="172" spans="1:17" hidden="1" x14ac:dyDescent="0.25">
      <c r="A172" s="164">
        <v>5141</v>
      </c>
      <c r="B172" s="165">
        <v>911800</v>
      </c>
      <c r="C172" s="166" t="s">
        <v>164</v>
      </c>
      <c r="D172" s="166"/>
      <c r="E172" s="182"/>
      <c r="F172" s="182"/>
      <c r="G172" s="183">
        <f t="shared" si="52"/>
        <v>0</v>
      </c>
      <c r="H172" s="183"/>
      <c r="I172" s="182"/>
      <c r="J172" s="182"/>
      <c r="K172" s="182"/>
      <c r="L172" s="182"/>
      <c r="M172" s="182"/>
      <c r="N172" s="182"/>
      <c r="O172" s="182"/>
      <c r="P172" s="182"/>
      <c r="Q172" s="184"/>
    </row>
    <row r="173" spans="1:17" hidden="1" x14ac:dyDescent="0.25">
      <c r="A173" s="164">
        <v>5142</v>
      </c>
      <c r="B173" s="165">
        <v>911900</v>
      </c>
      <c r="C173" s="166" t="s">
        <v>165</v>
      </c>
      <c r="D173" s="166"/>
      <c r="E173" s="182"/>
      <c r="F173" s="182"/>
      <c r="G173" s="183">
        <f t="shared" si="52"/>
        <v>0</v>
      </c>
      <c r="H173" s="183"/>
      <c r="I173" s="182"/>
      <c r="J173" s="182"/>
      <c r="K173" s="182"/>
      <c r="L173" s="182"/>
      <c r="M173" s="182"/>
      <c r="N173" s="182"/>
      <c r="O173" s="182"/>
      <c r="P173" s="182"/>
      <c r="Q173" s="184"/>
    </row>
    <row r="174" spans="1:17" ht="39" hidden="1" x14ac:dyDescent="0.25">
      <c r="A174" s="241">
        <v>5143</v>
      </c>
      <c r="B174" s="235">
        <v>912000</v>
      </c>
      <c r="C174" s="158" t="s">
        <v>166</v>
      </c>
      <c r="D174" s="158"/>
      <c r="E174" s="159">
        <f>SUM(E175:E185)</f>
        <v>0</v>
      </c>
      <c r="F174" s="159"/>
      <c r="G174" s="159">
        <f t="shared" si="52"/>
        <v>0</v>
      </c>
      <c r="H174" s="159"/>
      <c r="I174" s="159">
        <f t="shared" ref="I174:Q174" si="56">SUM(I175:I185)</f>
        <v>0</v>
      </c>
      <c r="J174" s="159">
        <f t="shared" si="56"/>
        <v>0</v>
      </c>
      <c r="K174" s="159"/>
      <c r="L174" s="159">
        <f t="shared" si="56"/>
        <v>0</v>
      </c>
      <c r="M174" s="159"/>
      <c r="N174" s="159">
        <f t="shared" si="56"/>
        <v>0</v>
      </c>
      <c r="O174" s="159">
        <f t="shared" si="56"/>
        <v>0</v>
      </c>
      <c r="P174" s="159"/>
      <c r="Q174" s="160">
        <f t="shared" si="56"/>
        <v>0</v>
      </c>
    </row>
    <row r="175" spans="1:17" ht="51.75" hidden="1" x14ac:dyDescent="0.25">
      <c r="A175" s="164">
        <v>5144</v>
      </c>
      <c r="B175" s="165">
        <v>912100</v>
      </c>
      <c r="C175" s="166" t="s">
        <v>167</v>
      </c>
      <c r="D175" s="166"/>
      <c r="E175" s="182"/>
      <c r="F175" s="182"/>
      <c r="G175" s="183">
        <f t="shared" si="52"/>
        <v>0</v>
      </c>
      <c r="H175" s="183"/>
      <c r="I175" s="182"/>
      <c r="J175" s="182"/>
      <c r="K175" s="182"/>
      <c r="L175" s="182"/>
      <c r="M175" s="182"/>
      <c r="N175" s="182"/>
      <c r="O175" s="182"/>
      <c r="P175" s="182"/>
      <c r="Q175" s="184"/>
    </row>
    <row r="176" spans="1:17" ht="26.25" hidden="1" x14ac:dyDescent="0.25">
      <c r="A176" s="164">
        <v>5145</v>
      </c>
      <c r="B176" s="165">
        <v>912200</v>
      </c>
      <c r="C176" s="166" t="s">
        <v>168</v>
      </c>
      <c r="D176" s="166"/>
      <c r="E176" s="182"/>
      <c r="F176" s="182"/>
      <c r="G176" s="183">
        <f t="shared" si="52"/>
        <v>0</v>
      </c>
      <c r="H176" s="183"/>
      <c r="I176" s="182"/>
      <c r="J176" s="182"/>
      <c r="K176" s="182"/>
      <c r="L176" s="182"/>
      <c r="M176" s="182"/>
      <c r="N176" s="182"/>
      <c r="O176" s="182"/>
      <c r="P176" s="182"/>
      <c r="Q176" s="184"/>
    </row>
    <row r="177" spans="1:17" ht="26.25" hidden="1" x14ac:dyDescent="0.25">
      <c r="A177" s="164">
        <v>5146</v>
      </c>
      <c r="B177" s="165">
        <v>912300</v>
      </c>
      <c r="C177" s="166" t="s">
        <v>169</v>
      </c>
      <c r="D177" s="166"/>
      <c r="E177" s="182"/>
      <c r="F177" s="182"/>
      <c r="G177" s="183">
        <f t="shared" si="52"/>
        <v>0</v>
      </c>
      <c r="H177" s="183"/>
      <c r="I177" s="182"/>
      <c r="J177" s="182"/>
      <c r="K177" s="182"/>
      <c r="L177" s="182"/>
      <c r="M177" s="182"/>
      <c r="N177" s="182"/>
      <c r="O177" s="182"/>
      <c r="P177" s="182"/>
      <c r="Q177" s="184"/>
    </row>
    <row r="178" spans="1:17" ht="26.25" hidden="1" x14ac:dyDescent="0.25">
      <c r="A178" s="164">
        <v>5147</v>
      </c>
      <c r="B178" s="165">
        <v>912400</v>
      </c>
      <c r="C178" s="166" t="s">
        <v>170</v>
      </c>
      <c r="D178" s="166"/>
      <c r="E178" s="182"/>
      <c r="F178" s="182"/>
      <c r="G178" s="183">
        <f t="shared" si="52"/>
        <v>0</v>
      </c>
      <c r="H178" s="183"/>
      <c r="I178" s="182"/>
      <c r="J178" s="182"/>
      <c r="K178" s="182"/>
      <c r="L178" s="182"/>
      <c r="M178" s="182"/>
      <c r="N178" s="182"/>
      <c r="O178" s="182"/>
      <c r="P178" s="182"/>
      <c r="Q178" s="184"/>
    </row>
    <row r="179" spans="1:17" ht="26.25" hidden="1" x14ac:dyDescent="0.25">
      <c r="A179" s="164">
        <v>5148</v>
      </c>
      <c r="B179" s="165">
        <v>912500</v>
      </c>
      <c r="C179" s="166" t="s">
        <v>171</v>
      </c>
      <c r="D179" s="166"/>
      <c r="E179" s="182"/>
      <c r="F179" s="182"/>
      <c r="G179" s="183">
        <f t="shared" si="52"/>
        <v>0</v>
      </c>
      <c r="H179" s="183"/>
      <c r="I179" s="182"/>
      <c r="J179" s="182"/>
      <c r="K179" s="182"/>
      <c r="L179" s="182"/>
      <c r="M179" s="182"/>
      <c r="N179" s="182"/>
      <c r="O179" s="182"/>
      <c r="P179" s="182"/>
      <c r="Q179" s="184"/>
    </row>
    <row r="180" spans="1:17" ht="26.25" hidden="1" x14ac:dyDescent="0.25">
      <c r="A180" s="164">
        <v>5149</v>
      </c>
      <c r="B180" s="165">
        <v>912600</v>
      </c>
      <c r="C180" s="166" t="s">
        <v>172</v>
      </c>
      <c r="D180" s="166"/>
      <c r="E180" s="182"/>
      <c r="F180" s="182"/>
      <c r="G180" s="183">
        <f t="shared" si="52"/>
        <v>0</v>
      </c>
      <c r="H180" s="183"/>
      <c r="I180" s="182"/>
      <c r="J180" s="182"/>
      <c r="K180" s="182"/>
      <c r="L180" s="182"/>
      <c r="M180" s="182"/>
      <c r="N180" s="182"/>
      <c r="O180" s="182"/>
      <c r="P180" s="182"/>
      <c r="Q180" s="184"/>
    </row>
    <row r="181" spans="1:17" hidden="1" x14ac:dyDescent="0.25">
      <c r="A181" s="605" t="s">
        <v>0</v>
      </c>
      <c r="B181" s="599" t="s">
        <v>1</v>
      </c>
      <c r="C181" s="598" t="s">
        <v>2</v>
      </c>
      <c r="D181" s="243"/>
      <c r="E181" s="600" t="s">
        <v>3</v>
      </c>
      <c r="F181" s="235"/>
      <c r="G181" s="600" t="s">
        <v>4</v>
      </c>
      <c r="H181" s="600"/>
      <c r="I181" s="600"/>
      <c r="J181" s="600"/>
      <c r="K181" s="600"/>
      <c r="L181" s="600"/>
      <c r="M181" s="600"/>
      <c r="N181" s="600"/>
      <c r="O181" s="600"/>
      <c r="P181" s="600"/>
      <c r="Q181" s="606"/>
    </row>
    <row r="182" spans="1:17" hidden="1" x14ac:dyDescent="0.25">
      <c r="A182" s="605"/>
      <c r="B182" s="599"/>
      <c r="C182" s="598"/>
      <c r="D182" s="243"/>
      <c r="E182" s="600"/>
      <c r="F182" s="235"/>
      <c r="G182" s="607" t="s">
        <v>5</v>
      </c>
      <c r="H182" s="240"/>
      <c r="I182" s="600" t="s">
        <v>6</v>
      </c>
      <c r="J182" s="600"/>
      <c r="K182" s="600"/>
      <c r="L182" s="600"/>
      <c r="M182" s="600"/>
      <c r="N182" s="600"/>
      <c r="O182" s="600" t="s">
        <v>7</v>
      </c>
      <c r="P182" s="235"/>
      <c r="Q182" s="606" t="s">
        <v>8</v>
      </c>
    </row>
    <row r="183" spans="1:17" ht="39" hidden="1" x14ac:dyDescent="0.25">
      <c r="A183" s="605"/>
      <c r="B183" s="599"/>
      <c r="C183" s="598"/>
      <c r="D183" s="243"/>
      <c r="E183" s="600"/>
      <c r="F183" s="235"/>
      <c r="G183" s="607"/>
      <c r="H183" s="240"/>
      <c r="I183" s="235" t="s">
        <v>9</v>
      </c>
      <c r="J183" s="235" t="s">
        <v>10</v>
      </c>
      <c r="K183" s="235"/>
      <c r="L183" s="235" t="s">
        <v>11</v>
      </c>
      <c r="M183" s="235"/>
      <c r="N183" s="235" t="s">
        <v>12</v>
      </c>
      <c r="O183" s="600"/>
      <c r="P183" s="235"/>
      <c r="Q183" s="606"/>
    </row>
    <row r="184" spans="1:17" ht="26.25" hidden="1" x14ac:dyDescent="0.25">
      <c r="A184" s="175" t="s">
        <v>18</v>
      </c>
      <c r="B184" s="242" t="s">
        <v>19</v>
      </c>
      <c r="C184" s="242" t="s">
        <v>20</v>
      </c>
      <c r="D184" s="242"/>
      <c r="E184" s="177" t="s">
        <v>21</v>
      </c>
      <c r="F184" s="177"/>
      <c r="G184" s="177" t="s">
        <v>22</v>
      </c>
      <c r="H184" s="177"/>
      <c r="I184" s="177" t="s">
        <v>23</v>
      </c>
      <c r="J184" s="177" t="s">
        <v>24</v>
      </c>
      <c r="K184" s="177"/>
      <c r="L184" s="177" t="s">
        <v>25</v>
      </c>
      <c r="M184" s="177"/>
      <c r="N184" s="177" t="s">
        <v>26</v>
      </c>
      <c r="O184" s="177" t="s">
        <v>27</v>
      </c>
      <c r="P184" s="177"/>
      <c r="Q184" s="178" t="s">
        <v>28</v>
      </c>
    </row>
    <row r="185" spans="1:17" hidden="1" x14ac:dyDescent="0.25">
      <c r="A185" s="164">
        <v>5150</v>
      </c>
      <c r="B185" s="165">
        <v>912900</v>
      </c>
      <c r="C185" s="166" t="s">
        <v>173</v>
      </c>
      <c r="D185" s="166"/>
      <c r="E185" s="182"/>
      <c r="F185" s="182"/>
      <c r="G185" s="183">
        <f t="shared" si="52"/>
        <v>0</v>
      </c>
      <c r="H185" s="183"/>
      <c r="I185" s="182"/>
      <c r="J185" s="182"/>
      <c r="K185" s="182"/>
      <c r="L185" s="182"/>
      <c r="M185" s="182"/>
      <c r="N185" s="182"/>
      <c r="O185" s="182"/>
      <c r="P185" s="182"/>
      <c r="Q185" s="184"/>
    </row>
    <row r="186" spans="1:17" ht="39" hidden="1" x14ac:dyDescent="0.25">
      <c r="A186" s="241">
        <v>5151</v>
      </c>
      <c r="B186" s="235">
        <v>920000</v>
      </c>
      <c r="C186" s="158" t="s">
        <v>174</v>
      </c>
      <c r="D186" s="158"/>
      <c r="E186" s="159">
        <f>E187+E197</f>
        <v>0</v>
      </c>
      <c r="F186" s="159"/>
      <c r="G186" s="159">
        <f t="shared" si="52"/>
        <v>0</v>
      </c>
      <c r="H186" s="159"/>
      <c r="I186" s="159">
        <f t="shared" ref="I186:Q186" si="57">I187+I197</f>
        <v>0</v>
      </c>
      <c r="J186" s="159">
        <f t="shared" si="57"/>
        <v>0</v>
      </c>
      <c r="K186" s="159"/>
      <c r="L186" s="159">
        <f t="shared" si="57"/>
        <v>0</v>
      </c>
      <c r="M186" s="159"/>
      <c r="N186" s="159">
        <f t="shared" si="57"/>
        <v>0</v>
      </c>
      <c r="O186" s="159">
        <f t="shared" si="57"/>
        <v>0</v>
      </c>
      <c r="P186" s="159"/>
      <c r="Q186" s="160">
        <f t="shared" si="57"/>
        <v>0</v>
      </c>
    </row>
    <row r="187" spans="1:17" ht="39" hidden="1" x14ac:dyDescent="0.25">
      <c r="A187" s="241">
        <v>5152</v>
      </c>
      <c r="B187" s="235">
        <v>921000</v>
      </c>
      <c r="C187" s="158" t="s">
        <v>175</v>
      </c>
      <c r="D187" s="158"/>
      <c r="E187" s="159">
        <f>SUM(E188:E196)</f>
        <v>0</v>
      </c>
      <c r="F187" s="159"/>
      <c r="G187" s="159">
        <f t="shared" si="52"/>
        <v>0</v>
      </c>
      <c r="H187" s="159"/>
      <c r="I187" s="159">
        <f t="shared" ref="I187:Q187" si="58">SUM(I188:I196)</f>
        <v>0</v>
      </c>
      <c r="J187" s="159">
        <f t="shared" si="58"/>
        <v>0</v>
      </c>
      <c r="K187" s="159"/>
      <c r="L187" s="159">
        <f t="shared" si="58"/>
        <v>0</v>
      </c>
      <c r="M187" s="159"/>
      <c r="N187" s="159">
        <f t="shared" si="58"/>
        <v>0</v>
      </c>
      <c r="O187" s="159">
        <f t="shared" si="58"/>
        <v>0</v>
      </c>
      <c r="P187" s="159"/>
      <c r="Q187" s="160">
        <f t="shared" si="58"/>
        <v>0</v>
      </c>
    </row>
    <row r="188" spans="1:17" ht="39" hidden="1" x14ac:dyDescent="0.25">
      <c r="A188" s="164">
        <v>5153</v>
      </c>
      <c r="B188" s="165">
        <v>921100</v>
      </c>
      <c r="C188" s="166" t="s">
        <v>176</v>
      </c>
      <c r="D188" s="166"/>
      <c r="E188" s="182"/>
      <c r="F188" s="182"/>
      <c r="G188" s="183">
        <f t="shared" si="52"/>
        <v>0</v>
      </c>
      <c r="H188" s="183"/>
      <c r="I188" s="182"/>
      <c r="J188" s="182"/>
      <c r="K188" s="182"/>
      <c r="L188" s="182"/>
      <c r="M188" s="182"/>
      <c r="N188" s="182"/>
      <c r="O188" s="182"/>
      <c r="P188" s="182"/>
      <c r="Q188" s="184"/>
    </row>
    <row r="189" spans="1:17" ht="26.25" hidden="1" x14ac:dyDescent="0.25">
      <c r="A189" s="164">
        <v>5154</v>
      </c>
      <c r="B189" s="165">
        <v>921200</v>
      </c>
      <c r="C189" s="166" t="s">
        <v>177</v>
      </c>
      <c r="D189" s="166"/>
      <c r="E189" s="182"/>
      <c r="F189" s="182"/>
      <c r="G189" s="183">
        <f t="shared" si="52"/>
        <v>0</v>
      </c>
      <c r="H189" s="183"/>
      <c r="I189" s="182"/>
      <c r="J189" s="182"/>
      <c r="K189" s="182"/>
      <c r="L189" s="182"/>
      <c r="M189" s="182"/>
      <c r="N189" s="182"/>
      <c r="O189" s="182"/>
      <c r="P189" s="182"/>
      <c r="Q189" s="184"/>
    </row>
    <row r="190" spans="1:17" ht="39" hidden="1" x14ac:dyDescent="0.25">
      <c r="A190" s="164">
        <v>5155</v>
      </c>
      <c r="B190" s="165">
        <v>921300</v>
      </c>
      <c r="C190" s="166" t="s">
        <v>178</v>
      </c>
      <c r="D190" s="166"/>
      <c r="E190" s="182"/>
      <c r="F190" s="182"/>
      <c r="G190" s="183">
        <f t="shared" si="52"/>
        <v>0</v>
      </c>
      <c r="H190" s="183"/>
      <c r="I190" s="182"/>
      <c r="J190" s="182"/>
      <c r="K190" s="182"/>
      <c r="L190" s="182"/>
      <c r="M190" s="182"/>
      <c r="N190" s="182"/>
      <c r="O190" s="182"/>
      <c r="P190" s="182"/>
      <c r="Q190" s="184"/>
    </row>
    <row r="191" spans="1:17" ht="26.25" hidden="1" x14ac:dyDescent="0.25">
      <c r="A191" s="164">
        <v>5156</v>
      </c>
      <c r="B191" s="165">
        <v>921400</v>
      </c>
      <c r="C191" s="166" t="s">
        <v>179</v>
      </c>
      <c r="D191" s="166"/>
      <c r="E191" s="182"/>
      <c r="F191" s="182"/>
      <c r="G191" s="183">
        <f t="shared" si="52"/>
        <v>0</v>
      </c>
      <c r="H191" s="183"/>
      <c r="I191" s="182"/>
      <c r="J191" s="182"/>
      <c r="K191" s="182"/>
      <c r="L191" s="182"/>
      <c r="M191" s="182"/>
      <c r="N191" s="182"/>
      <c r="O191" s="182"/>
      <c r="P191" s="182"/>
      <c r="Q191" s="184"/>
    </row>
    <row r="192" spans="1:17" ht="39" hidden="1" x14ac:dyDescent="0.25">
      <c r="A192" s="164">
        <v>5157</v>
      </c>
      <c r="B192" s="165">
        <v>921500</v>
      </c>
      <c r="C192" s="166" t="s">
        <v>180</v>
      </c>
      <c r="D192" s="166"/>
      <c r="E192" s="182"/>
      <c r="F192" s="182"/>
      <c r="G192" s="183">
        <f t="shared" si="52"/>
        <v>0</v>
      </c>
      <c r="H192" s="183"/>
      <c r="I192" s="182"/>
      <c r="J192" s="182"/>
      <c r="K192" s="182"/>
      <c r="L192" s="182"/>
      <c r="M192" s="182"/>
      <c r="N192" s="182"/>
      <c r="O192" s="182"/>
      <c r="P192" s="182"/>
      <c r="Q192" s="184"/>
    </row>
    <row r="193" spans="1:17" ht="39" hidden="1" x14ac:dyDescent="0.25">
      <c r="A193" s="164">
        <v>5158</v>
      </c>
      <c r="B193" s="165">
        <v>921600</v>
      </c>
      <c r="C193" s="166" t="s">
        <v>181</v>
      </c>
      <c r="D193" s="166"/>
      <c r="E193" s="182"/>
      <c r="F193" s="182"/>
      <c r="G193" s="183">
        <f t="shared" si="52"/>
        <v>0</v>
      </c>
      <c r="H193" s="183"/>
      <c r="I193" s="182"/>
      <c r="J193" s="182"/>
      <c r="K193" s="182"/>
      <c r="L193" s="182"/>
      <c r="M193" s="182"/>
      <c r="N193" s="182"/>
      <c r="O193" s="182"/>
      <c r="P193" s="182"/>
      <c r="Q193" s="184"/>
    </row>
    <row r="194" spans="1:17" ht="39" hidden="1" x14ac:dyDescent="0.25">
      <c r="A194" s="164">
        <v>5159</v>
      </c>
      <c r="B194" s="165">
        <v>921700</v>
      </c>
      <c r="C194" s="166" t="s">
        <v>182</v>
      </c>
      <c r="D194" s="166"/>
      <c r="E194" s="182"/>
      <c r="F194" s="182"/>
      <c r="G194" s="183">
        <f t="shared" si="52"/>
        <v>0</v>
      </c>
      <c r="H194" s="183"/>
      <c r="I194" s="182"/>
      <c r="J194" s="182"/>
      <c r="K194" s="182"/>
      <c r="L194" s="182"/>
      <c r="M194" s="182"/>
      <c r="N194" s="182"/>
      <c r="O194" s="182"/>
      <c r="P194" s="182"/>
      <c r="Q194" s="184"/>
    </row>
    <row r="195" spans="1:17" ht="39" hidden="1" x14ac:dyDescent="0.25">
      <c r="A195" s="164">
        <v>5160</v>
      </c>
      <c r="B195" s="165">
        <v>921800</v>
      </c>
      <c r="C195" s="166" t="s">
        <v>183</v>
      </c>
      <c r="D195" s="166"/>
      <c r="E195" s="182"/>
      <c r="F195" s="182"/>
      <c r="G195" s="183">
        <f t="shared" si="52"/>
        <v>0</v>
      </c>
      <c r="H195" s="183"/>
      <c r="I195" s="182"/>
      <c r="J195" s="182"/>
      <c r="K195" s="182"/>
      <c r="L195" s="182"/>
      <c r="M195" s="182"/>
      <c r="N195" s="182"/>
      <c r="O195" s="182"/>
      <c r="P195" s="182"/>
      <c r="Q195" s="184"/>
    </row>
    <row r="196" spans="1:17" ht="26.25" hidden="1" x14ac:dyDescent="0.25">
      <c r="A196" s="164">
        <v>5161</v>
      </c>
      <c r="B196" s="165">
        <v>921900</v>
      </c>
      <c r="C196" s="166" t="s">
        <v>184</v>
      </c>
      <c r="D196" s="166"/>
      <c r="E196" s="182"/>
      <c r="F196" s="182"/>
      <c r="G196" s="183">
        <f t="shared" si="52"/>
        <v>0</v>
      </c>
      <c r="H196" s="183"/>
      <c r="I196" s="182"/>
      <c r="J196" s="182"/>
      <c r="K196" s="182"/>
      <c r="L196" s="182"/>
      <c r="M196" s="182"/>
      <c r="N196" s="182"/>
      <c r="O196" s="182"/>
      <c r="P196" s="182"/>
      <c r="Q196" s="184"/>
    </row>
    <row r="197" spans="1:17" ht="39" hidden="1" x14ac:dyDescent="0.25">
      <c r="A197" s="241">
        <v>5162</v>
      </c>
      <c r="B197" s="235">
        <v>922000</v>
      </c>
      <c r="C197" s="158" t="s">
        <v>185</v>
      </c>
      <c r="D197" s="158"/>
      <c r="E197" s="159">
        <f>SUM(E198:E209)</f>
        <v>0</v>
      </c>
      <c r="F197" s="159"/>
      <c r="G197" s="159">
        <f t="shared" si="52"/>
        <v>0</v>
      </c>
      <c r="H197" s="159"/>
      <c r="I197" s="159">
        <f t="shared" ref="I197:Q197" si="59">SUM(I198:I209)</f>
        <v>0</v>
      </c>
      <c r="J197" s="159">
        <f t="shared" si="59"/>
        <v>0</v>
      </c>
      <c r="K197" s="159"/>
      <c r="L197" s="159">
        <f t="shared" si="59"/>
        <v>0</v>
      </c>
      <c r="M197" s="159"/>
      <c r="N197" s="159">
        <f t="shared" si="59"/>
        <v>0</v>
      </c>
      <c r="O197" s="159">
        <f t="shared" si="59"/>
        <v>0</v>
      </c>
      <c r="P197" s="159"/>
      <c r="Q197" s="160">
        <f t="shared" si="59"/>
        <v>0</v>
      </c>
    </row>
    <row r="198" spans="1:17" ht="39" hidden="1" x14ac:dyDescent="0.25">
      <c r="A198" s="164">
        <v>5163</v>
      </c>
      <c r="B198" s="165">
        <v>922100</v>
      </c>
      <c r="C198" s="166" t="s">
        <v>186</v>
      </c>
      <c r="D198" s="166"/>
      <c r="E198" s="182"/>
      <c r="F198" s="182"/>
      <c r="G198" s="183">
        <f t="shared" ref="G198:G209" si="60">SUM(I198:Q198)</f>
        <v>0</v>
      </c>
      <c r="H198" s="183"/>
      <c r="I198" s="182"/>
      <c r="J198" s="182"/>
      <c r="K198" s="182"/>
      <c r="L198" s="182"/>
      <c r="M198" s="182"/>
      <c r="N198" s="182"/>
      <c r="O198" s="182"/>
      <c r="P198" s="182"/>
      <c r="Q198" s="184"/>
    </row>
    <row r="199" spans="1:17" ht="26.25" hidden="1" x14ac:dyDescent="0.25">
      <c r="A199" s="164">
        <v>5164</v>
      </c>
      <c r="B199" s="165">
        <v>922200</v>
      </c>
      <c r="C199" s="166" t="s">
        <v>187</v>
      </c>
      <c r="D199" s="166"/>
      <c r="E199" s="182"/>
      <c r="F199" s="182"/>
      <c r="G199" s="183">
        <f t="shared" si="60"/>
        <v>0</v>
      </c>
      <c r="H199" s="183"/>
      <c r="I199" s="182"/>
      <c r="J199" s="182"/>
      <c r="K199" s="182"/>
      <c r="L199" s="182"/>
      <c r="M199" s="182"/>
      <c r="N199" s="182"/>
      <c r="O199" s="182"/>
      <c r="P199" s="182"/>
      <c r="Q199" s="184"/>
    </row>
    <row r="200" spans="1:17" ht="39" hidden="1" x14ac:dyDescent="0.25">
      <c r="A200" s="164">
        <v>5165</v>
      </c>
      <c r="B200" s="165">
        <v>922300</v>
      </c>
      <c r="C200" s="166" t="s">
        <v>188</v>
      </c>
      <c r="D200" s="166"/>
      <c r="E200" s="182"/>
      <c r="F200" s="182"/>
      <c r="G200" s="183">
        <f t="shared" si="60"/>
        <v>0</v>
      </c>
      <c r="H200" s="183"/>
      <c r="I200" s="182"/>
      <c r="J200" s="182"/>
      <c r="K200" s="182"/>
      <c r="L200" s="182"/>
      <c r="M200" s="182"/>
      <c r="N200" s="182"/>
      <c r="O200" s="182"/>
      <c r="P200" s="182"/>
      <c r="Q200" s="184"/>
    </row>
    <row r="201" spans="1:17" ht="39" hidden="1" x14ac:dyDescent="0.25">
      <c r="A201" s="164">
        <v>5166</v>
      </c>
      <c r="B201" s="165">
        <v>922400</v>
      </c>
      <c r="C201" s="166" t="s">
        <v>189</v>
      </c>
      <c r="D201" s="166"/>
      <c r="E201" s="182"/>
      <c r="F201" s="182"/>
      <c r="G201" s="183">
        <f t="shared" si="60"/>
        <v>0</v>
      </c>
      <c r="H201" s="183"/>
      <c r="I201" s="182"/>
      <c r="J201" s="182"/>
      <c r="K201" s="182"/>
      <c r="L201" s="182"/>
      <c r="M201" s="182"/>
      <c r="N201" s="182"/>
      <c r="O201" s="182"/>
      <c r="P201" s="182"/>
      <c r="Q201" s="184"/>
    </row>
    <row r="202" spans="1:17" ht="39" hidden="1" x14ac:dyDescent="0.25">
      <c r="A202" s="164">
        <v>5167</v>
      </c>
      <c r="B202" s="165">
        <v>922500</v>
      </c>
      <c r="C202" s="166" t="s">
        <v>190</v>
      </c>
      <c r="D202" s="166"/>
      <c r="E202" s="182"/>
      <c r="F202" s="182"/>
      <c r="G202" s="183">
        <f t="shared" si="60"/>
        <v>0</v>
      </c>
      <c r="H202" s="183"/>
      <c r="I202" s="182"/>
      <c r="J202" s="182"/>
      <c r="K202" s="182"/>
      <c r="L202" s="182"/>
      <c r="M202" s="182"/>
      <c r="N202" s="182"/>
      <c r="O202" s="182"/>
      <c r="P202" s="182"/>
      <c r="Q202" s="184"/>
    </row>
    <row r="203" spans="1:17" hidden="1" x14ac:dyDescent="0.25">
      <c r="A203" s="605" t="s">
        <v>0</v>
      </c>
      <c r="B203" s="599" t="s">
        <v>1</v>
      </c>
      <c r="C203" s="598" t="s">
        <v>2</v>
      </c>
      <c r="D203" s="243"/>
      <c r="E203" s="600" t="s">
        <v>3</v>
      </c>
      <c r="F203" s="235"/>
      <c r="G203" s="600" t="s">
        <v>4</v>
      </c>
      <c r="H203" s="600"/>
      <c r="I203" s="600"/>
      <c r="J203" s="600"/>
      <c r="K203" s="600"/>
      <c r="L203" s="600"/>
      <c r="M203" s="600"/>
      <c r="N203" s="600"/>
      <c r="O203" s="600"/>
      <c r="P203" s="600"/>
      <c r="Q203" s="606"/>
    </row>
    <row r="204" spans="1:17" hidden="1" x14ac:dyDescent="0.25">
      <c r="A204" s="605"/>
      <c r="B204" s="599"/>
      <c r="C204" s="598"/>
      <c r="D204" s="243"/>
      <c r="E204" s="600"/>
      <c r="F204" s="235"/>
      <c r="G204" s="607" t="s">
        <v>5</v>
      </c>
      <c r="H204" s="240"/>
      <c r="I204" s="600" t="s">
        <v>6</v>
      </c>
      <c r="J204" s="600"/>
      <c r="K204" s="600"/>
      <c r="L204" s="600"/>
      <c r="M204" s="600"/>
      <c r="N204" s="600"/>
      <c r="O204" s="600" t="s">
        <v>7</v>
      </c>
      <c r="P204" s="235"/>
      <c r="Q204" s="606" t="s">
        <v>8</v>
      </c>
    </row>
    <row r="205" spans="1:17" ht="39" hidden="1" x14ac:dyDescent="0.25">
      <c r="A205" s="605"/>
      <c r="B205" s="599"/>
      <c r="C205" s="598"/>
      <c r="D205" s="243"/>
      <c r="E205" s="600"/>
      <c r="F205" s="235"/>
      <c r="G205" s="607"/>
      <c r="H205" s="240"/>
      <c r="I205" s="235" t="s">
        <v>9</v>
      </c>
      <c r="J205" s="235" t="s">
        <v>10</v>
      </c>
      <c r="K205" s="235"/>
      <c r="L205" s="235" t="s">
        <v>11</v>
      </c>
      <c r="M205" s="235"/>
      <c r="N205" s="235" t="s">
        <v>12</v>
      </c>
      <c r="O205" s="600"/>
      <c r="P205" s="235"/>
      <c r="Q205" s="606"/>
    </row>
    <row r="206" spans="1:17" ht="26.25" hidden="1" x14ac:dyDescent="0.25">
      <c r="A206" s="175" t="s">
        <v>18</v>
      </c>
      <c r="B206" s="242" t="s">
        <v>19</v>
      </c>
      <c r="C206" s="242" t="s">
        <v>20</v>
      </c>
      <c r="D206" s="242"/>
      <c r="E206" s="177" t="s">
        <v>21</v>
      </c>
      <c r="F206" s="177"/>
      <c r="G206" s="177" t="s">
        <v>22</v>
      </c>
      <c r="H206" s="177"/>
      <c r="I206" s="177" t="s">
        <v>23</v>
      </c>
      <c r="J206" s="177" t="s">
        <v>24</v>
      </c>
      <c r="K206" s="177"/>
      <c r="L206" s="177" t="s">
        <v>25</v>
      </c>
      <c r="M206" s="177"/>
      <c r="N206" s="177" t="s">
        <v>26</v>
      </c>
      <c r="O206" s="177" t="s">
        <v>27</v>
      </c>
      <c r="P206" s="177"/>
      <c r="Q206" s="178" t="s">
        <v>28</v>
      </c>
    </row>
    <row r="207" spans="1:17" ht="39" hidden="1" x14ac:dyDescent="0.25">
      <c r="A207" s="164">
        <v>5168</v>
      </c>
      <c r="B207" s="165">
        <v>922600</v>
      </c>
      <c r="C207" s="166" t="s">
        <v>191</v>
      </c>
      <c r="D207" s="166"/>
      <c r="E207" s="182"/>
      <c r="F207" s="182"/>
      <c r="G207" s="183">
        <f t="shared" si="60"/>
        <v>0</v>
      </c>
      <c r="H207" s="183"/>
      <c r="I207" s="182"/>
      <c r="J207" s="182"/>
      <c r="K207" s="182"/>
      <c r="L207" s="182"/>
      <c r="M207" s="182"/>
      <c r="N207" s="182"/>
      <c r="O207" s="182"/>
      <c r="P207" s="182"/>
      <c r="Q207" s="184"/>
    </row>
    <row r="208" spans="1:17" ht="26.25" hidden="1" x14ac:dyDescent="0.25">
      <c r="A208" s="164">
        <v>5169</v>
      </c>
      <c r="B208" s="165">
        <v>922700</v>
      </c>
      <c r="C208" s="166" t="s">
        <v>192</v>
      </c>
      <c r="D208" s="166"/>
      <c r="E208" s="182"/>
      <c r="F208" s="182"/>
      <c r="G208" s="183">
        <f t="shared" si="60"/>
        <v>0</v>
      </c>
      <c r="H208" s="183"/>
      <c r="I208" s="182"/>
      <c r="J208" s="182"/>
      <c r="K208" s="182"/>
      <c r="L208" s="182"/>
      <c r="M208" s="182"/>
      <c r="N208" s="182"/>
      <c r="O208" s="182"/>
      <c r="P208" s="182"/>
      <c r="Q208" s="184"/>
    </row>
    <row r="209" spans="1:18" ht="26.25" hidden="1" x14ac:dyDescent="0.25">
      <c r="A209" s="164">
        <v>5170</v>
      </c>
      <c r="B209" s="165">
        <v>922800</v>
      </c>
      <c r="C209" s="166" t="s">
        <v>193</v>
      </c>
      <c r="D209" s="166"/>
      <c r="E209" s="182"/>
      <c r="F209" s="182"/>
      <c r="G209" s="183">
        <f t="shared" si="60"/>
        <v>0</v>
      </c>
      <c r="H209" s="183"/>
      <c r="I209" s="182"/>
      <c r="J209" s="182"/>
      <c r="K209" s="182"/>
      <c r="L209" s="182"/>
      <c r="M209" s="182"/>
      <c r="N209" s="182"/>
      <c r="O209" s="182"/>
      <c r="P209" s="182"/>
      <c r="Q209" s="184"/>
    </row>
    <row r="210" spans="1:18" ht="27" thickBot="1" x14ac:dyDescent="0.3">
      <c r="A210" s="191">
        <v>5171</v>
      </c>
      <c r="B210" s="192"/>
      <c r="C210" s="193" t="s">
        <v>194</v>
      </c>
      <c r="D210" s="193"/>
      <c r="E210" s="194">
        <f>E6+E162</f>
        <v>1500538</v>
      </c>
      <c r="F210" s="194">
        <f t="shared" ref="F210:Q210" si="61">F6+F162</f>
        <v>1529702</v>
      </c>
      <c r="G210" s="194">
        <f t="shared" si="61"/>
        <v>2912893</v>
      </c>
      <c r="H210" s="194">
        <f t="shared" si="61"/>
        <v>24480</v>
      </c>
      <c r="I210" s="194">
        <f t="shared" si="61"/>
        <v>18738</v>
      </c>
      <c r="J210" s="194">
        <f t="shared" si="61"/>
        <v>0</v>
      </c>
      <c r="K210" s="194">
        <f t="shared" si="61"/>
        <v>8447</v>
      </c>
      <c r="L210" s="194">
        <f t="shared" si="61"/>
        <v>505</v>
      </c>
      <c r="M210" s="194">
        <f t="shared" si="61"/>
        <v>1483920</v>
      </c>
      <c r="N210" s="194">
        <f t="shared" si="61"/>
        <v>1398192</v>
      </c>
      <c r="O210" s="194">
        <f t="shared" si="61"/>
        <v>0</v>
      </c>
      <c r="P210" s="194">
        <f t="shared" si="61"/>
        <v>12855</v>
      </c>
      <c r="Q210" s="195">
        <f t="shared" si="61"/>
        <v>12669</v>
      </c>
    </row>
    <row r="211" spans="1:18" ht="25.5" customHeight="1" x14ac:dyDescent="0.25">
      <c r="A211" s="196"/>
      <c r="B211" s="197"/>
      <c r="C211" s="198"/>
      <c r="D211" s="198"/>
      <c r="E211" s="199"/>
      <c r="F211" s="199"/>
      <c r="G211" s="199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/>
    </row>
    <row r="212" spans="1:18" ht="3" hidden="1" customHeight="1" x14ac:dyDescent="0.25">
      <c r="A212" s="20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8" ht="19.5" customHeight="1" x14ac:dyDescent="0.25">
      <c r="A213" s="150" t="s">
        <v>195</v>
      </c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8" ht="3.75" hidden="1" customHeight="1" x14ac:dyDescent="0.25">
      <c r="A214" s="20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 t="s">
        <v>196</v>
      </c>
      <c r="P214" s="151"/>
      <c r="Q214" s="151"/>
    </row>
    <row r="215" spans="1:18" ht="15" customHeight="1" x14ac:dyDescent="0.25">
      <c r="A215" s="600" t="s">
        <v>0</v>
      </c>
      <c r="B215" s="600" t="s">
        <v>1</v>
      </c>
      <c r="C215" s="600" t="s">
        <v>2</v>
      </c>
      <c r="D215" s="600"/>
      <c r="E215" s="600" t="s">
        <v>197</v>
      </c>
      <c r="F215" s="602" t="s">
        <v>512</v>
      </c>
      <c r="G215" s="603"/>
      <c r="H215" s="603"/>
      <c r="I215" s="603"/>
      <c r="J215" s="603"/>
      <c r="K215" s="603"/>
      <c r="L215" s="603"/>
      <c r="M215" s="603"/>
      <c r="N215" s="603"/>
      <c r="O215" s="603"/>
      <c r="P215" s="603"/>
      <c r="Q215" s="604"/>
    </row>
    <row r="216" spans="1:18" ht="15" customHeight="1" x14ac:dyDescent="0.25">
      <c r="A216" s="601"/>
      <c r="B216" s="601"/>
      <c r="C216" s="601"/>
      <c r="D216" s="600"/>
      <c r="E216" s="601"/>
      <c r="F216" s="600" t="s">
        <v>511</v>
      </c>
      <c r="G216" s="600" t="s">
        <v>199</v>
      </c>
      <c r="H216" s="602" t="s">
        <v>200</v>
      </c>
      <c r="I216" s="603"/>
      <c r="J216" s="603"/>
      <c r="K216" s="603"/>
      <c r="L216" s="603"/>
      <c r="M216" s="603"/>
      <c r="N216" s="604"/>
      <c r="O216" s="600" t="s">
        <v>7</v>
      </c>
      <c r="P216" s="600" t="s">
        <v>8</v>
      </c>
      <c r="Q216" s="600" t="s">
        <v>8</v>
      </c>
    </row>
    <row r="217" spans="1:18" ht="39" x14ac:dyDescent="0.25">
      <c r="A217" s="601"/>
      <c r="B217" s="601"/>
      <c r="C217" s="601"/>
      <c r="D217" s="600"/>
      <c r="E217" s="601"/>
      <c r="F217" s="601"/>
      <c r="G217" s="601"/>
      <c r="H217" s="235" t="s">
        <v>201</v>
      </c>
      <c r="I217" s="235" t="s">
        <v>201</v>
      </c>
      <c r="J217" s="235" t="s">
        <v>10</v>
      </c>
      <c r="K217" s="235" t="s">
        <v>11</v>
      </c>
      <c r="L217" s="235" t="s">
        <v>11</v>
      </c>
      <c r="M217" s="235" t="s">
        <v>12</v>
      </c>
      <c r="N217" s="235" t="s">
        <v>12</v>
      </c>
      <c r="O217" s="601"/>
      <c r="P217" s="601"/>
      <c r="Q217" s="601"/>
    </row>
    <row r="218" spans="1:18" x14ac:dyDescent="0.25">
      <c r="A218" s="235">
        <v>1</v>
      </c>
      <c r="B218" s="235">
        <v>2</v>
      </c>
      <c r="C218" s="235">
        <v>3</v>
      </c>
      <c r="D218" s="235"/>
      <c r="E218" s="235">
        <v>4</v>
      </c>
      <c r="F218" s="235">
        <v>4</v>
      </c>
      <c r="G218" s="235">
        <v>5</v>
      </c>
      <c r="H218" s="235">
        <v>5</v>
      </c>
      <c r="I218" s="235">
        <v>6</v>
      </c>
      <c r="J218" s="235">
        <v>7</v>
      </c>
      <c r="K218" s="235">
        <v>6</v>
      </c>
      <c r="L218" s="235">
        <v>8</v>
      </c>
      <c r="M218" s="235">
        <v>7</v>
      </c>
      <c r="N218" s="235">
        <v>9</v>
      </c>
      <c r="O218" s="235">
        <v>10</v>
      </c>
      <c r="P218" s="235">
        <v>8</v>
      </c>
      <c r="Q218" s="235">
        <v>11</v>
      </c>
    </row>
    <row r="219" spans="1:18" ht="39" x14ac:dyDescent="0.25">
      <c r="A219" s="244">
        <v>5172</v>
      </c>
      <c r="B219" s="235"/>
      <c r="C219" s="158" t="s">
        <v>202</v>
      </c>
      <c r="D219" s="158"/>
      <c r="E219" s="159">
        <f t="shared" ref="E219:Q219" si="62">E220+E434</f>
        <v>1500538</v>
      </c>
      <c r="F219" s="159">
        <f t="shared" si="62"/>
        <v>1536037</v>
      </c>
      <c r="G219" s="159">
        <f t="shared" si="62"/>
        <v>1428186</v>
      </c>
      <c r="H219" s="159">
        <f t="shared" si="62"/>
        <v>25518</v>
      </c>
      <c r="I219" s="159">
        <f t="shared" si="62"/>
        <v>17657</v>
      </c>
      <c r="J219" s="159">
        <f t="shared" si="62"/>
        <v>0</v>
      </c>
      <c r="K219" s="159">
        <f t="shared" si="62"/>
        <v>8447</v>
      </c>
      <c r="L219" s="159">
        <f t="shared" si="62"/>
        <v>1273</v>
      </c>
      <c r="M219" s="159">
        <f t="shared" si="62"/>
        <v>1484026</v>
      </c>
      <c r="N219" s="159">
        <f t="shared" si="62"/>
        <v>1398024</v>
      </c>
      <c r="O219" s="159">
        <f t="shared" si="62"/>
        <v>0</v>
      </c>
      <c r="P219" s="159">
        <f t="shared" si="62"/>
        <v>18046</v>
      </c>
      <c r="Q219" s="159">
        <f t="shared" si="62"/>
        <v>11162</v>
      </c>
      <c r="R219" s="201">
        <f>H219+K219+M219+P219</f>
        <v>1536037</v>
      </c>
    </row>
    <row r="220" spans="1:18" ht="39" x14ac:dyDescent="0.25">
      <c r="A220" s="244">
        <v>5173</v>
      </c>
      <c r="B220" s="235">
        <v>400000</v>
      </c>
      <c r="C220" s="158" t="s">
        <v>203</v>
      </c>
      <c r="D220" s="158"/>
      <c r="E220" s="159">
        <f>E221+E247+E314+E333+E361+E374+E394+E413</f>
        <v>1464986</v>
      </c>
      <c r="F220" s="159">
        <f>F221+F247+F333+F374+F413</f>
        <v>1508454</v>
      </c>
      <c r="G220" s="159">
        <f t="shared" ref="G220:Q220" si="63">G221+G247+G314+G333+G361+G374+G394+G413</f>
        <v>1411063</v>
      </c>
      <c r="H220" s="159">
        <f t="shared" si="63"/>
        <v>5518</v>
      </c>
      <c r="I220" s="159">
        <f t="shared" si="63"/>
        <v>2407</v>
      </c>
      <c r="J220" s="159">
        <f t="shared" si="63"/>
        <v>0</v>
      </c>
      <c r="K220" s="159">
        <f t="shared" si="63"/>
        <v>6429</v>
      </c>
      <c r="L220" s="159">
        <f t="shared" si="63"/>
        <v>1273</v>
      </c>
      <c r="M220" s="159">
        <f t="shared" si="63"/>
        <v>1484026</v>
      </c>
      <c r="N220" s="159">
        <f t="shared" si="63"/>
        <v>1398024</v>
      </c>
      <c r="O220" s="159">
        <f t="shared" si="63"/>
        <v>0</v>
      </c>
      <c r="P220" s="159">
        <f t="shared" si="63"/>
        <v>12481</v>
      </c>
      <c r="Q220" s="159">
        <f t="shared" si="63"/>
        <v>9349</v>
      </c>
      <c r="R220" s="201">
        <f>F220+F434</f>
        <v>1536037</v>
      </c>
    </row>
    <row r="221" spans="1:18" ht="39" x14ac:dyDescent="0.25">
      <c r="A221" s="244">
        <v>5174</v>
      </c>
      <c r="B221" s="235">
        <v>410000</v>
      </c>
      <c r="C221" s="158" t="s">
        <v>204</v>
      </c>
      <c r="D221" s="158"/>
      <c r="E221" s="159">
        <f>E222+E224+E228+E230+E239+E241+E243+E245</f>
        <v>1029655</v>
      </c>
      <c r="F221" s="159">
        <f t="shared" ref="F221:Q221" si="64">F222+F224+F228+F230+F239+F241+F243+F245</f>
        <v>1069524</v>
      </c>
      <c r="G221" s="159">
        <f t="shared" si="64"/>
        <v>1027665</v>
      </c>
      <c r="H221" s="159">
        <f t="shared" si="64"/>
        <v>0</v>
      </c>
      <c r="I221" s="159">
        <f t="shared" si="64"/>
        <v>0</v>
      </c>
      <c r="J221" s="159">
        <f t="shared" si="64"/>
        <v>0</v>
      </c>
      <c r="K221" s="159">
        <f t="shared" si="64"/>
        <v>0</v>
      </c>
      <c r="L221" s="159">
        <f t="shared" si="64"/>
        <v>0</v>
      </c>
      <c r="M221" s="159">
        <f t="shared" si="64"/>
        <v>1066319</v>
      </c>
      <c r="N221" s="159">
        <f t="shared" si="64"/>
        <v>1025065</v>
      </c>
      <c r="O221" s="159">
        <f t="shared" si="64"/>
        <v>0</v>
      </c>
      <c r="P221" s="159">
        <f t="shared" si="64"/>
        <v>3205</v>
      </c>
      <c r="Q221" s="159">
        <f t="shared" si="64"/>
        <v>2600</v>
      </c>
    </row>
    <row r="222" spans="1:18" ht="26.25" x14ac:dyDescent="0.25">
      <c r="A222" s="244">
        <v>5175</v>
      </c>
      <c r="B222" s="235">
        <v>411000</v>
      </c>
      <c r="C222" s="158" t="s">
        <v>205</v>
      </c>
      <c r="D222" s="158"/>
      <c r="E222" s="159">
        <f>E223</f>
        <v>851785</v>
      </c>
      <c r="F222" s="159">
        <f t="shared" ref="F222:Q222" si="65">F223</f>
        <v>875010</v>
      </c>
      <c r="G222" s="159">
        <f t="shared" si="65"/>
        <v>851785</v>
      </c>
      <c r="H222" s="159">
        <f t="shared" si="65"/>
        <v>0</v>
      </c>
      <c r="I222" s="159">
        <f t="shared" si="65"/>
        <v>0</v>
      </c>
      <c r="J222" s="159">
        <f t="shared" si="65"/>
        <v>0</v>
      </c>
      <c r="K222" s="159">
        <f t="shared" si="65"/>
        <v>0</v>
      </c>
      <c r="L222" s="159">
        <f t="shared" si="65"/>
        <v>0</v>
      </c>
      <c r="M222" s="159">
        <f t="shared" si="65"/>
        <v>872510</v>
      </c>
      <c r="N222" s="159">
        <f t="shared" si="65"/>
        <v>849796</v>
      </c>
      <c r="O222" s="159">
        <f t="shared" si="65"/>
        <v>0</v>
      </c>
      <c r="P222" s="159">
        <f t="shared" si="65"/>
        <v>2500</v>
      </c>
      <c r="Q222" s="159">
        <f t="shared" si="65"/>
        <v>1989</v>
      </c>
    </row>
    <row r="223" spans="1:18" ht="26.25" x14ac:dyDescent="0.25">
      <c r="A223" s="202">
        <v>5176</v>
      </c>
      <c r="B223" s="165">
        <v>411100</v>
      </c>
      <c r="C223" s="166" t="s">
        <v>206</v>
      </c>
      <c r="D223" s="166"/>
      <c r="E223" s="182">
        <f>851823-26-11-1</f>
        <v>851785</v>
      </c>
      <c r="F223" s="182">
        <f>H223+K223+M223+P223</f>
        <v>875010</v>
      </c>
      <c r="G223" s="183">
        <f>SUM(I223:Q223)-K223-M223-P223</f>
        <v>851785</v>
      </c>
      <c r="H223" s="183"/>
      <c r="I223" s="182"/>
      <c r="J223" s="182"/>
      <c r="K223" s="182"/>
      <c r="L223" s="182"/>
      <c r="M223" s="182">
        <v>872510</v>
      </c>
      <c r="N223" s="182">
        <f>851785-1989</f>
        <v>849796</v>
      </c>
      <c r="O223" s="182"/>
      <c r="P223" s="182">
        <v>2500</v>
      </c>
      <c r="Q223" s="182">
        <v>1989</v>
      </c>
      <c r="R223" s="201">
        <f>M223+P223</f>
        <v>875010</v>
      </c>
    </row>
    <row r="224" spans="1:18" ht="39" x14ac:dyDescent="0.25">
      <c r="A224" s="244">
        <v>5177</v>
      </c>
      <c r="B224" s="235">
        <v>412000</v>
      </c>
      <c r="C224" s="158" t="s">
        <v>207</v>
      </c>
      <c r="D224" s="158"/>
      <c r="E224" s="159">
        <f>SUM(E225:E227)</f>
        <v>141866</v>
      </c>
      <c r="F224" s="159">
        <f t="shared" ref="F224:Q224" si="66">SUM(F225:F227)</f>
        <v>141315</v>
      </c>
      <c r="G224" s="159">
        <f t="shared" si="66"/>
        <v>141866</v>
      </c>
      <c r="H224" s="159">
        <f t="shared" si="66"/>
        <v>0</v>
      </c>
      <c r="I224" s="159">
        <f t="shared" si="66"/>
        <v>0</v>
      </c>
      <c r="J224" s="159">
        <f t="shared" si="66"/>
        <v>0</v>
      </c>
      <c r="K224" s="159">
        <f t="shared" si="66"/>
        <v>0</v>
      </c>
      <c r="L224" s="159">
        <f t="shared" si="66"/>
        <v>0</v>
      </c>
      <c r="M224" s="159">
        <f t="shared" si="66"/>
        <v>140910</v>
      </c>
      <c r="N224" s="159">
        <f t="shared" si="66"/>
        <v>141535</v>
      </c>
      <c r="O224" s="159">
        <f t="shared" si="66"/>
        <v>0</v>
      </c>
      <c r="P224" s="159">
        <f t="shared" si="66"/>
        <v>405</v>
      </c>
      <c r="Q224" s="159">
        <f t="shared" si="66"/>
        <v>331</v>
      </c>
    </row>
    <row r="225" spans="1:22" ht="26.25" x14ac:dyDescent="0.25">
      <c r="A225" s="202">
        <v>5178</v>
      </c>
      <c r="B225" s="165">
        <v>412100</v>
      </c>
      <c r="C225" s="166" t="s">
        <v>208</v>
      </c>
      <c r="D225" s="166"/>
      <c r="E225" s="182">
        <f>97960+26</f>
        <v>97986</v>
      </c>
      <c r="F225" s="182">
        <f>H225+K225+M225+P225</f>
        <v>96251</v>
      </c>
      <c r="G225" s="183">
        <f>SUM(I225:Q225)-K225-M225-P225</f>
        <v>97986</v>
      </c>
      <c r="H225" s="183"/>
      <c r="I225" s="182"/>
      <c r="J225" s="182"/>
      <c r="K225" s="182"/>
      <c r="L225" s="182"/>
      <c r="M225" s="182">
        <v>95976</v>
      </c>
      <c r="N225" s="182">
        <f>97986-229</f>
        <v>97757</v>
      </c>
      <c r="O225" s="182"/>
      <c r="P225" s="182">
        <v>275</v>
      </c>
      <c r="Q225" s="182">
        <v>229</v>
      </c>
    </row>
    <row r="226" spans="1:22" ht="26.25" x14ac:dyDescent="0.25">
      <c r="A226" s="202">
        <v>5179</v>
      </c>
      <c r="B226" s="165">
        <v>412200</v>
      </c>
      <c r="C226" s="166" t="s">
        <v>209</v>
      </c>
      <c r="D226" s="166"/>
      <c r="E226" s="182">
        <f>43869+11</f>
        <v>43880</v>
      </c>
      <c r="F226" s="182">
        <f>H226+K226+M226+P226</f>
        <v>45064</v>
      </c>
      <c r="G226" s="183">
        <f>SUM(I226:Q226)-K226-M226-P226</f>
        <v>43880</v>
      </c>
      <c r="H226" s="183"/>
      <c r="I226" s="182"/>
      <c r="J226" s="182"/>
      <c r="K226" s="182"/>
      <c r="L226" s="182"/>
      <c r="M226" s="182">
        <v>44934</v>
      </c>
      <c r="N226" s="182">
        <f>43880-102</f>
        <v>43778</v>
      </c>
      <c r="O226" s="182"/>
      <c r="P226" s="182">
        <v>130</v>
      </c>
      <c r="Q226" s="182">
        <v>102</v>
      </c>
    </row>
    <row r="227" spans="1:22" hidden="1" x14ac:dyDescent="0.25">
      <c r="A227" s="202">
        <v>5180</v>
      </c>
      <c r="B227" s="165">
        <v>412300</v>
      </c>
      <c r="C227" s="166" t="s">
        <v>210</v>
      </c>
      <c r="D227" s="166"/>
      <c r="E227" s="182"/>
      <c r="F227" s="182"/>
      <c r="G227" s="183">
        <f t="shared" ref="G227:G288" si="67">SUM(I227:Q227)</f>
        <v>0</v>
      </c>
      <c r="H227" s="183"/>
      <c r="I227" s="182"/>
      <c r="J227" s="182"/>
      <c r="K227" s="182"/>
      <c r="L227" s="182"/>
      <c r="M227" s="182"/>
      <c r="N227" s="182"/>
      <c r="O227" s="182"/>
      <c r="P227" s="182"/>
      <c r="Q227" s="182"/>
    </row>
    <row r="228" spans="1:22" hidden="1" x14ac:dyDescent="0.25">
      <c r="A228" s="244">
        <v>5181</v>
      </c>
      <c r="B228" s="235">
        <v>413000</v>
      </c>
      <c r="C228" s="158" t="s">
        <v>211</v>
      </c>
      <c r="D228" s="158"/>
      <c r="E228" s="159">
        <f>E229</f>
        <v>0</v>
      </c>
      <c r="F228" s="159"/>
      <c r="G228" s="159">
        <f t="shared" si="67"/>
        <v>0</v>
      </c>
      <c r="H228" s="159"/>
      <c r="I228" s="159">
        <f t="shared" ref="I228:Q228" si="68">I229</f>
        <v>0</v>
      </c>
      <c r="J228" s="159">
        <f t="shared" si="68"/>
        <v>0</v>
      </c>
      <c r="K228" s="159"/>
      <c r="L228" s="159">
        <f t="shared" si="68"/>
        <v>0</v>
      </c>
      <c r="M228" s="159"/>
      <c r="N228" s="159">
        <f t="shared" si="68"/>
        <v>0</v>
      </c>
      <c r="O228" s="159">
        <f t="shared" si="68"/>
        <v>0</v>
      </c>
      <c r="P228" s="159"/>
      <c r="Q228" s="159">
        <f t="shared" si="68"/>
        <v>0</v>
      </c>
    </row>
    <row r="229" spans="1:22" hidden="1" x14ac:dyDescent="0.25">
      <c r="A229" s="202">
        <v>5182</v>
      </c>
      <c r="B229" s="165">
        <v>413100</v>
      </c>
      <c r="C229" s="166" t="s">
        <v>212</v>
      </c>
      <c r="D229" s="166"/>
      <c r="E229" s="182"/>
      <c r="F229" s="182"/>
      <c r="G229" s="183">
        <f t="shared" si="67"/>
        <v>0</v>
      </c>
      <c r="H229" s="183"/>
      <c r="I229" s="182"/>
      <c r="J229" s="182"/>
      <c r="K229" s="182"/>
      <c r="L229" s="182"/>
      <c r="M229" s="182"/>
      <c r="N229" s="182"/>
      <c r="O229" s="182"/>
      <c r="P229" s="182"/>
      <c r="Q229" s="182"/>
    </row>
    <row r="230" spans="1:22" ht="39" x14ac:dyDescent="0.25">
      <c r="A230" s="244">
        <v>5183</v>
      </c>
      <c r="B230" s="235">
        <v>414000</v>
      </c>
      <c r="C230" s="158" t="s">
        <v>213</v>
      </c>
      <c r="D230" s="158"/>
      <c r="E230" s="159">
        <f>SUM(E231:E238)</f>
        <v>6722</v>
      </c>
      <c r="F230" s="159">
        <f t="shared" ref="F230:Q230" si="69">SUM(F231:F238)</f>
        <v>18472</v>
      </c>
      <c r="G230" s="159">
        <f t="shared" si="69"/>
        <v>5239</v>
      </c>
      <c r="H230" s="159">
        <f t="shared" si="69"/>
        <v>0</v>
      </c>
      <c r="I230" s="159">
        <f t="shared" si="69"/>
        <v>0</v>
      </c>
      <c r="J230" s="159">
        <f t="shared" si="69"/>
        <v>0</v>
      </c>
      <c r="K230" s="159">
        <f t="shared" si="69"/>
        <v>0</v>
      </c>
      <c r="L230" s="159">
        <f t="shared" si="69"/>
        <v>0</v>
      </c>
      <c r="M230" s="159">
        <f t="shared" si="69"/>
        <v>18172</v>
      </c>
      <c r="N230" s="159">
        <f t="shared" si="69"/>
        <v>4959</v>
      </c>
      <c r="O230" s="159">
        <f t="shared" si="69"/>
        <v>0</v>
      </c>
      <c r="P230" s="159">
        <f t="shared" si="69"/>
        <v>300</v>
      </c>
      <c r="Q230" s="159">
        <f t="shared" si="69"/>
        <v>280</v>
      </c>
    </row>
    <row r="231" spans="1:22" ht="39" hidden="1" x14ac:dyDescent="0.25">
      <c r="A231" s="202">
        <v>5184</v>
      </c>
      <c r="B231" s="165">
        <v>414100</v>
      </c>
      <c r="C231" s="166" t="s">
        <v>214</v>
      </c>
      <c r="D231" s="166"/>
      <c r="E231" s="182"/>
      <c r="F231" s="182"/>
      <c r="G231" s="183">
        <f t="shared" si="67"/>
        <v>0</v>
      </c>
      <c r="H231" s="183"/>
      <c r="I231" s="182"/>
      <c r="J231" s="182"/>
      <c r="K231" s="182"/>
      <c r="L231" s="182"/>
      <c r="M231" s="182"/>
      <c r="N231" s="182"/>
      <c r="O231" s="182"/>
      <c r="P231" s="182"/>
      <c r="Q231" s="182"/>
    </row>
    <row r="232" spans="1:22" ht="26.25" hidden="1" x14ac:dyDescent="0.25">
      <c r="A232" s="202">
        <v>5185</v>
      </c>
      <c r="B232" s="165">
        <v>414200</v>
      </c>
      <c r="C232" s="166" t="s">
        <v>215</v>
      </c>
      <c r="D232" s="166"/>
      <c r="E232" s="182"/>
      <c r="F232" s="182"/>
      <c r="G232" s="183">
        <f t="shared" si="67"/>
        <v>0</v>
      </c>
      <c r="H232" s="183"/>
      <c r="I232" s="182"/>
      <c r="J232" s="182"/>
      <c r="K232" s="182"/>
      <c r="L232" s="182"/>
      <c r="M232" s="182"/>
      <c r="N232" s="182"/>
      <c r="O232" s="182"/>
      <c r="P232" s="182"/>
      <c r="Q232" s="182"/>
    </row>
    <row r="233" spans="1:22" x14ac:dyDescent="0.25">
      <c r="A233" s="202">
        <v>5186</v>
      </c>
      <c r="B233" s="165">
        <v>414300</v>
      </c>
      <c r="C233" s="166" t="s">
        <v>216</v>
      </c>
      <c r="D233" s="166"/>
      <c r="E233" s="182">
        <v>5351</v>
      </c>
      <c r="F233" s="182">
        <f>H233+K233+M233+P233</f>
        <v>9500</v>
      </c>
      <c r="G233" s="183">
        <f>SUM(I233:Q233)-K233-M233-P233</f>
        <v>3934</v>
      </c>
      <c r="H233" s="183"/>
      <c r="I233" s="182"/>
      <c r="J233" s="182"/>
      <c r="K233" s="182"/>
      <c r="L233" s="182"/>
      <c r="M233" s="182">
        <f>4800+200+4200</f>
        <v>9200</v>
      </c>
      <c r="N233" s="182">
        <v>3654</v>
      </c>
      <c r="O233" s="182"/>
      <c r="P233" s="182">
        <v>300</v>
      </c>
      <c r="Q233" s="182">
        <v>280</v>
      </c>
    </row>
    <row r="234" spans="1:22" ht="15" hidden="1" customHeight="1" x14ac:dyDescent="0.25">
      <c r="A234" s="598" t="s">
        <v>0</v>
      </c>
      <c r="B234" s="599" t="s">
        <v>1</v>
      </c>
      <c r="C234" s="598" t="s">
        <v>2</v>
      </c>
      <c r="D234" s="243"/>
      <c r="E234" s="598" t="s">
        <v>217</v>
      </c>
      <c r="F234" s="243"/>
      <c r="G234" s="600" t="s">
        <v>198</v>
      </c>
      <c r="H234" s="600"/>
      <c r="I234" s="601"/>
      <c r="J234" s="601"/>
      <c r="K234" s="601"/>
      <c r="L234" s="601"/>
      <c r="M234" s="601"/>
      <c r="N234" s="601"/>
      <c r="O234" s="601"/>
      <c r="P234" s="601"/>
      <c r="Q234" s="601"/>
    </row>
    <row r="235" spans="1:22" ht="15" hidden="1" customHeight="1" x14ac:dyDescent="0.25">
      <c r="A235" s="598"/>
      <c r="B235" s="599"/>
      <c r="C235" s="598"/>
      <c r="D235" s="243"/>
      <c r="E235" s="598"/>
      <c r="F235" s="243"/>
      <c r="G235" s="600" t="s">
        <v>199</v>
      </c>
      <c r="H235" s="235"/>
      <c r="I235" s="600" t="s">
        <v>200</v>
      </c>
      <c r="J235" s="601"/>
      <c r="K235" s="601"/>
      <c r="L235" s="601"/>
      <c r="M235" s="601"/>
      <c r="N235" s="601"/>
      <c r="O235" s="600" t="s">
        <v>7</v>
      </c>
      <c r="P235" s="235"/>
      <c r="Q235" s="600" t="s">
        <v>8</v>
      </c>
    </row>
    <row r="236" spans="1:22" ht="39" hidden="1" customHeight="1" x14ac:dyDescent="0.25">
      <c r="A236" s="598"/>
      <c r="B236" s="599"/>
      <c r="C236" s="598"/>
      <c r="D236" s="243"/>
      <c r="E236" s="598"/>
      <c r="F236" s="243"/>
      <c r="G236" s="601"/>
      <c r="H236" s="245"/>
      <c r="I236" s="235" t="s">
        <v>201</v>
      </c>
      <c r="J236" s="235" t="s">
        <v>10</v>
      </c>
      <c r="K236" s="235"/>
      <c r="L236" s="235" t="s">
        <v>11</v>
      </c>
      <c r="M236" s="235"/>
      <c r="N236" s="235" t="s">
        <v>12</v>
      </c>
      <c r="O236" s="601"/>
      <c r="P236" s="245"/>
      <c r="Q236" s="601"/>
    </row>
    <row r="237" spans="1:22" ht="15" hidden="1" customHeight="1" x14ac:dyDescent="0.25">
      <c r="A237" s="242" t="s">
        <v>18</v>
      </c>
      <c r="B237" s="242" t="s">
        <v>19</v>
      </c>
      <c r="C237" s="242" t="s">
        <v>20</v>
      </c>
      <c r="D237" s="242"/>
      <c r="E237" s="242" t="s">
        <v>21</v>
      </c>
      <c r="F237" s="242"/>
      <c r="G237" s="242" t="s">
        <v>22</v>
      </c>
      <c r="H237" s="242"/>
      <c r="I237" s="242" t="s">
        <v>23</v>
      </c>
      <c r="J237" s="242" t="s">
        <v>24</v>
      </c>
      <c r="K237" s="242"/>
      <c r="L237" s="242" t="s">
        <v>25</v>
      </c>
      <c r="M237" s="242"/>
      <c r="N237" s="242" t="s">
        <v>26</v>
      </c>
      <c r="O237" s="242" t="s">
        <v>27</v>
      </c>
      <c r="P237" s="242"/>
      <c r="Q237" s="242" t="s">
        <v>28</v>
      </c>
    </row>
    <row r="238" spans="1:22" ht="54" x14ac:dyDescent="0.4">
      <c r="A238" s="202">
        <v>5187</v>
      </c>
      <c r="B238" s="165">
        <v>414400</v>
      </c>
      <c r="C238" s="166" t="s">
        <v>218</v>
      </c>
      <c r="D238" s="166"/>
      <c r="E238" s="182">
        <v>1371</v>
      </c>
      <c r="F238" s="182">
        <f>H238+K238+M238+P238</f>
        <v>8972</v>
      </c>
      <c r="G238" s="183">
        <f>SUM(I238:Q238)-K238-M238-P238</f>
        <v>1305</v>
      </c>
      <c r="H238" s="183"/>
      <c r="I238" s="182"/>
      <c r="J238" s="182"/>
      <c r="K238" s="182"/>
      <c r="L238" s="182"/>
      <c r="M238" s="182">
        <f>600+8072+300</f>
        <v>8972</v>
      </c>
      <c r="N238" s="182">
        <v>1305</v>
      </c>
      <c r="O238" s="182"/>
      <c r="P238" s="182"/>
      <c r="Q238" s="182"/>
      <c r="V238" s="189" t="s">
        <v>538</v>
      </c>
    </row>
    <row r="239" spans="1:22" ht="26.25" x14ac:dyDescent="0.25">
      <c r="A239" s="244">
        <v>5188</v>
      </c>
      <c r="B239" s="235">
        <v>415000</v>
      </c>
      <c r="C239" s="158" t="s">
        <v>219</v>
      </c>
      <c r="D239" s="158"/>
      <c r="E239" s="159">
        <f>E240</f>
        <v>19840</v>
      </c>
      <c r="F239" s="159">
        <f t="shared" ref="F239:Q239" si="70">F240</f>
        <v>20976</v>
      </c>
      <c r="G239" s="159">
        <f t="shared" si="70"/>
        <v>19632</v>
      </c>
      <c r="H239" s="159">
        <f t="shared" si="70"/>
        <v>0</v>
      </c>
      <c r="I239" s="159">
        <f t="shared" si="70"/>
        <v>0</v>
      </c>
      <c r="J239" s="159">
        <f t="shared" si="70"/>
        <v>0</v>
      </c>
      <c r="K239" s="159">
        <f t="shared" si="70"/>
        <v>0</v>
      </c>
      <c r="L239" s="159">
        <f t="shared" si="70"/>
        <v>0</v>
      </c>
      <c r="M239" s="159">
        <f t="shared" si="70"/>
        <v>20976</v>
      </c>
      <c r="N239" s="159">
        <f t="shared" si="70"/>
        <v>19632</v>
      </c>
      <c r="O239" s="159">
        <f t="shared" si="70"/>
        <v>0</v>
      </c>
      <c r="P239" s="159">
        <f t="shared" si="70"/>
        <v>0</v>
      </c>
      <c r="Q239" s="159">
        <f t="shared" si="70"/>
        <v>0</v>
      </c>
    </row>
    <row r="240" spans="1:22" x14ac:dyDescent="0.25">
      <c r="A240" s="202">
        <v>5189</v>
      </c>
      <c r="B240" s="165">
        <v>415100</v>
      </c>
      <c r="C240" s="166" t="s">
        <v>220</v>
      </c>
      <c r="D240" s="166"/>
      <c r="E240" s="182">
        <v>19840</v>
      </c>
      <c r="F240" s="182">
        <f>H240+K240+M240+P240</f>
        <v>20976</v>
      </c>
      <c r="G240" s="183">
        <f>SUM(I240:Q240)-K240-M240-P240</f>
        <v>19632</v>
      </c>
      <c r="H240" s="183"/>
      <c r="I240" s="182"/>
      <c r="J240" s="182"/>
      <c r="K240" s="182"/>
      <c r="L240" s="182"/>
      <c r="M240" s="182">
        <v>20976</v>
      </c>
      <c r="N240" s="182">
        <v>19632</v>
      </c>
      <c r="O240" s="182"/>
      <c r="P240" s="182"/>
      <c r="Q240" s="182"/>
    </row>
    <row r="241" spans="1:18" ht="39" x14ac:dyDescent="0.25">
      <c r="A241" s="244">
        <v>5190</v>
      </c>
      <c r="B241" s="235">
        <v>416000</v>
      </c>
      <c r="C241" s="158" t="s">
        <v>221</v>
      </c>
      <c r="D241" s="158"/>
      <c r="E241" s="159">
        <f>E242</f>
        <v>9442</v>
      </c>
      <c r="F241" s="159">
        <f t="shared" ref="F241:Q241" si="71">F242</f>
        <v>13751</v>
      </c>
      <c r="G241" s="159">
        <f t="shared" si="71"/>
        <v>9143</v>
      </c>
      <c r="H241" s="159">
        <f t="shared" si="71"/>
        <v>0</v>
      </c>
      <c r="I241" s="159">
        <f t="shared" si="71"/>
        <v>0</v>
      </c>
      <c r="J241" s="159">
        <f t="shared" si="71"/>
        <v>0</v>
      </c>
      <c r="K241" s="159">
        <f t="shared" si="71"/>
        <v>0</v>
      </c>
      <c r="L241" s="159">
        <f t="shared" si="71"/>
        <v>0</v>
      </c>
      <c r="M241" s="159">
        <f t="shared" si="71"/>
        <v>13751</v>
      </c>
      <c r="N241" s="159">
        <f t="shared" si="71"/>
        <v>9143</v>
      </c>
      <c r="O241" s="159">
        <f t="shared" si="71"/>
        <v>0</v>
      </c>
      <c r="P241" s="159">
        <f t="shared" si="71"/>
        <v>0</v>
      </c>
      <c r="Q241" s="159">
        <f t="shared" si="71"/>
        <v>0</v>
      </c>
    </row>
    <row r="242" spans="1:18" ht="26.25" x14ac:dyDescent="0.25">
      <c r="A242" s="202">
        <v>5191</v>
      </c>
      <c r="B242" s="165">
        <v>416100</v>
      </c>
      <c r="C242" s="166" t="s">
        <v>222</v>
      </c>
      <c r="D242" s="166"/>
      <c r="E242" s="182">
        <v>9442</v>
      </c>
      <c r="F242" s="182">
        <f>H242+K242+M242+P242</f>
        <v>13751</v>
      </c>
      <c r="G242" s="183">
        <f>SUM(I242:Q242)-K242-M242-P242</f>
        <v>9143</v>
      </c>
      <c r="H242" s="183"/>
      <c r="I242" s="182"/>
      <c r="J242" s="182"/>
      <c r="K242" s="182"/>
      <c r="L242" s="182"/>
      <c r="M242" s="182">
        <f>12500+1251</f>
        <v>13751</v>
      </c>
      <c r="N242" s="182">
        <v>9143</v>
      </c>
      <c r="O242" s="182"/>
      <c r="P242" s="182"/>
      <c r="Q242" s="182"/>
    </row>
    <row r="243" spans="1:18" ht="26.25" hidden="1" x14ac:dyDescent="0.25">
      <c r="A243" s="244">
        <v>5192</v>
      </c>
      <c r="B243" s="235">
        <v>417000</v>
      </c>
      <c r="C243" s="158" t="s">
        <v>223</v>
      </c>
      <c r="D243" s="158"/>
      <c r="E243" s="159">
        <f>E244</f>
        <v>0</v>
      </c>
      <c r="F243" s="159"/>
      <c r="G243" s="159">
        <f t="shared" si="67"/>
        <v>0</v>
      </c>
      <c r="H243" s="159"/>
      <c r="I243" s="159">
        <f t="shared" ref="I243:Q243" si="72">I244</f>
        <v>0</v>
      </c>
      <c r="J243" s="159">
        <f t="shared" si="72"/>
        <v>0</v>
      </c>
      <c r="K243" s="159"/>
      <c r="L243" s="159">
        <f t="shared" si="72"/>
        <v>0</v>
      </c>
      <c r="M243" s="159"/>
      <c r="N243" s="159">
        <f t="shared" si="72"/>
        <v>0</v>
      </c>
      <c r="O243" s="159">
        <f t="shared" si="72"/>
        <v>0</v>
      </c>
      <c r="P243" s="159"/>
      <c r="Q243" s="159">
        <f t="shared" si="72"/>
        <v>0</v>
      </c>
    </row>
    <row r="244" spans="1:18" hidden="1" x14ac:dyDescent="0.25">
      <c r="A244" s="202">
        <v>5193</v>
      </c>
      <c r="B244" s="165">
        <v>417100</v>
      </c>
      <c r="C244" s="166" t="s">
        <v>224</v>
      </c>
      <c r="D244" s="166"/>
      <c r="E244" s="182"/>
      <c r="F244" s="182"/>
      <c r="G244" s="183">
        <f t="shared" si="67"/>
        <v>0</v>
      </c>
      <c r="H244" s="183"/>
      <c r="I244" s="182"/>
      <c r="J244" s="182"/>
      <c r="K244" s="182"/>
      <c r="L244" s="182"/>
      <c r="M244" s="182"/>
      <c r="N244" s="182"/>
      <c r="O244" s="182"/>
      <c r="P244" s="182"/>
      <c r="Q244" s="182"/>
    </row>
    <row r="245" spans="1:18" hidden="1" x14ac:dyDescent="0.25">
      <c r="A245" s="244">
        <v>5194</v>
      </c>
      <c r="B245" s="235">
        <v>418000</v>
      </c>
      <c r="C245" s="158" t="s">
        <v>225</v>
      </c>
      <c r="D245" s="158"/>
      <c r="E245" s="159">
        <f>E246</f>
        <v>0</v>
      </c>
      <c r="F245" s="159"/>
      <c r="G245" s="159">
        <f t="shared" si="67"/>
        <v>0</v>
      </c>
      <c r="H245" s="159"/>
      <c r="I245" s="159">
        <f t="shared" ref="I245:Q245" si="73">I246</f>
        <v>0</v>
      </c>
      <c r="J245" s="159">
        <f t="shared" si="73"/>
        <v>0</v>
      </c>
      <c r="K245" s="159"/>
      <c r="L245" s="159">
        <f t="shared" si="73"/>
        <v>0</v>
      </c>
      <c r="M245" s="159"/>
      <c r="N245" s="159">
        <f t="shared" si="73"/>
        <v>0</v>
      </c>
      <c r="O245" s="159">
        <f t="shared" si="73"/>
        <v>0</v>
      </c>
      <c r="P245" s="159"/>
      <c r="Q245" s="159">
        <f t="shared" si="73"/>
        <v>0</v>
      </c>
    </row>
    <row r="246" spans="1:18" hidden="1" x14ac:dyDescent="0.25">
      <c r="A246" s="202">
        <v>5195</v>
      </c>
      <c r="B246" s="165">
        <v>418100</v>
      </c>
      <c r="C246" s="166" t="s">
        <v>226</v>
      </c>
      <c r="D246" s="166"/>
      <c r="E246" s="182"/>
      <c r="F246" s="182"/>
      <c r="G246" s="183">
        <f t="shared" si="67"/>
        <v>0</v>
      </c>
      <c r="H246" s="183"/>
      <c r="I246" s="182"/>
      <c r="J246" s="182"/>
      <c r="K246" s="182"/>
      <c r="L246" s="182"/>
      <c r="M246" s="182"/>
      <c r="N246" s="182"/>
      <c r="O246" s="182"/>
      <c r="P246" s="182"/>
      <c r="Q246" s="182"/>
    </row>
    <row r="247" spans="1:18" ht="39" x14ac:dyDescent="0.25">
      <c r="A247" s="244">
        <v>5196</v>
      </c>
      <c r="B247" s="235">
        <v>420000</v>
      </c>
      <c r="C247" s="158" t="s">
        <v>227</v>
      </c>
      <c r="D247" s="158"/>
      <c r="E247" s="159">
        <f t="shared" ref="E247:Q247" si="74">E248+E256+E262+E275+E283+E286</f>
        <v>427521</v>
      </c>
      <c r="F247" s="159">
        <f t="shared" si="74"/>
        <v>427914</v>
      </c>
      <c r="G247" s="159">
        <f t="shared" si="74"/>
        <v>375619</v>
      </c>
      <c r="H247" s="159">
        <f t="shared" si="74"/>
        <v>5518</v>
      </c>
      <c r="I247" s="159">
        <f t="shared" si="74"/>
        <v>2407</v>
      </c>
      <c r="J247" s="159">
        <f t="shared" si="74"/>
        <v>0</v>
      </c>
      <c r="K247" s="159">
        <f t="shared" si="74"/>
        <v>6429</v>
      </c>
      <c r="L247" s="159">
        <f t="shared" si="74"/>
        <v>1273</v>
      </c>
      <c r="M247" s="159">
        <f t="shared" si="74"/>
        <v>408497</v>
      </c>
      <c r="N247" s="159">
        <f t="shared" si="74"/>
        <v>365541</v>
      </c>
      <c r="O247" s="159">
        <f t="shared" si="74"/>
        <v>0</v>
      </c>
      <c r="P247" s="159">
        <f t="shared" si="74"/>
        <v>7470</v>
      </c>
      <c r="Q247" s="159">
        <f t="shared" si="74"/>
        <v>6398</v>
      </c>
    </row>
    <row r="248" spans="1:18" ht="26.25" x14ac:dyDescent="0.25">
      <c r="A248" s="244">
        <v>5197</v>
      </c>
      <c r="B248" s="235">
        <v>421000</v>
      </c>
      <c r="C248" s="158" t="s">
        <v>228</v>
      </c>
      <c r="D248" s="158"/>
      <c r="E248" s="159">
        <f>SUM(E249:E255)</f>
        <v>100067</v>
      </c>
      <c r="F248" s="159">
        <f t="shared" ref="F248:Q248" si="75">SUM(F249:F255)</f>
        <v>108649</v>
      </c>
      <c r="G248" s="159">
        <f t="shared" si="75"/>
        <v>80998</v>
      </c>
      <c r="H248" s="159">
        <f t="shared" si="75"/>
        <v>0</v>
      </c>
      <c r="I248" s="159">
        <f t="shared" si="75"/>
        <v>0</v>
      </c>
      <c r="J248" s="159">
        <f t="shared" si="75"/>
        <v>0</v>
      </c>
      <c r="K248" s="159">
        <f t="shared" si="75"/>
        <v>0</v>
      </c>
      <c r="L248" s="159">
        <f t="shared" si="75"/>
        <v>0</v>
      </c>
      <c r="M248" s="159">
        <f t="shared" si="75"/>
        <v>107844</v>
      </c>
      <c r="N248" s="159">
        <f t="shared" si="75"/>
        <v>80545</v>
      </c>
      <c r="O248" s="159">
        <f t="shared" si="75"/>
        <v>0</v>
      </c>
      <c r="P248" s="159">
        <f t="shared" si="75"/>
        <v>805</v>
      </c>
      <c r="Q248" s="159">
        <f t="shared" si="75"/>
        <v>453</v>
      </c>
    </row>
    <row r="249" spans="1:18" ht="26.25" x14ac:dyDescent="0.25">
      <c r="A249" s="202">
        <v>5198</v>
      </c>
      <c r="B249" s="165">
        <v>421100</v>
      </c>
      <c r="C249" s="166" t="s">
        <v>229</v>
      </c>
      <c r="D249" s="166" t="s">
        <v>463</v>
      </c>
      <c r="E249" s="182">
        <v>1359</v>
      </c>
      <c r="F249" s="182">
        <f>H249+K249+M249+P249</f>
        <v>1413</v>
      </c>
      <c r="G249" s="183">
        <f>SUM(I249:Q249)-K249-M249-P249</f>
        <v>1300</v>
      </c>
      <c r="H249" s="183"/>
      <c r="I249" s="182"/>
      <c r="J249" s="182"/>
      <c r="K249" s="182"/>
      <c r="L249" s="182"/>
      <c r="M249" s="182">
        <f>1433-100</f>
        <v>1333</v>
      </c>
      <c r="N249" s="182">
        <v>1243</v>
      </c>
      <c r="O249" s="182"/>
      <c r="P249" s="182">
        <v>80</v>
      </c>
      <c r="Q249" s="182">
        <v>57</v>
      </c>
    </row>
    <row r="250" spans="1:18" x14ac:dyDescent="0.25">
      <c r="A250" s="202">
        <v>5199</v>
      </c>
      <c r="B250" s="165">
        <v>421200</v>
      </c>
      <c r="C250" s="166" t="s">
        <v>230</v>
      </c>
      <c r="D250" s="166" t="s">
        <v>468</v>
      </c>
      <c r="E250" s="182">
        <v>83306</v>
      </c>
      <c r="F250" s="182">
        <f>H250+K250+M250+P250</f>
        <v>91889</v>
      </c>
      <c r="G250" s="183">
        <f t="shared" ref="G250:G253" si="76">SUM(I250:Q250)-K250-M250-P250</f>
        <v>65508</v>
      </c>
      <c r="H250" s="183"/>
      <c r="I250" s="182"/>
      <c r="J250" s="182"/>
      <c r="K250" s="182"/>
      <c r="L250" s="182"/>
      <c r="M250" s="182">
        <f>73200+50+18289</f>
        <v>91539</v>
      </c>
      <c r="N250" s="182">
        <v>65188</v>
      </c>
      <c r="O250" s="182"/>
      <c r="P250" s="182">
        <v>350</v>
      </c>
      <c r="Q250" s="182">
        <v>320</v>
      </c>
    </row>
    <row r="251" spans="1:18" x14ac:dyDescent="0.25">
      <c r="A251" s="202">
        <v>5200</v>
      </c>
      <c r="B251" s="165">
        <v>421300</v>
      </c>
      <c r="C251" s="166" t="s">
        <v>231</v>
      </c>
      <c r="D251" s="166" t="s">
        <v>463</v>
      </c>
      <c r="E251" s="182">
        <v>10436</v>
      </c>
      <c r="F251" s="182">
        <f>H251+K251+M251+P251</f>
        <v>10447</v>
      </c>
      <c r="G251" s="183">
        <f t="shared" si="76"/>
        <v>9465</v>
      </c>
      <c r="H251" s="183"/>
      <c r="I251" s="182"/>
      <c r="J251" s="182"/>
      <c r="K251" s="182"/>
      <c r="L251" s="182"/>
      <c r="M251" s="182">
        <f>11064-400-300-180</f>
        <v>10184</v>
      </c>
      <c r="N251" s="182">
        <v>9410</v>
      </c>
      <c r="O251" s="182"/>
      <c r="P251" s="182">
        <f>85+178</f>
        <v>263</v>
      </c>
      <c r="Q251" s="182">
        <v>55</v>
      </c>
    </row>
    <row r="252" spans="1:18" x14ac:dyDescent="0.25">
      <c r="A252" s="202">
        <v>5201</v>
      </c>
      <c r="B252" s="165">
        <v>421400</v>
      </c>
      <c r="C252" s="166" t="s">
        <v>232</v>
      </c>
      <c r="D252" s="166" t="s">
        <v>463</v>
      </c>
      <c r="E252" s="182">
        <v>2250</v>
      </c>
      <c r="F252" s="182">
        <f>H252+K252+M252+P252</f>
        <v>2008</v>
      </c>
      <c r="G252" s="183">
        <f t="shared" si="76"/>
        <v>2113</v>
      </c>
      <c r="H252" s="183"/>
      <c r="I252" s="182"/>
      <c r="J252" s="182"/>
      <c r="K252" s="182"/>
      <c r="L252" s="182"/>
      <c r="M252" s="182">
        <f>3000-1092+300-200</f>
        <v>2008</v>
      </c>
      <c r="N252" s="182">
        <v>2113</v>
      </c>
      <c r="O252" s="182"/>
      <c r="P252" s="182"/>
      <c r="Q252" s="182"/>
      <c r="R252" s="152">
        <v>1092</v>
      </c>
    </row>
    <row r="253" spans="1:18" x14ac:dyDescent="0.25">
      <c r="A253" s="202">
        <v>5202</v>
      </c>
      <c r="B253" s="165">
        <v>421500</v>
      </c>
      <c r="C253" s="166" t="s">
        <v>233</v>
      </c>
      <c r="D253" s="166" t="s">
        <v>463</v>
      </c>
      <c r="E253" s="182">
        <v>2716</v>
      </c>
      <c r="F253" s="182">
        <f>H253+K253+M253+P253</f>
        <v>2892</v>
      </c>
      <c r="G253" s="183">
        <f t="shared" si="76"/>
        <v>2612</v>
      </c>
      <c r="H253" s="183"/>
      <c r="I253" s="182"/>
      <c r="J253" s="182"/>
      <c r="K253" s="182"/>
      <c r="L253" s="182"/>
      <c r="M253" s="182">
        <f>1131+2500-851</f>
        <v>2780</v>
      </c>
      <c r="N253" s="182">
        <v>2591</v>
      </c>
      <c r="O253" s="182"/>
      <c r="P253" s="182">
        <v>112</v>
      </c>
      <c r="Q253" s="182">
        <v>21</v>
      </c>
      <c r="R253" s="152">
        <v>851</v>
      </c>
    </row>
    <row r="254" spans="1:18" hidden="1" x14ac:dyDescent="0.25">
      <c r="A254" s="202">
        <v>5203</v>
      </c>
      <c r="B254" s="165">
        <v>421600</v>
      </c>
      <c r="C254" s="166" t="s">
        <v>234</v>
      </c>
      <c r="D254" s="166"/>
      <c r="E254" s="182"/>
      <c r="F254" s="182"/>
      <c r="G254" s="183">
        <f t="shared" si="67"/>
        <v>0</v>
      </c>
      <c r="H254" s="183"/>
      <c r="I254" s="182"/>
      <c r="J254" s="182"/>
      <c r="K254" s="182"/>
      <c r="L254" s="182"/>
      <c r="M254" s="182"/>
      <c r="N254" s="182"/>
      <c r="O254" s="182"/>
      <c r="P254" s="182"/>
      <c r="Q254" s="182"/>
    </row>
    <row r="255" spans="1:18" hidden="1" x14ac:dyDescent="0.25">
      <c r="A255" s="202">
        <v>5204</v>
      </c>
      <c r="B255" s="165">
        <v>421900</v>
      </c>
      <c r="C255" s="166" t="s">
        <v>235</v>
      </c>
      <c r="D255" s="166"/>
      <c r="E255" s="182"/>
      <c r="F255" s="182"/>
      <c r="G255" s="183">
        <f t="shared" si="67"/>
        <v>0</v>
      </c>
      <c r="H255" s="183"/>
      <c r="I255" s="182"/>
      <c r="J255" s="182"/>
      <c r="K255" s="182"/>
      <c r="L255" s="182"/>
      <c r="M255" s="182"/>
      <c r="N255" s="182"/>
      <c r="O255" s="182"/>
      <c r="P255" s="182"/>
      <c r="Q255" s="182"/>
    </row>
    <row r="256" spans="1:18" ht="26.25" x14ac:dyDescent="0.25">
      <c r="A256" s="244">
        <v>5205</v>
      </c>
      <c r="B256" s="235">
        <v>422000</v>
      </c>
      <c r="C256" s="158" t="s">
        <v>236</v>
      </c>
      <c r="D256" s="158"/>
      <c r="E256" s="159">
        <f>SUM(E257:E261)</f>
        <v>634</v>
      </c>
      <c r="F256" s="159">
        <f t="shared" ref="F256:Q256" si="77">SUM(F257:F261)</f>
        <v>650</v>
      </c>
      <c r="G256" s="159">
        <f t="shared" si="77"/>
        <v>571</v>
      </c>
      <c r="H256" s="159">
        <f t="shared" si="77"/>
        <v>0</v>
      </c>
      <c r="I256" s="159">
        <f t="shared" si="77"/>
        <v>0</v>
      </c>
      <c r="J256" s="159">
        <f t="shared" si="77"/>
        <v>0</v>
      </c>
      <c r="K256" s="159">
        <f t="shared" si="77"/>
        <v>0</v>
      </c>
      <c r="L256" s="159">
        <f t="shared" si="77"/>
        <v>0</v>
      </c>
      <c r="M256" s="159">
        <f t="shared" si="77"/>
        <v>150</v>
      </c>
      <c r="N256" s="159">
        <f t="shared" si="77"/>
        <v>120</v>
      </c>
      <c r="O256" s="159">
        <f t="shared" si="77"/>
        <v>0</v>
      </c>
      <c r="P256" s="159">
        <f t="shared" si="77"/>
        <v>500</v>
      </c>
      <c r="Q256" s="159">
        <f t="shared" si="77"/>
        <v>451</v>
      </c>
    </row>
    <row r="257" spans="1:17" ht="26.25" x14ac:dyDescent="0.25">
      <c r="A257" s="202">
        <v>5206</v>
      </c>
      <c r="B257" s="165">
        <v>422100</v>
      </c>
      <c r="C257" s="166" t="s">
        <v>237</v>
      </c>
      <c r="D257" s="166" t="s">
        <v>463</v>
      </c>
      <c r="E257" s="182">
        <v>634</v>
      </c>
      <c r="F257" s="182">
        <f>H257+K257+M257+P257</f>
        <v>650</v>
      </c>
      <c r="G257" s="183">
        <f t="shared" ref="G257" si="78">SUM(I257:Q257)-K257-M257-P257</f>
        <v>571</v>
      </c>
      <c r="H257" s="183"/>
      <c r="I257" s="182"/>
      <c r="J257" s="182"/>
      <c r="K257" s="182"/>
      <c r="L257" s="182"/>
      <c r="M257" s="182">
        <v>150</v>
      </c>
      <c r="N257" s="182">
        <v>120</v>
      </c>
      <c r="O257" s="182"/>
      <c r="P257" s="182">
        <v>500</v>
      </c>
      <c r="Q257" s="182">
        <v>451</v>
      </c>
    </row>
    <row r="258" spans="1:17" ht="26.25" hidden="1" x14ac:dyDescent="0.25">
      <c r="A258" s="202">
        <v>5207</v>
      </c>
      <c r="B258" s="165">
        <v>422200</v>
      </c>
      <c r="C258" s="166" t="s">
        <v>238</v>
      </c>
      <c r="D258" s="166"/>
      <c r="E258" s="182"/>
      <c r="F258" s="182"/>
      <c r="G258" s="183">
        <f t="shared" si="67"/>
        <v>0</v>
      </c>
      <c r="H258" s="183"/>
      <c r="I258" s="182"/>
      <c r="J258" s="182"/>
      <c r="K258" s="182"/>
      <c r="L258" s="182"/>
      <c r="M258" s="182"/>
      <c r="N258" s="182"/>
      <c r="O258" s="182"/>
      <c r="P258" s="182"/>
      <c r="Q258" s="182"/>
    </row>
    <row r="259" spans="1:17" ht="26.25" hidden="1" x14ac:dyDescent="0.25">
      <c r="A259" s="202">
        <v>5208</v>
      </c>
      <c r="B259" s="165">
        <v>422300</v>
      </c>
      <c r="C259" s="166" t="s">
        <v>239</v>
      </c>
      <c r="D259" s="166"/>
      <c r="E259" s="182"/>
      <c r="F259" s="182"/>
      <c r="G259" s="183">
        <f t="shared" si="67"/>
        <v>0</v>
      </c>
      <c r="H259" s="183"/>
      <c r="I259" s="182"/>
      <c r="J259" s="182"/>
      <c r="K259" s="182"/>
      <c r="L259" s="182"/>
      <c r="M259" s="182"/>
      <c r="N259" s="182"/>
      <c r="O259" s="182"/>
      <c r="P259" s="182"/>
      <c r="Q259" s="182"/>
    </row>
    <row r="260" spans="1:17" hidden="1" x14ac:dyDescent="0.25">
      <c r="A260" s="202">
        <v>5209</v>
      </c>
      <c r="B260" s="165">
        <v>422400</v>
      </c>
      <c r="C260" s="166" t="s">
        <v>240</v>
      </c>
      <c r="D260" s="166"/>
      <c r="E260" s="182"/>
      <c r="F260" s="182"/>
      <c r="G260" s="183">
        <f t="shared" si="67"/>
        <v>0</v>
      </c>
      <c r="H260" s="183"/>
      <c r="I260" s="182"/>
      <c r="J260" s="182"/>
      <c r="K260" s="182"/>
      <c r="L260" s="182"/>
      <c r="M260" s="182"/>
      <c r="N260" s="182"/>
      <c r="O260" s="182"/>
      <c r="P260" s="182"/>
      <c r="Q260" s="182"/>
    </row>
    <row r="261" spans="1:17" hidden="1" x14ac:dyDescent="0.25">
      <c r="A261" s="202">
        <v>5210</v>
      </c>
      <c r="B261" s="165">
        <v>422900</v>
      </c>
      <c r="C261" s="166" t="s">
        <v>241</v>
      </c>
      <c r="D261" s="166"/>
      <c r="E261" s="182"/>
      <c r="F261" s="182"/>
      <c r="G261" s="183">
        <f t="shared" si="67"/>
        <v>0</v>
      </c>
      <c r="H261" s="183"/>
      <c r="I261" s="182"/>
      <c r="J261" s="182"/>
      <c r="K261" s="182"/>
      <c r="L261" s="182"/>
      <c r="M261" s="182"/>
      <c r="N261" s="182"/>
      <c r="O261" s="182"/>
      <c r="P261" s="182"/>
      <c r="Q261" s="182"/>
    </row>
    <row r="262" spans="1:17" ht="26.25" x14ac:dyDescent="0.25">
      <c r="A262" s="244">
        <v>5211</v>
      </c>
      <c r="B262" s="235">
        <v>423000</v>
      </c>
      <c r="C262" s="158" t="s">
        <v>242</v>
      </c>
      <c r="D262" s="158"/>
      <c r="E262" s="159">
        <f>SUM(E263:E274)</f>
        <v>8328</v>
      </c>
      <c r="F262" s="159">
        <f t="shared" ref="F262:Q262" si="79">SUM(F263:F274)</f>
        <v>8361</v>
      </c>
      <c r="G262" s="159">
        <f t="shared" si="79"/>
        <v>6375</v>
      </c>
      <c r="H262" s="159">
        <f t="shared" si="79"/>
        <v>0</v>
      </c>
      <c r="I262" s="159">
        <f t="shared" si="79"/>
        <v>0</v>
      </c>
      <c r="J262" s="159">
        <f t="shared" si="79"/>
        <v>0</v>
      </c>
      <c r="K262" s="159">
        <f t="shared" si="79"/>
        <v>0</v>
      </c>
      <c r="L262" s="159">
        <f t="shared" si="79"/>
        <v>0</v>
      </c>
      <c r="M262" s="159">
        <f t="shared" si="79"/>
        <v>6150</v>
      </c>
      <c r="N262" s="159">
        <f t="shared" si="79"/>
        <v>4811</v>
      </c>
      <c r="O262" s="159">
        <f t="shared" si="79"/>
        <v>0</v>
      </c>
      <c r="P262" s="159">
        <f t="shared" si="79"/>
        <v>2211</v>
      </c>
      <c r="Q262" s="159">
        <f t="shared" si="79"/>
        <v>1564</v>
      </c>
    </row>
    <row r="263" spans="1:17" hidden="1" x14ac:dyDescent="0.25">
      <c r="A263" s="202">
        <v>5212</v>
      </c>
      <c r="B263" s="165">
        <v>423100</v>
      </c>
      <c r="C263" s="166" t="s">
        <v>243</v>
      </c>
      <c r="D263" s="166"/>
      <c r="E263" s="182"/>
      <c r="F263" s="182"/>
      <c r="G263" s="183">
        <f t="shared" si="67"/>
        <v>0</v>
      </c>
      <c r="H263" s="183"/>
      <c r="I263" s="182"/>
      <c r="J263" s="182"/>
      <c r="K263" s="182"/>
      <c r="L263" s="182"/>
      <c r="M263" s="182"/>
      <c r="N263" s="182"/>
      <c r="O263" s="182"/>
      <c r="P263" s="182"/>
      <c r="Q263" s="182"/>
    </row>
    <row r="264" spans="1:17" x14ac:dyDescent="0.25">
      <c r="A264" s="202">
        <v>5213</v>
      </c>
      <c r="B264" s="165">
        <v>423200</v>
      </c>
      <c r="C264" s="166" t="s">
        <v>244</v>
      </c>
      <c r="D264" s="166" t="s">
        <v>463</v>
      </c>
      <c r="E264" s="182">
        <v>3630</v>
      </c>
      <c r="F264" s="182">
        <f>H264+K264+M264+P264</f>
        <v>3556</v>
      </c>
      <c r="G264" s="183">
        <f t="shared" ref="G264:G269" si="80">SUM(I264:Q264)-K264-M264-P264</f>
        <v>2262</v>
      </c>
      <c r="H264" s="183"/>
      <c r="I264" s="182"/>
      <c r="J264" s="182"/>
      <c r="K264" s="182"/>
      <c r="L264" s="182"/>
      <c r="M264" s="182">
        <f>3000+540-50</f>
        <v>3490</v>
      </c>
      <c r="N264" s="182">
        <v>2192</v>
      </c>
      <c r="O264" s="182"/>
      <c r="P264" s="182">
        <v>66</v>
      </c>
      <c r="Q264" s="182">
        <v>70</v>
      </c>
    </row>
    <row r="265" spans="1:17" ht="26.25" x14ac:dyDescent="0.25">
      <c r="A265" s="202">
        <v>5214</v>
      </c>
      <c r="B265" s="165">
        <v>423300</v>
      </c>
      <c r="C265" s="166" t="s">
        <v>245</v>
      </c>
      <c r="D265" s="166" t="s">
        <v>463</v>
      </c>
      <c r="E265" s="182">
        <v>2830</v>
      </c>
      <c r="F265" s="182">
        <f>H265+K265+M265+P265</f>
        <v>3060</v>
      </c>
      <c r="G265" s="183">
        <f t="shared" si="80"/>
        <v>2522</v>
      </c>
      <c r="H265" s="183"/>
      <c r="I265" s="182"/>
      <c r="J265" s="182"/>
      <c r="K265" s="182"/>
      <c r="L265" s="182"/>
      <c r="M265" s="182">
        <v>2500</v>
      </c>
      <c r="N265" s="182">
        <v>2374</v>
      </c>
      <c r="O265" s="182"/>
      <c r="P265" s="182">
        <f>200+360</f>
        <v>560</v>
      </c>
      <c r="Q265" s="182">
        <v>148</v>
      </c>
    </row>
    <row r="266" spans="1:17" x14ac:dyDescent="0.25">
      <c r="A266" s="202">
        <v>5215</v>
      </c>
      <c r="B266" s="165">
        <v>423400</v>
      </c>
      <c r="C266" s="166" t="s">
        <v>246</v>
      </c>
      <c r="D266" s="166" t="s">
        <v>463</v>
      </c>
      <c r="E266" s="182">
        <v>500</v>
      </c>
      <c r="F266" s="182">
        <f>H266+K266+M266+P266</f>
        <v>160</v>
      </c>
      <c r="G266" s="183">
        <f t="shared" si="80"/>
        <v>259</v>
      </c>
      <c r="H266" s="183"/>
      <c r="I266" s="182"/>
      <c r="J266" s="182"/>
      <c r="K266" s="182"/>
      <c r="L266" s="182"/>
      <c r="M266" s="182">
        <f>260-100</f>
        <v>160</v>
      </c>
      <c r="N266" s="182">
        <v>245</v>
      </c>
      <c r="O266" s="182"/>
      <c r="P266" s="182"/>
      <c r="Q266" s="182">
        <v>14</v>
      </c>
    </row>
    <row r="267" spans="1:17" x14ac:dyDescent="0.25">
      <c r="A267" s="202">
        <v>5216</v>
      </c>
      <c r="B267" s="165">
        <v>423500</v>
      </c>
      <c r="C267" s="166" t="s">
        <v>247</v>
      </c>
      <c r="D267" s="166" t="s">
        <v>463</v>
      </c>
      <c r="E267" s="182">
        <v>1150</v>
      </c>
      <c r="F267" s="182">
        <f>H267+K267+M267+P267</f>
        <v>1125</v>
      </c>
      <c r="G267" s="183">
        <f t="shared" si="80"/>
        <v>1132</v>
      </c>
      <c r="H267" s="183"/>
      <c r="I267" s="182"/>
      <c r="J267" s="182"/>
      <c r="K267" s="182"/>
      <c r="L267" s="182"/>
      <c r="M267" s="182"/>
      <c r="N267" s="182"/>
      <c r="O267" s="182"/>
      <c r="P267" s="182">
        <v>1125</v>
      </c>
      <c r="Q267" s="182">
        <v>1132</v>
      </c>
    </row>
    <row r="268" spans="1:17" ht="26.25" hidden="1" x14ac:dyDescent="0.25">
      <c r="A268" s="202">
        <v>5217</v>
      </c>
      <c r="B268" s="165">
        <v>423600</v>
      </c>
      <c r="C268" s="166" t="s">
        <v>248</v>
      </c>
      <c r="D268" s="166" t="s">
        <v>463</v>
      </c>
      <c r="E268" s="182"/>
      <c r="F268" s="182"/>
      <c r="G268" s="183">
        <f t="shared" si="67"/>
        <v>0</v>
      </c>
      <c r="H268" s="183"/>
      <c r="I268" s="182"/>
      <c r="J268" s="182"/>
      <c r="K268" s="182"/>
      <c r="L268" s="182"/>
      <c r="M268" s="182"/>
      <c r="N268" s="182"/>
      <c r="O268" s="182"/>
      <c r="P268" s="182"/>
      <c r="Q268" s="182"/>
    </row>
    <row r="269" spans="1:17" x14ac:dyDescent="0.25">
      <c r="A269" s="202">
        <v>5218</v>
      </c>
      <c r="B269" s="165">
        <v>423700</v>
      </c>
      <c r="C269" s="166" t="s">
        <v>249</v>
      </c>
      <c r="D269" s="166" t="s">
        <v>463</v>
      </c>
      <c r="E269" s="182">
        <v>128</v>
      </c>
      <c r="F269" s="182">
        <f>H269+K269+M269+P269</f>
        <v>200</v>
      </c>
      <c r="G269" s="183">
        <f t="shared" si="80"/>
        <v>114</v>
      </c>
      <c r="H269" s="183"/>
      <c r="I269" s="182"/>
      <c r="J269" s="182"/>
      <c r="K269" s="182"/>
      <c r="L269" s="182"/>
      <c r="M269" s="182"/>
      <c r="N269" s="182"/>
      <c r="O269" s="182"/>
      <c r="P269" s="182">
        <v>200</v>
      </c>
      <c r="Q269" s="182">
        <v>114</v>
      </c>
    </row>
    <row r="270" spans="1:17" ht="15" hidden="1" customHeight="1" x14ac:dyDescent="0.25">
      <c r="A270" s="598" t="s">
        <v>0</v>
      </c>
      <c r="B270" s="599" t="s">
        <v>1</v>
      </c>
      <c r="C270" s="598" t="s">
        <v>2</v>
      </c>
      <c r="D270" s="166" t="s">
        <v>463</v>
      </c>
      <c r="E270" s="598" t="s">
        <v>217</v>
      </c>
      <c r="F270" s="243"/>
      <c r="G270" s="600" t="s">
        <v>198</v>
      </c>
      <c r="H270" s="600"/>
      <c r="I270" s="601"/>
      <c r="J270" s="601"/>
      <c r="K270" s="601"/>
      <c r="L270" s="601"/>
      <c r="M270" s="601"/>
      <c r="N270" s="601"/>
      <c r="O270" s="601"/>
      <c r="P270" s="601"/>
      <c r="Q270" s="601"/>
    </row>
    <row r="271" spans="1:17" ht="15" hidden="1" customHeight="1" x14ac:dyDescent="0.25">
      <c r="A271" s="598"/>
      <c r="B271" s="599"/>
      <c r="C271" s="598"/>
      <c r="D271" s="166" t="s">
        <v>463</v>
      </c>
      <c r="E271" s="598"/>
      <c r="F271" s="243"/>
      <c r="G271" s="600" t="s">
        <v>199</v>
      </c>
      <c r="H271" s="235"/>
      <c r="I271" s="600" t="s">
        <v>200</v>
      </c>
      <c r="J271" s="601"/>
      <c r="K271" s="601"/>
      <c r="L271" s="601"/>
      <c r="M271" s="601"/>
      <c r="N271" s="601"/>
      <c r="O271" s="600" t="s">
        <v>7</v>
      </c>
      <c r="P271" s="235"/>
      <c r="Q271" s="600" t="s">
        <v>8</v>
      </c>
    </row>
    <row r="272" spans="1:17" ht="39" hidden="1" customHeight="1" x14ac:dyDescent="0.25">
      <c r="A272" s="598"/>
      <c r="B272" s="599"/>
      <c r="C272" s="598"/>
      <c r="D272" s="166" t="s">
        <v>463</v>
      </c>
      <c r="E272" s="598"/>
      <c r="F272" s="243"/>
      <c r="G272" s="601"/>
      <c r="H272" s="245"/>
      <c r="I272" s="235" t="s">
        <v>201</v>
      </c>
      <c r="J272" s="235" t="s">
        <v>10</v>
      </c>
      <c r="K272" s="235"/>
      <c r="L272" s="235" t="s">
        <v>11</v>
      </c>
      <c r="M272" s="235"/>
      <c r="N272" s="235" t="s">
        <v>12</v>
      </c>
      <c r="O272" s="601"/>
      <c r="P272" s="245"/>
      <c r="Q272" s="601"/>
    </row>
    <row r="273" spans="1:22" ht="15" hidden="1" customHeight="1" x14ac:dyDescent="0.25">
      <c r="A273" s="242" t="s">
        <v>18</v>
      </c>
      <c r="B273" s="242" t="s">
        <v>19</v>
      </c>
      <c r="C273" s="242" t="s">
        <v>20</v>
      </c>
      <c r="D273" s="166" t="s">
        <v>463</v>
      </c>
      <c r="E273" s="242" t="s">
        <v>21</v>
      </c>
      <c r="F273" s="242"/>
      <c r="G273" s="242" t="s">
        <v>22</v>
      </c>
      <c r="H273" s="242"/>
      <c r="I273" s="242" t="s">
        <v>23</v>
      </c>
      <c r="J273" s="242" t="s">
        <v>24</v>
      </c>
      <c r="K273" s="242"/>
      <c r="L273" s="242" t="s">
        <v>25</v>
      </c>
      <c r="M273" s="242"/>
      <c r="N273" s="242" t="s">
        <v>26</v>
      </c>
      <c r="O273" s="242" t="s">
        <v>27</v>
      </c>
      <c r="P273" s="242"/>
      <c r="Q273" s="242" t="s">
        <v>28</v>
      </c>
    </row>
    <row r="274" spans="1:22" x14ac:dyDescent="0.25">
      <c r="A274" s="202">
        <v>5219</v>
      </c>
      <c r="B274" s="165">
        <v>423900</v>
      </c>
      <c r="C274" s="166" t="s">
        <v>250</v>
      </c>
      <c r="D274" s="166" t="s">
        <v>463</v>
      </c>
      <c r="E274" s="182">
        <v>90</v>
      </c>
      <c r="F274" s="182">
        <f>H274+K274+M274+P274</f>
        <v>260</v>
      </c>
      <c r="G274" s="183">
        <f t="shared" ref="G274" si="81">SUM(I274:Q274)-K274-M274-P274</f>
        <v>86</v>
      </c>
      <c r="H274" s="183"/>
      <c r="I274" s="182"/>
      <c r="J274" s="182"/>
      <c r="K274" s="182"/>
      <c r="L274" s="182"/>
      <c r="M274" s="182"/>
      <c r="N274" s="182"/>
      <c r="O274" s="182"/>
      <c r="P274" s="182">
        <v>260</v>
      </c>
      <c r="Q274" s="182">
        <v>86</v>
      </c>
    </row>
    <row r="275" spans="1:22" ht="26.25" x14ac:dyDescent="0.25">
      <c r="A275" s="244">
        <v>5220</v>
      </c>
      <c r="B275" s="235">
        <v>424000</v>
      </c>
      <c r="C275" s="158" t="s">
        <v>251</v>
      </c>
      <c r="D275" s="158"/>
      <c r="E275" s="159">
        <f>SUM(E276:E282)</f>
        <v>4679</v>
      </c>
      <c r="F275" s="159">
        <f t="shared" ref="F275:Q275" si="82">SUM(F276:F282)</f>
        <v>6035</v>
      </c>
      <c r="G275" s="159">
        <f t="shared" si="82"/>
        <v>3707</v>
      </c>
      <c r="H275" s="159">
        <f t="shared" si="82"/>
        <v>3280</v>
      </c>
      <c r="I275" s="159">
        <f t="shared" si="82"/>
        <v>2280</v>
      </c>
      <c r="J275" s="159">
        <f t="shared" si="82"/>
        <v>0</v>
      </c>
      <c r="K275" s="159">
        <f t="shared" si="82"/>
        <v>0</v>
      </c>
      <c r="L275" s="159">
        <f t="shared" si="82"/>
        <v>0</v>
      </c>
      <c r="M275" s="159">
        <f t="shared" si="82"/>
        <v>1180</v>
      </c>
      <c r="N275" s="159">
        <f t="shared" si="82"/>
        <v>977</v>
      </c>
      <c r="O275" s="159">
        <f t="shared" si="82"/>
        <v>0</v>
      </c>
      <c r="P275" s="159">
        <f t="shared" si="82"/>
        <v>1575</v>
      </c>
      <c r="Q275" s="159">
        <f t="shared" si="82"/>
        <v>450</v>
      </c>
    </row>
    <row r="276" spans="1:22" hidden="1" x14ac:dyDescent="0.25">
      <c r="A276" s="202">
        <v>5221</v>
      </c>
      <c r="B276" s="165">
        <v>424100</v>
      </c>
      <c r="C276" s="166" t="s">
        <v>252</v>
      </c>
      <c r="D276" s="166"/>
      <c r="E276" s="182"/>
      <c r="F276" s="182"/>
      <c r="G276" s="183">
        <f t="shared" si="67"/>
        <v>0</v>
      </c>
      <c r="H276" s="183"/>
      <c r="I276" s="182"/>
      <c r="J276" s="182"/>
      <c r="K276" s="182"/>
      <c r="L276" s="182"/>
      <c r="M276" s="182"/>
      <c r="N276" s="182"/>
      <c r="O276" s="182"/>
      <c r="P276" s="182"/>
      <c r="Q276" s="182"/>
    </row>
    <row r="277" spans="1:22" ht="26.25" hidden="1" x14ac:dyDescent="0.25">
      <c r="A277" s="202">
        <v>5222</v>
      </c>
      <c r="B277" s="165">
        <v>424200</v>
      </c>
      <c r="C277" s="166" t="s">
        <v>253</v>
      </c>
      <c r="D277" s="166"/>
      <c r="E277" s="182"/>
      <c r="F277" s="182"/>
      <c r="G277" s="183">
        <f t="shared" si="67"/>
        <v>0</v>
      </c>
      <c r="H277" s="183"/>
      <c r="I277" s="182"/>
      <c r="J277" s="182"/>
      <c r="K277" s="182"/>
      <c r="L277" s="182"/>
      <c r="M277" s="182"/>
      <c r="N277" s="182"/>
      <c r="O277" s="182"/>
      <c r="P277" s="182"/>
      <c r="Q277" s="182"/>
    </row>
    <row r="278" spans="1:22" x14ac:dyDescent="0.25">
      <c r="A278" s="202">
        <v>5223</v>
      </c>
      <c r="B278" s="165">
        <v>424300</v>
      </c>
      <c r="C278" s="166" t="s">
        <v>254</v>
      </c>
      <c r="D278" s="166" t="s">
        <v>463</v>
      </c>
      <c r="E278" s="182">
        <v>1221</v>
      </c>
      <c r="F278" s="182">
        <f>H278+K278+M278+P278</f>
        <v>1380</v>
      </c>
      <c r="G278" s="183">
        <f t="shared" ref="G278" si="83">SUM(I278:Q278)-K278-M278-P278</f>
        <v>1086</v>
      </c>
      <c r="H278" s="183"/>
      <c r="I278" s="182"/>
      <c r="J278" s="182"/>
      <c r="K278" s="182"/>
      <c r="L278" s="182"/>
      <c r="M278" s="182">
        <f>1000+280-100</f>
        <v>1180</v>
      </c>
      <c r="N278" s="182">
        <v>977</v>
      </c>
      <c r="O278" s="182"/>
      <c r="P278" s="182">
        <v>200</v>
      </c>
      <c r="Q278" s="182">
        <v>109</v>
      </c>
      <c r="R278" s="204"/>
      <c r="T278" s="204"/>
    </row>
    <row r="279" spans="1:22" hidden="1" x14ac:dyDescent="0.25">
      <c r="A279" s="202">
        <v>5224</v>
      </c>
      <c r="B279" s="165">
        <v>424400</v>
      </c>
      <c r="C279" s="166" t="s">
        <v>255</v>
      </c>
      <c r="D279" s="166" t="s">
        <v>463</v>
      </c>
      <c r="E279" s="182"/>
      <c r="F279" s="182"/>
      <c r="G279" s="183">
        <f t="shared" si="67"/>
        <v>0</v>
      </c>
      <c r="H279" s="183"/>
      <c r="I279" s="182"/>
      <c r="J279" s="182"/>
      <c r="K279" s="182"/>
      <c r="L279" s="182"/>
      <c r="M279" s="182"/>
      <c r="N279" s="182"/>
      <c r="O279" s="182"/>
      <c r="P279" s="182"/>
      <c r="Q279" s="182"/>
    </row>
    <row r="280" spans="1:22" ht="26.25" hidden="1" x14ac:dyDescent="0.25">
      <c r="A280" s="202">
        <v>5225</v>
      </c>
      <c r="B280" s="165">
        <v>424500</v>
      </c>
      <c r="C280" s="166" t="s">
        <v>256</v>
      </c>
      <c r="D280" s="166" t="s">
        <v>463</v>
      </c>
      <c r="E280" s="182"/>
      <c r="F280" s="182"/>
      <c r="G280" s="183">
        <f t="shared" si="67"/>
        <v>0</v>
      </c>
      <c r="H280" s="183"/>
      <c r="I280" s="182"/>
      <c r="J280" s="182"/>
      <c r="K280" s="182"/>
      <c r="L280" s="182"/>
      <c r="M280" s="182"/>
      <c r="N280" s="182"/>
      <c r="O280" s="182"/>
      <c r="P280" s="182"/>
      <c r="Q280" s="182"/>
    </row>
    <row r="281" spans="1:22" ht="39" x14ac:dyDescent="0.25">
      <c r="A281" s="202">
        <v>5226</v>
      </c>
      <c r="B281" s="165">
        <v>424600</v>
      </c>
      <c r="C281" s="166" t="s">
        <v>257</v>
      </c>
      <c r="D281" s="166" t="s">
        <v>463</v>
      </c>
      <c r="E281" s="182">
        <v>190</v>
      </c>
      <c r="F281" s="182">
        <f>H281+K281+M281+P281</f>
        <v>300</v>
      </c>
      <c r="G281" s="183">
        <f t="shared" ref="G281:G282" si="84">SUM(I281:Q281)-K281-M281-P281</f>
        <v>51</v>
      </c>
      <c r="H281" s="183"/>
      <c r="I281" s="182"/>
      <c r="J281" s="182"/>
      <c r="K281" s="182"/>
      <c r="L281" s="182"/>
      <c r="M281" s="182"/>
      <c r="N281" s="182"/>
      <c r="O281" s="182"/>
      <c r="P281" s="182">
        <f>150+150</f>
        <v>300</v>
      </c>
      <c r="Q281" s="182">
        <v>51</v>
      </c>
    </row>
    <row r="282" spans="1:22" ht="23.25" x14ac:dyDescent="0.35">
      <c r="A282" s="202">
        <v>5227</v>
      </c>
      <c r="B282" s="165">
        <v>424900</v>
      </c>
      <c r="C282" s="166" t="s">
        <v>258</v>
      </c>
      <c r="D282" s="166" t="s">
        <v>463</v>
      </c>
      <c r="E282" s="182">
        <v>3268</v>
      </c>
      <c r="F282" s="182">
        <f>H282+K282+M282+P282</f>
        <v>4355</v>
      </c>
      <c r="G282" s="183">
        <f t="shared" si="84"/>
        <v>2570</v>
      </c>
      <c r="H282" s="183">
        <f>1054+2226</f>
        <v>3280</v>
      </c>
      <c r="I282" s="182">
        <v>2280</v>
      </c>
      <c r="J282" s="182"/>
      <c r="K282" s="182"/>
      <c r="L282" s="182"/>
      <c r="M282" s="182"/>
      <c r="N282" s="182"/>
      <c r="O282" s="182"/>
      <c r="P282" s="182">
        <f>400-150-178+1059+96-192+40</f>
        <v>1075</v>
      </c>
      <c r="Q282" s="182">
        <v>290</v>
      </c>
      <c r="R282" s="152">
        <v>1059</v>
      </c>
      <c r="S282" s="152" t="s">
        <v>504</v>
      </c>
      <c r="V282" s="205" t="s">
        <v>540</v>
      </c>
    </row>
    <row r="283" spans="1:22" ht="26.25" x14ac:dyDescent="0.25">
      <c r="A283" s="244">
        <v>5228</v>
      </c>
      <c r="B283" s="235">
        <v>425000</v>
      </c>
      <c r="C283" s="158" t="s">
        <v>259</v>
      </c>
      <c r="D283" s="166"/>
      <c r="E283" s="159">
        <f>E284+E285</f>
        <v>12464</v>
      </c>
      <c r="F283" s="159">
        <f t="shared" ref="F283:Q283" si="85">F284+F285</f>
        <v>13775</v>
      </c>
      <c r="G283" s="159">
        <f t="shared" si="85"/>
        <v>8828</v>
      </c>
      <c r="H283" s="159">
        <f t="shared" si="85"/>
        <v>0</v>
      </c>
      <c r="I283" s="159">
        <f t="shared" si="85"/>
        <v>0</v>
      </c>
      <c r="J283" s="159">
        <f t="shared" si="85"/>
        <v>0</v>
      </c>
      <c r="K283" s="159">
        <f t="shared" si="85"/>
        <v>0</v>
      </c>
      <c r="L283" s="159">
        <f t="shared" si="85"/>
        <v>0</v>
      </c>
      <c r="M283" s="159">
        <f t="shared" si="85"/>
        <v>13614</v>
      </c>
      <c r="N283" s="159">
        <f t="shared" si="85"/>
        <v>8173</v>
      </c>
      <c r="O283" s="159">
        <f t="shared" si="85"/>
        <v>0</v>
      </c>
      <c r="P283" s="159">
        <f t="shared" si="85"/>
        <v>161</v>
      </c>
      <c r="Q283" s="159">
        <f t="shared" si="85"/>
        <v>655</v>
      </c>
    </row>
    <row r="284" spans="1:22" ht="26.25" x14ac:dyDescent="0.25">
      <c r="A284" s="202">
        <v>5229</v>
      </c>
      <c r="B284" s="165">
        <v>425100</v>
      </c>
      <c r="C284" s="166" t="s">
        <v>260</v>
      </c>
      <c r="D284" s="166" t="s">
        <v>463</v>
      </c>
      <c r="E284" s="182">
        <v>360</v>
      </c>
      <c r="F284" s="182">
        <f>H284+K284+M284+P284</f>
        <v>720</v>
      </c>
      <c r="G284" s="183">
        <f t="shared" ref="G284:G285" si="86">SUM(I284:Q284)-K284-M284-P284</f>
        <v>100</v>
      </c>
      <c r="H284" s="183"/>
      <c r="I284" s="182"/>
      <c r="J284" s="182"/>
      <c r="K284" s="182"/>
      <c r="L284" s="182"/>
      <c r="M284" s="182">
        <v>720</v>
      </c>
      <c r="N284" s="182">
        <v>100</v>
      </c>
      <c r="O284" s="182"/>
      <c r="P284" s="182"/>
      <c r="Q284" s="182"/>
    </row>
    <row r="285" spans="1:22" ht="26.25" x14ac:dyDescent="0.25">
      <c r="A285" s="202">
        <v>5230</v>
      </c>
      <c r="B285" s="165">
        <v>425200</v>
      </c>
      <c r="C285" s="166" t="s">
        <v>261</v>
      </c>
      <c r="D285" s="166" t="s">
        <v>463</v>
      </c>
      <c r="E285" s="182">
        <v>12104</v>
      </c>
      <c r="F285" s="182">
        <f>H285+K285+M285+P285</f>
        <v>13055</v>
      </c>
      <c r="G285" s="183">
        <f t="shared" si="86"/>
        <v>8728</v>
      </c>
      <c r="H285" s="183"/>
      <c r="I285" s="182"/>
      <c r="J285" s="182"/>
      <c r="K285" s="182"/>
      <c r="L285" s="182"/>
      <c r="M285" s="182">
        <f>11147-580+1059-60+840+68+420</f>
        <v>12894</v>
      </c>
      <c r="N285" s="182">
        <f>8055+18</f>
        <v>8073</v>
      </c>
      <c r="O285" s="182"/>
      <c r="P285" s="182">
        <f>84-60+100+37</f>
        <v>161</v>
      </c>
      <c r="Q285" s="182">
        <v>655</v>
      </c>
      <c r="R285" s="152" t="s">
        <v>505</v>
      </c>
    </row>
    <row r="286" spans="1:22" x14ac:dyDescent="0.25">
      <c r="A286" s="244">
        <v>5231</v>
      </c>
      <c r="B286" s="235">
        <v>426000</v>
      </c>
      <c r="C286" s="158" t="s">
        <v>262</v>
      </c>
      <c r="D286" s="158"/>
      <c r="E286" s="159">
        <f>SUM(E287:E313)</f>
        <v>301349</v>
      </c>
      <c r="F286" s="159">
        <f>F287+F289+F290+F293+F311+F312+F313</f>
        <v>290444</v>
      </c>
      <c r="G286" s="159">
        <f>SUM(G287:G313)</f>
        <v>275140</v>
      </c>
      <c r="H286" s="159">
        <f t="shared" ref="H286:Q286" si="87">SUM(H287:H313)</f>
        <v>2238</v>
      </c>
      <c r="I286" s="159">
        <f t="shared" si="87"/>
        <v>127</v>
      </c>
      <c r="J286" s="159">
        <f t="shared" si="87"/>
        <v>0</v>
      </c>
      <c r="K286" s="159">
        <f t="shared" si="87"/>
        <v>6429</v>
      </c>
      <c r="L286" s="159">
        <f t="shared" si="87"/>
        <v>1273</v>
      </c>
      <c r="M286" s="159">
        <f>M287+M289+M290+M293+M311+M312+M313</f>
        <v>279559</v>
      </c>
      <c r="N286" s="159">
        <f t="shared" si="87"/>
        <v>270915</v>
      </c>
      <c r="O286" s="159">
        <f t="shared" si="87"/>
        <v>0</v>
      </c>
      <c r="P286" s="159">
        <f>P287+P289+P290+P293+P311+P312+P313</f>
        <v>2218</v>
      </c>
      <c r="Q286" s="159">
        <f t="shared" si="87"/>
        <v>2825</v>
      </c>
      <c r="R286" s="201">
        <f>H286+K286+M286+P286</f>
        <v>290444</v>
      </c>
    </row>
    <row r="287" spans="1:22" x14ac:dyDescent="0.25">
      <c r="A287" s="202">
        <v>5232</v>
      </c>
      <c r="B287" s="165">
        <v>426100</v>
      </c>
      <c r="C287" s="166" t="s">
        <v>263</v>
      </c>
      <c r="D287" s="166" t="s">
        <v>463</v>
      </c>
      <c r="E287" s="182">
        <v>4093</v>
      </c>
      <c r="F287" s="182">
        <f>H287+K287+M287+P287</f>
        <v>5574</v>
      </c>
      <c r="G287" s="183">
        <f t="shared" ref="G287" si="88">SUM(I287:Q287)-K287-M287-P287</f>
        <v>3119</v>
      </c>
      <c r="H287" s="183"/>
      <c r="I287" s="182"/>
      <c r="J287" s="182"/>
      <c r="K287" s="182"/>
      <c r="L287" s="182"/>
      <c r="M287" s="182">
        <f>4200+106+315+399+274+280</f>
        <v>5574</v>
      </c>
      <c r="N287" s="182">
        <v>3119</v>
      </c>
      <c r="O287" s="182"/>
      <c r="P287" s="182"/>
      <c r="Q287" s="182"/>
      <c r="R287" s="152" t="s">
        <v>506</v>
      </c>
    </row>
    <row r="288" spans="1:22" hidden="1" x14ac:dyDescent="0.25">
      <c r="A288" s="202">
        <v>5233</v>
      </c>
      <c r="B288" s="165">
        <v>426200</v>
      </c>
      <c r="C288" s="166" t="s">
        <v>264</v>
      </c>
      <c r="D288" s="166" t="s">
        <v>463</v>
      </c>
      <c r="E288" s="182"/>
      <c r="F288" s="182"/>
      <c r="G288" s="183">
        <f t="shared" si="67"/>
        <v>0</v>
      </c>
      <c r="H288" s="183"/>
      <c r="I288" s="182"/>
      <c r="J288" s="182"/>
      <c r="K288" s="182"/>
      <c r="L288" s="182"/>
      <c r="M288" s="182"/>
      <c r="N288" s="182"/>
      <c r="O288" s="182"/>
      <c r="P288" s="182"/>
      <c r="Q288" s="182"/>
    </row>
    <row r="289" spans="1:19" ht="26.25" x14ac:dyDescent="0.25">
      <c r="A289" s="202">
        <v>5234</v>
      </c>
      <c r="B289" s="165">
        <v>426300</v>
      </c>
      <c r="C289" s="166" t="s">
        <v>265</v>
      </c>
      <c r="D289" s="166" t="s">
        <v>463</v>
      </c>
      <c r="E289" s="182">
        <v>170</v>
      </c>
      <c r="F289" s="182">
        <f>H289+K289+M289+P289</f>
        <v>200</v>
      </c>
      <c r="G289" s="183">
        <f t="shared" ref="G289:G290" si="89">SUM(I289:Q289)-K289-M289-P289</f>
        <v>147</v>
      </c>
      <c r="H289" s="183"/>
      <c r="I289" s="182"/>
      <c r="J289" s="182"/>
      <c r="K289" s="182"/>
      <c r="L289" s="182"/>
      <c r="M289" s="182"/>
      <c r="N289" s="182"/>
      <c r="O289" s="182"/>
      <c r="P289" s="182">
        <v>200</v>
      </c>
      <c r="Q289" s="182">
        <v>147</v>
      </c>
    </row>
    <row r="290" spans="1:19" x14ac:dyDescent="0.25">
      <c r="A290" s="202">
        <v>5235</v>
      </c>
      <c r="B290" s="165">
        <v>426400</v>
      </c>
      <c r="C290" s="166" t="s">
        <v>266</v>
      </c>
      <c r="D290" s="166" t="s">
        <v>468</v>
      </c>
      <c r="E290" s="182">
        <v>1541</v>
      </c>
      <c r="F290" s="182">
        <f>H290+K290+M290+P290</f>
        <v>1950</v>
      </c>
      <c r="G290" s="183">
        <f t="shared" si="89"/>
        <v>1580</v>
      </c>
      <c r="H290" s="183"/>
      <c r="I290" s="185"/>
      <c r="J290" s="185"/>
      <c r="K290" s="185"/>
      <c r="L290" s="185"/>
      <c r="M290" s="185">
        <f>2000-50</f>
        <v>1950</v>
      </c>
      <c r="N290" s="185">
        <f>1534+39</f>
        <v>1573</v>
      </c>
      <c r="O290" s="185"/>
      <c r="P290" s="185"/>
      <c r="Q290" s="185">
        <v>7</v>
      </c>
    </row>
    <row r="291" spans="1:19" ht="26.25" hidden="1" x14ac:dyDescent="0.25">
      <c r="A291" s="202">
        <v>5236</v>
      </c>
      <c r="B291" s="165">
        <v>426500</v>
      </c>
      <c r="C291" s="166" t="s">
        <v>267</v>
      </c>
      <c r="D291" s="166"/>
      <c r="E291" s="182"/>
      <c r="F291" s="182"/>
      <c r="G291" s="183">
        <f t="shared" ref="G291:G384" si="90">SUM(I291:Q291)</f>
        <v>0</v>
      </c>
      <c r="H291" s="183"/>
      <c r="I291" s="182"/>
      <c r="J291" s="182"/>
      <c r="K291" s="182"/>
      <c r="L291" s="182"/>
      <c r="M291" s="182"/>
      <c r="N291" s="182"/>
      <c r="O291" s="182"/>
      <c r="P291" s="182"/>
      <c r="Q291" s="182"/>
    </row>
    <row r="292" spans="1:19" ht="26.25" hidden="1" x14ac:dyDescent="0.25">
      <c r="A292" s="202">
        <v>5237</v>
      </c>
      <c r="B292" s="165">
        <v>426600</v>
      </c>
      <c r="C292" s="166" t="s">
        <v>268</v>
      </c>
      <c r="D292" s="166"/>
      <c r="E292" s="182"/>
      <c r="F292" s="182"/>
      <c r="G292" s="183">
        <f t="shared" si="90"/>
        <v>0</v>
      </c>
      <c r="H292" s="183"/>
      <c r="I292" s="182"/>
      <c r="J292" s="182"/>
      <c r="K292" s="182"/>
      <c r="L292" s="182"/>
      <c r="M292" s="182"/>
      <c r="N292" s="182"/>
      <c r="O292" s="182"/>
      <c r="P292" s="182"/>
      <c r="Q292" s="182"/>
    </row>
    <row r="293" spans="1:19" ht="26.25" x14ac:dyDescent="0.25">
      <c r="A293" s="202">
        <v>5238</v>
      </c>
      <c r="B293" s="165">
        <v>426700</v>
      </c>
      <c r="C293" s="166" t="s">
        <v>269</v>
      </c>
      <c r="D293" s="166"/>
      <c r="E293" s="182">
        <v>273095</v>
      </c>
      <c r="F293" s="187">
        <f>H293+K293+M293+P293</f>
        <v>253193</v>
      </c>
      <c r="G293" s="183">
        <f t="shared" ref="G293:G313" si="91">SUM(I293:Q293)-K293-M293-P293</f>
        <v>252600</v>
      </c>
      <c r="H293" s="183"/>
      <c r="I293" s="182">
        <v>127</v>
      </c>
      <c r="J293" s="182"/>
      <c r="K293" s="182"/>
      <c r="L293" s="182"/>
      <c r="M293" s="187">
        <f>94103+2685+42117+2586+11786+25692+37400+19065+15859</f>
        <v>251293</v>
      </c>
      <c r="N293" s="182">
        <v>250683</v>
      </c>
      <c r="O293" s="182"/>
      <c r="P293" s="187">
        <v>1900</v>
      </c>
      <c r="Q293" s="182">
        <v>1790</v>
      </c>
      <c r="R293" s="201">
        <f>M294+M299+M300+M303+M309+M310</f>
        <v>251293</v>
      </c>
      <c r="S293" s="201">
        <f>R293+P293</f>
        <v>253193</v>
      </c>
    </row>
    <row r="294" spans="1:19" ht="18" customHeight="1" x14ac:dyDescent="0.25">
      <c r="A294" s="202"/>
      <c r="B294" s="206" t="s">
        <v>470</v>
      </c>
      <c r="C294" s="207" t="s">
        <v>476</v>
      </c>
      <c r="D294" s="166"/>
      <c r="E294" s="182"/>
      <c r="F294" s="187">
        <f>F295+F296+F297+F298</f>
        <v>113168</v>
      </c>
      <c r="G294" s="183"/>
      <c r="H294" s="183"/>
      <c r="I294" s="182"/>
      <c r="J294" s="182"/>
      <c r="K294" s="182"/>
      <c r="L294" s="182"/>
      <c r="M294" s="187">
        <f>M295+M296+M297+M298</f>
        <v>113168</v>
      </c>
      <c r="N294" s="182"/>
      <c r="O294" s="182"/>
      <c r="P294" s="182"/>
      <c r="Q294" s="182"/>
    </row>
    <row r="295" spans="1:19" ht="16.5" customHeight="1" x14ac:dyDescent="0.25">
      <c r="A295" s="202"/>
      <c r="B295" s="208" t="s">
        <v>477</v>
      </c>
      <c r="C295" s="166" t="s">
        <v>481</v>
      </c>
      <c r="D295" s="166"/>
      <c r="E295" s="182"/>
      <c r="F295" s="182">
        <f>M295</f>
        <v>70695</v>
      </c>
      <c r="G295" s="183"/>
      <c r="H295" s="183"/>
      <c r="I295" s="182"/>
      <c r="J295" s="182"/>
      <c r="K295" s="182"/>
      <c r="L295" s="182"/>
      <c r="M295" s="185">
        <f>50630+19065+1000</f>
        <v>70695</v>
      </c>
      <c r="N295" s="182"/>
      <c r="O295" s="182"/>
      <c r="P295" s="182"/>
      <c r="Q295" s="182"/>
    </row>
    <row r="296" spans="1:19" ht="16.5" customHeight="1" x14ac:dyDescent="0.25">
      <c r="A296" s="202"/>
      <c r="B296" s="208" t="s">
        <v>478</v>
      </c>
      <c r="C296" s="166" t="s">
        <v>482</v>
      </c>
      <c r="D296" s="166"/>
      <c r="E296" s="182"/>
      <c r="F296" s="182">
        <f t="shared" ref="F296:F310" si="92">M296</f>
        <v>14745</v>
      </c>
      <c r="G296" s="183"/>
      <c r="H296" s="183"/>
      <c r="I296" s="182"/>
      <c r="J296" s="182"/>
      <c r="K296" s="182"/>
      <c r="L296" s="182"/>
      <c r="M296" s="185">
        <f>15745-1000</f>
        <v>14745</v>
      </c>
      <c r="N296" s="182"/>
      <c r="O296" s="182"/>
      <c r="P296" s="182"/>
      <c r="Q296" s="182"/>
    </row>
    <row r="297" spans="1:19" ht="16.5" customHeight="1" x14ac:dyDescent="0.25">
      <c r="A297" s="202"/>
      <c r="B297" s="208" t="s">
        <v>479</v>
      </c>
      <c r="C297" s="166" t="s">
        <v>483</v>
      </c>
      <c r="D297" s="166"/>
      <c r="E297" s="182"/>
      <c r="F297" s="182">
        <f t="shared" si="92"/>
        <v>21866</v>
      </c>
      <c r="G297" s="183"/>
      <c r="H297" s="183"/>
      <c r="I297" s="182"/>
      <c r="J297" s="182"/>
      <c r="K297" s="182"/>
      <c r="L297" s="182"/>
      <c r="M297" s="185">
        <v>21866</v>
      </c>
      <c r="N297" s="182"/>
      <c r="O297" s="182"/>
      <c r="P297" s="182"/>
      <c r="Q297" s="182"/>
    </row>
    <row r="298" spans="1:19" ht="16.5" customHeight="1" x14ac:dyDescent="0.25">
      <c r="A298" s="202"/>
      <c r="B298" s="208" t="s">
        <v>480</v>
      </c>
      <c r="C298" s="166" t="s">
        <v>484</v>
      </c>
      <c r="D298" s="166"/>
      <c r="E298" s="182"/>
      <c r="F298" s="182">
        <f t="shared" si="92"/>
        <v>5862</v>
      </c>
      <c r="G298" s="183"/>
      <c r="H298" s="183"/>
      <c r="I298" s="182"/>
      <c r="J298" s="182"/>
      <c r="K298" s="182"/>
      <c r="L298" s="182"/>
      <c r="M298" s="185">
        <v>5862</v>
      </c>
      <c r="N298" s="182"/>
      <c r="O298" s="182"/>
      <c r="P298" s="182"/>
      <c r="Q298" s="182"/>
    </row>
    <row r="299" spans="1:19" ht="16.5" customHeight="1" x14ac:dyDescent="0.25">
      <c r="A299" s="209"/>
      <c r="B299" s="210" t="s">
        <v>471</v>
      </c>
      <c r="C299" s="207" t="s">
        <v>485</v>
      </c>
      <c r="D299" s="207"/>
      <c r="E299" s="187"/>
      <c r="F299" s="187">
        <f t="shared" si="92"/>
        <v>2685</v>
      </c>
      <c r="G299" s="211"/>
      <c r="H299" s="211"/>
      <c r="I299" s="187"/>
      <c r="J299" s="187"/>
      <c r="K299" s="187"/>
      <c r="L299" s="187"/>
      <c r="M299" s="187">
        <v>2685</v>
      </c>
      <c r="N299" s="187"/>
      <c r="O299" s="187"/>
      <c r="P299" s="187"/>
      <c r="Q299" s="187"/>
    </row>
    <row r="300" spans="1:19" ht="25.5" customHeight="1" x14ac:dyDescent="0.25">
      <c r="A300" s="202"/>
      <c r="B300" s="210" t="s">
        <v>472</v>
      </c>
      <c r="C300" s="207" t="s">
        <v>486</v>
      </c>
      <c r="D300" s="207"/>
      <c r="E300" s="187"/>
      <c r="F300" s="187">
        <f t="shared" si="92"/>
        <v>60562</v>
      </c>
      <c r="G300" s="211"/>
      <c r="H300" s="211"/>
      <c r="I300" s="187"/>
      <c r="J300" s="187"/>
      <c r="K300" s="187"/>
      <c r="L300" s="187"/>
      <c r="M300" s="187">
        <f>M301+M302</f>
        <v>60562</v>
      </c>
      <c r="N300" s="187"/>
      <c r="O300" s="187"/>
      <c r="P300" s="187"/>
      <c r="Q300" s="187"/>
    </row>
    <row r="301" spans="1:19" ht="25.5" customHeight="1" x14ac:dyDescent="0.25">
      <c r="A301" s="202"/>
      <c r="B301" s="208" t="s">
        <v>487</v>
      </c>
      <c r="C301" s="166" t="s">
        <v>489</v>
      </c>
      <c r="D301" s="166"/>
      <c r="E301" s="182"/>
      <c r="F301" s="182">
        <f t="shared" si="92"/>
        <v>36195</v>
      </c>
      <c r="G301" s="183"/>
      <c r="H301" s="183"/>
      <c r="I301" s="182"/>
      <c r="J301" s="182"/>
      <c r="K301" s="182"/>
      <c r="L301" s="182"/>
      <c r="M301" s="185">
        <f>36195</f>
        <v>36195</v>
      </c>
      <c r="N301" s="182"/>
      <c r="O301" s="182"/>
      <c r="P301" s="182"/>
      <c r="Q301" s="182"/>
    </row>
    <row r="302" spans="1:19" ht="23.25" customHeight="1" x14ac:dyDescent="0.25">
      <c r="A302" s="202"/>
      <c r="B302" s="208" t="s">
        <v>488</v>
      </c>
      <c r="C302" s="166" t="s">
        <v>490</v>
      </c>
      <c r="D302" s="166"/>
      <c r="E302" s="182"/>
      <c r="F302" s="182">
        <f t="shared" si="92"/>
        <v>24367</v>
      </c>
      <c r="G302" s="183"/>
      <c r="H302" s="183"/>
      <c r="I302" s="182"/>
      <c r="J302" s="182"/>
      <c r="K302" s="182"/>
      <c r="L302" s="182"/>
      <c r="M302" s="185">
        <f>5922+15859+2586</f>
        <v>24367</v>
      </c>
      <c r="N302" s="182"/>
      <c r="O302" s="182"/>
      <c r="P302" s="182">
        <v>1900</v>
      </c>
      <c r="Q302" s="182"/>
    </row>
    <row r="303" spans="1:19" ht="16.5" customHeight="1" x14ac:dyDescent="0.25">
      <c r="A303" s="202"/>
      <c r="B303" s="210" t="s">
        <v>473</v>
      </c>
      <c r="C303" s="207" t="s">
        <v>493</v>
      </c>
      <c r="D303" s="207"/>
      <c r="E303" s="187"/>
      <c r="F303" s="187">
        <f>F304+F305+F306</f>
        <v>11786</v>
      </c>
      <c r="G303" s="211"/>
      <c r="H303" s="211"/>
      <c r="I303" s="187"/>
      <c r="J303" s="187"/>
      <c r="K303" s="187"/>
      <c r="L303" s="187"/>
      <c r="M303" s="187">
        <f>M304+M305+M306</f>
        <v>11786</v>
      </c>
      <c r="N303" s="187"/>
      <c r="O303" s="187"/>
      <c r="P303" s="187"/>
      <c r="Q303" s="187"/>
    </row>
    <row r="304" spans="1:19" ht="23.25" customHeight="1" x14ac:dyDescent="0.25">
      <c r="A304" s="202"/>
      <c r="B304" s="208" t="s">
        <v>491</v>
      </c>
      <c r="C304" s="166" t="s">
        <v>494</v>
      </c>
      <c r="D304" s="166"/>
      <c r="E304" s="182"/>
      <c r="F304" s="182">
        <f>M304</f>
        <v>5321</v>
      </c>
      <c r="G304" s="183"/>
      <c r="H304" s="183"/>
      <c r="I304" s="182"/>
      <c r="J304" s="182"/>
      <c r="K304" s="182"/>
      <c r="L304" s="182"/>
      <c r="M304" s="185">
        <v>5321</v>
      </c>
      <c r="N304" s="182"/>
      <c r="O304" s="182"/>
      <c r="P304" s="182"/>
      <c r="Q304" s="182"/>
    </row>
    <row r="305" spans="1:17" ht="16.5" customHeight="1" x14ac:dyDescent="0.25">
      <c r="A305" s="202"/>
      <c r="B305" s="208" t="s">
        <v>492</v>
      </c>
      <c r="C305" s="166" t="s">
        <v>495</v>
      </c>
      <c r="D305" s="166"/>
      <c r="E305" s="182"/>
      <c r="F305" s="182">
        <f>M305</f>
        <v>5402</v>
      </c>
      <c r="G305" s="183"/>
      <c r="H305" s="183"/>
      <c r="I305" s="182"/>
      <c r="J305" s="182"/>
      <c r="K305" s="182"/>
      <c r="L305" s="182"/>
      <c r="M305" s="185">
        <v>5402</v>
      </c>
      <c r="N305" s="182"/>
      <c r="O305" s="182"/>
      <c r="P305" s="182"/>
      <c r="Q305" s="182"/>
    </row>
    <row r="306" spans="1:17" ht="16.5" customHeight="1" x14ac:dyDescent="0.25">
      <c r="A306" s="202"/>
      <c r="B306" s="208" t="s">
        <v>496</v>
      </c>
      <c r="C306" s="166" t="s">
        <v>497</v>
      </c>
      <c r="D306" s="166"/>
      <c r="E306" s="182"/>
      <c r="F306" s="182">
        <f>M306</f>
        <v>1063</v>
      </c>
      <c r="G306" s="183"/>
      <c r="H306" s="183"/>
      <c r="I306" s="182"/>
      <c r="J306" s="182"/>
      <c r="K306" s="182"/>
      <c r="L306" s="182"/>
      <c r="M306" s="185">
        <f>M307+M308</f>
        <v>1063</v>
      </c>
      <c r="N306" s="182"/>
      <c r="O306" s="182"/>
      <c r="P306" s="182"/>
      <c r="Q306" s="182"/>
    </row>
    <row r="307" spans="1:17" ht="24.75" x14ac:dyDescent="0.25">
      <c r="A307" s="202"/>
      <c r="B307" s="212" t="s">
        <v>500</v>
      </c>
      <c r="C307" s="213" t="s">
        <v>498</v>
      </c>
      <c r="D307" s="213"/>
      <c r="E307" s="214"/>
      <c r="F307" s="214">
        <f t="shared" si="92"/>
        <v>438</v>
      </c>
      <c r="G307" s="215"/>
      <c r="H307" s="215"/>
      <c r="I307" s="214"/>
      <c r="J307" s="214"/>
      <c r="K307" s="214"/>
      <c r="L307" s="214"/>
      <c r="M307" s="214">
        <v>438</v>
      </c>
      <c r="N307" s="214"/>
      <c r="O307" s="214"/>
      <c r="P307" s="214"/>
      <c r="Q307" s="214"/>
    </row>
    <row r="308" spans="1:17" ht="24.75" x14ac:dyDescent="0.25">
      <c r="A308" s="202"/>
      <c r="B308" s="212" t="s">
        <v>501</v>
      </c>
      <c r="C308" s="213" t="s">
        <v>499</v>
      </c>
      <c r="D308" s="213"/>
      <c r="E308" s="214"/>
      <c r="F308" s="214">
        <f t="shared" si="92"/>
        <v>625</v>
      </c>
      <c r="G308" s="215"/>
      <c r="H308" s="215"/>
      <c r="I308" s="214"/>
      <c r="J308" s="214"/>
      <c r="K308" s="214"/>
      <c r="L308" s="214"/>
      <c r="M308" s="214">
        <v>625</v>
      </c>
      <c r="N308" s="214"/>
      <c r="O308" s="214"/>
      <c r="P308" s="214"/>
      <c r="Q308" s="214"/>
    </row>
    <row r="309" spans="1:17" ht="26.25" x14ac:dyDescent="0.25">
      <c r="A309" s="202"/>
      <c r="B309" s="206" t="s">
        <v>474</v>
      </c>
      <c r="C309" s="207" t="s">
        <v>502</v>
      </c>
      <c r="D309" s="207"/>
      <c r="E309" s="187"/>
      <c r="F309" s="187">
        <f t="shared" si="92"/>
        <v>25692</v>
      </c>
      <c r="G309" s="211"/>
      <c r="H309" s="211"/>
      <c r="I309" s="187"/>
      <c r="J309" s="187"/>
      <c r="K309" s="187"/>
      <c r="L309" s="187"/>
      <c r="M309" s="187">
        <v>25692</v>
      </c>
      <c r="N309" s="187"/>
      <c r="O309" s="187"/>
      <c r="P309" s="187"/>
      <c r="Q309" s="187"/>
    </row>
    <row r="310" spans="1:17" x14ac:dyDescent="0.25">
      <c r="A310" s="202"/>
      <c r="B310" s="206" t="s">
        <v>475</v>
      </c>
      <c r="C310" s="207" t="s">
        <v>503</v>
      </c>
      <c r="D310" s="207"/>
      <c r="E310" s="187"/>
      <c r="F310" s="187">
        <f t="shared" si="92"/>
        <v>37400</v>
      </c>
      <c r="G310" s="211"/>
      <c r="H310" s="211"/>
      <c r="I310" s="187"/>
      <c r="J310" s="187"/>
      <c r="K310" s="187"/>
      <c r="L310" s="187"/>
      <c r="M310" s="187">
        <v>37400</v>
      </c>
      <c r="N310" s="187"/>
      <c r="O310" s="187"/>
      <c r="P310" s="187"/>
      <c r="Q310" s="187"/>
    </row>
    <row r="311" spans="1:17" x14ac:dyDescent="0.25">
      <c r="A311" s="202">
        <v>5239</v>
      </c>
      <c r="B311" s="165">
        <v>426800</v>
      </c>
      <c r="C311" s="166" t="s">
        <v>464</v>
      </c>
      <c r="D311" s="216" t="s">
        <v>467</v>
      </c>
      <c r="E311" s="182">
        <v>9387</v>
      </c>
      <c r="F311" s="182">
        <f>H311+K311+M311+P311</f>
        <v>12200</v>
      </c>
      <c r="G311" s="183">
        <f t="shared" si="91"/>
        <v>9570</v>
      </c>
      <c r="H311" s="183"/>
      <c r="I311" s="182"/>
      <c r="J311" s="182"/>
      <c r="K311" s="182"/>
      <c r="L311" s="182"/>
      <c r="M311" s="182">
        <f>9387+2813</f>
        <v>12200</v>
      </c>
      <c r="N311" s="182">
        <v>9570</v>
      </c>
      <c r="O311" s="182"/>
      <c r="P311" s="182"/>
      <c r="Q311" s="182"/>
    </row>
    <row r="312" spans="1:17" ht="26.25" x14ac:dyDescent="0.25">
      <c r="A312" s="202"/>
      <c r="B312" s="165" t="s">
        <v>465</v>
      </c>
      <c r="C312" s="166" t="s">
        <v>466</v>
      </c>
      <c r="D312" s="166" t="s">
        <v>463</v>
      </c>
      <c r="E312" s="182">
        <v>4452</v>
      </c>
      <c r="F312" s="182">
        <f>H312+K312+M312+P312</f>
        <v>3900</v>
      </c>
      <c r="G312" s="183">
        <f t="shared" si="91"/>
        <v>2940</v>
      </c>
      <c r="H312" s="183"/>
      <c r="I312" s="182"/>
      <c r="J312" s="182"/>
      <c r="K312" s="182"/>
      <c r="L312" s="182"/>
      <c r="M312" s="182">
        <v>3900</v>
      </c>
      <c r="N312" s="182">
        <f>12522-12-9570</f>
        <v>2940</v>
      </c>
      <c r="O312" s="182"/>
      <c r="P312" s="182"/>
      <c r="Q312" s="182"/>
    </row>
    <row r="313" spans="1:17" x14ac:dyDescent="0.25">
      <c r="A313" s="202">
        <v>5240</v>
      </c>
      <c r="B313" s="165">
        <v>426900</v>
      </c>
      <c r="C313" s="166" t="s">
        <v>270</v>
      </c>
      <c r="D313" s="166" t="s">
        <v>463</v>
      </c>
      <c r="E313" s="182">
        <v>8611</v>
      </c>
      <c r="F313" s="182">
        <f>H313+K313+M313+P313</f>
        <v>13427</v>
      </c>
      <c r="G313" s="183">
        <f t="shared" si="91"/>
        <v>5184</v>
      </c>
      <c r="H313" s="183">
        <f>1038+1200</f>
        <v>2238</v>
      </c>
      <c r="I313" s="182"/>
      <c r="J313" s="182"/>
      <c r="K313" s="182">
        <f>1000+5428+1</f>
        <v>6429</v>
      </c>
      <c r="L313" s="182">
        <v>1273</v>
      </c>
      <c r="M313" s="182">
        <f>4700+400+360+240-840-68-150</f>
        <v>4642</v>
      </c>
      <c r="N313" s="182">
        <f>3076-46</f>
        <v>3030</v>
      </c>
      <c r="O313" s="182"/>
      <c r="P313" s="188">
        <f>100+20-2</f>
        <v>118</v>
      </c>
      <c r="Q313" s="182">
        <v>881</v>
      </c>
    </row>
    <row r="314" spans="1:17" ht="51.75" hidden="1" x14ac:dyDescent="0.25">
      <c r="A314" s="244">
        <v>5241</v>
      </c>
      <c r="B314" s="235">
        <v>430000</v>
      </c>
      <c r="C314" s="158" t="s">
        <v>271</v>
      </c>
      <c r="D314" s="158"/>
      <c r="E314" s="159">
        <f>E315+E323+E325+E327+E331</f>
        <v>0</v>
      </c>
      <c r="F314" s="159"/>
      <c r="G314" s="159">
        <f t="shared" si="90"/>
        <v>0</v>
      </c>
      <c r="H314" s="159"/>
      <c r="I314" s="159">
        <f t="shared" ref="I314:Q314" si="93">I315+I323+I325+I327+I331</f>
        <v>0</v>
      </c>
      <c r="J314" s="159">
        <f t="shared" si="93"/>
        <v>0</v>
      </c>
      <c r="K314" s="159"/>
      <c r="L314" s="159">
        <f t="shared" si="93"/>
        <v>0</v>
      </c>
      <c r="M314" s="159"/>
      <c r="N314" s="159">
        <f t="shared" si="93"/>
        <v>0</v>
      </c>
      <c r="O314" s="159">
        <f t="shared" si="93"/>
        <v>0</v>
      </c>
      <c r="P314" s="159"/>
      <c r="Q314" s="159">
        <f t="shared" si="93"/>
        <v>0</v>
      </c>
    </row>
    <row r="315" spans="1:17" ht="39" hidden="1" x14ac:dyDescent="0.25">
      <c r="A315" s="244">
        <v>5242</v>
      </c>
      <c r="B315" s="235">
        <v>431000</v>
      </c>
      <c r="C315" s="158" t="s">
        <v>272</v>
      </c>
      <c r="D315" s="158"/>
      <c r="E315" s="159">
        <f>SUM(E316:E318)</f>
        <v>0</v>
      </c>
      <c r="F315" s="159"/>
      <c r="G315" s="159">
        <f t="shared" si="90"/>
        <v>0</v>
      </c>
      <c r="H315" s="159"/>
      <c r="I315" s="159">
        <f t="shared" ref="I315:Q315" si="94">SUM(I316:I318)</f>
        <v>0</v>
      </c>
      <c r="J315" s="159">
        <f t="shared" si="94"/>
        <v>0</v>
      </c>
      <c r="K315" s="159"/>
      <c r="L315" s="159">
        <f t="shared" si="94"/>
        <v>0</v>
      </c>
      <c r="M315" s="159"/>
      <c r="N315" s="159">
        <f t="shared" si="94"/>
        <v>0</v>
      </c>
      <c r="O315" s="159">
        <f t="shared" si="94"/>
        <v>0</v>
      </c>
      <c r="P315" s="159"/>
      <c r="Q315" s="159">
        <f t="shared" si="94"/>
        <v>0</v>
      </c>
    </row>
    <row r="316" spans="1:17" ht="26.25" hidden="1" x14ac:dyDescent="0.25">
      <c r="A316" s="202">
        <v>5243</v>
      </c>
      <c r="B316" s="165">
        <v>431100</v>
      </c>
      <c r="C316" s="166" t="s">
        <v>273</v>
      </c>
      <c r="D316" s="166"/>
      <c r="E316" s="182"/>
      <c r="F316" s="182"/>
      <c r="G316" s="183">
        <f t="shared" si="90"/>
        <v>0</v>
      </c>
      <c r="H316" s="183"/>
      <c r="I316" s="182"/>
      <c r="J316" s="182"/>
      <c r="K316" s="182"/>
      <c r="L316" s="182"/>
      <c r="M316" s="182"/>
      <c r="N316" s="182"/>
      <c r="O316" s="182"/>
      <c r="P316" s="182"/>
      <c r="Q316" s="182"/>
    </row>
    <row r="317" spans="1:17" hidden="1" x14ac:dyDescent="0.25">
      <c r="A317" s="202">
        <v>5244</v>
      </c>
      <c r="B317" s="165">
        <v>431200</v>
      </c>
      <c r="C317" s="166" t="s">
        <v>274</v>
      </c>
      <c r="D317" s="166"/>
      <c r="E317" s="182"/>
      <c r="F317" s="182"/>
      <c r="G317" s="183">
        <f t="shared" si="90"/>
        <v>0</v>
      </c>
      <c r="H317" s="183"/>
      <c r="I317" s="182"/>
      <c r="J317" s="182"/>
      <c r="K317" s="182"/>
      <c r="L317" s="182"/>
      <c r="M317" s="182"/>
      <c r="N317" s="182"/>
      <c r="O317" s="182"/>
      <c r="P317" s="182"/>
      <c r="Q317" s="182"/>
    </row>
    <row r="318" spans="1:17" ht="26.25" hidden="1" x14ac:dyDescent="0.25">
      <c r="A318" s="202">
        <v>5245</v>
      </c>
      <c r="B318" s="165">
        <v>431300</v>
      </c>
      <c r="C318" s="166" t="s">
        <v>275</v>
      </c>
      <c r="D318" s="166"/>
      <c r="E318" s="182"/>
      <c r="F318" s="182"/>
      <c r="G318" s="183">
        <f t="shared" si="90"/>
        <v>0</v>
      </c>
      <c r="H318" s="183"/>
      <c r="I318" s="182"/>
      <c r="J318" s="182"/>
      <c r="K318" s="182"/>
      <c r="L318" s="182"/>
      <c r="M318" s="182"/>
      <c r="N318" s="182"/>
      <c r="O318" s="182"/>
      <c r="P318" s="182"/>
      <c r="Q318" s="182"/>
    </row>
    <row r="319" spans="1:17" hidden="1" x14ac:dyDescent="0.25">
      <c r="A319" s="598" t="s">
        <v>0</v>
      </c>
      <c r="B319" s="599" t="s">
        <v>1</v>
      </c>
      <c r="C319" s="598" t="s">
        <v>2</v>
      </c>
      <c r="D319" s="243"/>
      <c r="E319" s="598" t="s">
        <v>217</v>
      </c>
      <c r="F319" s="243"/>
      <c r="G319" s="600" t="s">
        <v>198</v>
      </c>
      <c r="H319" s="600"/>
      <c r="I319" s="601"/>
      <c r="J319" s="601"/>
      <c r="K319" s="601"/>
      <c r="L319" s="601"/>
      <c r="M319" s="601"/>
      <c r="N319" s="601"/>
      <c r="O319" s="601"/>
      <c r="P319" s="601"/>
      <c r="Q319" s="601"/>
    </row>
    <row r="320" spans="1:17" hidden="1" x14ac:dyDescent="0.25">
      <c r="A320" s="598"/>
      <c r="B320" s="599"/>
      <c r="C320" s="598"/>
      <c r="D320" s="243"/>
      <c r="E320" s="598"/>
      <c r="F320" s="243"/>
      <c r="G320" s="600" t="s">
        <v>199</v>
      </c>
      <c r="H320" s="235"/>
      <c r="I320" s="600" t="s">
        <v>200</v>
      </c>
      <c r="J320" s="601"/>
      <c r="K320" s="601"/>
      <c r="L320" s="601"/>
      <c r="M320" s="601"/>
      <c r="N320" s="601"/>
      <c r="O320" s="600" t="s">
        <v>7</v>
      </c>
      <c r="P320" s="235"/>
      <c r="Q320" s="600" t="s">
        <v>8</v>
      </c>
    </row>
    <row r="321" spans="1:17" ht="39" hidden="1" x14ac:dyDescent="0.25">
      <c r="A321" s="598"/>
      <c r="B321" s="599"/>
      <c r="C321" s="598"/>
      <c r="D321" s="243"/>
      <c r="E321" s="598"/>
      <c r="F321" s="243"/>
      <c r="G321" s="601"/>
      <c r="H321" s="245"/>
      <c r="I321" s="235" t="s">
        <v>201</v>
      </c>
      <c r="J321" s="235" t="s">
        <v>10</v>
      </c>
      <c r="K321" s="235"/>
      <c r="L321" s="235" t="s">
        <v>11</v>
      </c>
      <c r="M321" s="235"/>
      <c r="N321" s="235" t="s">
        <v>12</v>
      </c>
      <c r="O321" s="601"/>
      <c r="P321" s="245"/>
      <c r="Q321" s="601"/>
    </row>
    <row r="322" spans="1:17" ht="26.25" hidden="1" x14ac:dyDescent="0.25">
      <c r="A322" s="242" t="s">
        <v>18</v>
      </c>
      <c r="B322" s="242" t="s">
        <v>19</v>
      </c>
      <c r="C322" s="242" t="s">
        <v>20</v>
      </c>
      <c r="D322" s="242"/>
      <c r="E322" s="242" t="s">
        <v>21</v>
      </c>
      <c r="F322" s="242"/>
      <c r="G322" s="242" t="s">
        <v>22</v>
      </c>
      <c r="H322" s="242"/>
      <c r="I322" s="242" t="s">
        <v>23</v>
      </c>
      <c r="J322" s="242" t="s">
        <v>24</v>
      </c>
      <c r="K322" s="242"/>
      <c r="L322" s="242" t="s">
        <v>25</v>
      </c>
      <c r="M322" s="242"/>
      <c r="N322" s="242" t="s">
        <v>26</v>
      </c>
      <c r="O322" s="242" t="s">
        <v>27</v>
      </c>
      <c r="P322" s="242"/>
      <c r="Q322" s="242" t="s">
        <v>28</v>
      </c>
    </row>
    <row r="323" spans="1:17" ht="39" hidden="1" x14ac:dyDescent="0.25">
      <c r="A323" s="244">
        <v>5246</v>
      </c>
      <c r="B323" s="235">
        <v>432000</v>
      </c>
      <c r="C323" s="158" t="s">
        <v>276</v>
      </c>
      <c r="D323" s="158"/>
      <c r="E323" s="159">
        <f>E324</f>
        <v>0</v>
      </c>
      <c r="F323" s="159"/>
      <c r="G323" s="159">
        <f t="shared" si="90"/>
        <v>0</v>
      </c>
      <c r="H323" s="159"/>
      <c r="I323" s="159">
        <f t="shared" ref="I323:Q323" si="95">I324</f>
        <v>0</v>
      </c>
      <c r="J323" s="159">
        <f t="shared" si="95"/>
        <v>0</v>
      </c>
      <c r="K323" s="159"/>
      <c r="L323" s="159">
        <f t="shared" si="95"/>
        <v>0</v>
      </c>
      <c r="M323" s="159"/>
      <c r="N323" s="159">
        <f t="shared" si="95"/>
        <v>0</v>
      </c>
      <c r="O323" s="159">
        <f t="shared" si="95"/>
        <v>0</v>
      </c>
      <c r="P323" s="159"/>
      <c r="Q323" s="159">
        <f t="shared" si="95"/>
        <v>0</v>
      </c>
    </row>
    <row r="324" spans="1:17" ht="26.25" hidden="1" x14ac:dyDescent="0.25">
      <c r="A324" s="202">
        <v>5247</v>
      </c>
      <c r="B324" s="165">
        <v>432100</v>
      </c>
      <c r="C324" s="166" t="s">
        <v>277</v>
      </c>
      <c r="D324" s="166"/>
      <c r="E324" s="182"/>
      <c r="F324" s="182"/>
      <c r="G324" s="183">
        <f t="shared" si="90"/>
        <v>0</v>
      </c>
      <c r="H324" s="183"/>
      <c r="I324" s="182"/>
      <c r="J324" s="182"/>
      <c r="K324" s="182"/>
      <c r="L324" s="182"/>
      <c r="M324" s="182"/>
      <c r="N324" s="182"/>
      <c r="O324" s="182"/>
      <c r="P324" s="182"/>
      <c r="Q324" s="182"/>
    </row>
    <row r="325" spans="1:17" ht="26.25" hidden="1" x14ac:dyDescent="0.25">
      <c r="A325" s="244">
        <v>5248</v>
      </c>
      <c r="B325" s="235">
        <v>433000</v>
      </c>
      <c r="C325" s="158" t="s">
        <v>278</v>
      </c>
      <c r="D325" s="158"/>
      <c r="E325" s="159">
        <f>E326</f>
        <v>0</v>
      </c>
      <c r="F325" s="159"/>
      <c r="G325" s="159">
        <f t="shared" si="90"/>
        <v>0</v>
      </c>
      <c r="H325" s="159"/>
      <c r="I325" s="159">
        <f t="shared" ref="I325:Q325" si="96">I326</f>
        <v>0</v>
      </c>
      <c r="J325" s="159">
        <f t="shared" si="96"/>
        <v>0</v>
      </c>
      <c r="K325" s="159"/>
      <c r="L325" s="159">
        <f t="shared" si="96"/>
        <v>0</v>
      </c>
      <c r="M325" s="159"/>
      <c r="N325" s="159">
        <f t="shared" si="96"/>
        <v>0</v>
      </c>
      <c r="O325" s="159">
        <f t="shared" si="96"/>
        <v>0</v>
      </c>
      <c r="P325" s="159"/>
      <c r="Q325" s="159">
        <f t="shared" si="96"/>
        <v>0</v>
      </c>
    </row>
    <row r="326" spans="1:17" hidden="1" x14ac:dyDescent="0.25">
      <c r="A326" s="202">
        <v>5249</v>
      </c>
      <c r="B326" s="165">
        <v>433100</v>
      </c>
      <c r="C326" s="166" t="s">
        <v>279</v>
      </c>
      <c r="D326" s="166"/>
      <c r="E326" s="182"/>
      <c r="F326" s="182"/>
      <c r="G326" s="183">
        <f t="shared" si="90"/>
        <v>0</v>
      </c>
      <c r="H326" s="183"/>
      <c r="I326" s="182"/>
      <c r="J326" s="182"/>
      <c r="K326" s="182"/>
      <c r="L326" s="182"/>
      <c r="M326" s="182"/>
      <c r="N326" s="182"/>
      <c r="O326" s="182"/>
      <c r="P326" s="182"/>
      <c r="Q326" s="182"/>
    </row>
    <row r="327" spans="1:17" ht="26.25" hidden="1" x14ac:dyDescent="0.25">
      <c r="A327" s="244">
        <v>5250</v>
      </c>
      <c r="B327" s="235">
        <v>434000</v>
      </c>
      <c r="C327" s="158" t="s">
        <v>280</v>
      </c>
      <c r="D327" s="158"/>
      <c r="E327" s="159">
        <f>SUM(E328:E330)</f>
        <v>0</v>
      </c>
      <c r="F327" s="159"/>
      <c r="G327" s="159">
        <f t="shared" si="90"/>
        <v>0</v>
      </c>
      <c r="H327" s="159"/>
      <c r="I327" s="159">
        <f t="shared" ref="I327:Q327" si="97">SUM(I328:I330)</f>
        <v>0</v>
      </c>
      <c r="J327" s="159">
        <f t="shared" si="97"/>
        <v>0</v>
      </c>
      <c r="K327" s="159"/>
      <c r="L327" s="159">
        <f t="shared" si="97"/>
        <v>0</v>
      </c>
      <c r="M327" s="159"/>
      <c r="N327" s="159">
        <f t="shared" si="97"/>
        <v>0</v>
      </c>
      <c r="O327" s="159">
        <f t="shared" si="97"/>
        <v>0</v>
      </c>
      <c r="P327" s="159"/>
      <c r="Q327" s="159">
        <f t="shared" si="97"/>
        <v>0</v>
      </c>
    </row>
    <row r="328" spans="1:17" hidden="1" x14ac:dyDescent="0.25">
      <c r="A328" s="202">
        <v>5251</v>
      </c>
      <c r="B328" s="165">
        <v>434100</v>
      </c>
      <c r="C328" s="166" t="s">
        <v>281</v>
      </c>
      <c r="D328" s="166"/>
      <c r="E328" s="182"/>
      <c r="F328" s="182"/>
      <c r="G328" s="183">
        <f t="shared" si="90"/>
        <v>0</v>
      </c>
      <c r="H328" s="183"/>
      <c r="I328" s="182"/>
      <c r="J328" s="182"/>
      <c r="K328" s="182"/>
      <c r="L328" s="182"/>
      <c r="M328" s="182"/>
      <c r="N328" s="182"/>
      <c r="O328" s="182"/>
      <c r="P328" s="182"/>
      <c r="Q328" s="182"/>
    </row>
    <row r="329" spans="1:17" hidden="1" x14ac:dyDescent="0.25">
      <c r="A329" s="202">
        <v>5252</v>
      </c>
      <c r="B329" s="165">
        <v>434200</v>
      </c>
      <c r="C329" s="166" t="s">
        <v>282</v>
      </c>
      <c r="D329" s="166"/>
      <c r="E329" s="182"/>
      <c r="F329" s="182"/>
      <c r="G329" s="183">
        <f t="shared" si="90"/>
        <v>0</v>
      </c>
      <c r="H329" s="183"/>
      <c r="I329" s="182"/>
      <c r="J329" s="182"/>
      <c r="K329" s="182"/>
      <c r="L329" s="182"/>
      <c r="M329" s="182"/>
      <c r="N329" s="182"/>
      <c r="O329" s="182"/>
      <c r="P329" s="182"/>
      <c r="Q329" s="182"/>
    </row>
    <row r="330" spans="1:17" hidden="1" x14ac:dyDescent="0.25">
      <c r="A330" s="202">
        <v>5253</v>
      </c>
      <c r="B330" s="165">
        <v>434300</v>
      </c>
      <c r="C330" s="166" t="s">
        <v>283</v>
      </c>
      <c r="D330" s="166"/>
      <c r="E330" s="182"/>
      <c r="F330" s="182"/>
      <c r="G330" s="183">
        <f t="shared" si="90"/>
        <v>0</v>
      </c>
      <c r="H330" s="183"/>
      <c r="I330" s="182"/>
      <c r="J330" s="182"/>
      <c r="K330" s="182"/>
      <c r="L330" s="182"/>
      <c r="M330" s="182"/>
      <c r="N330" s="182"/>
      <c r="O330" s="182"/>
      <c r="P330" s="182"/>
      <c r="Q330" s="182"/>
    </row>
    <row r="331" spans="1:17" ht="39" hidden="1" x14ac:dyDescent="0.25">
      <c r="A331" s="244">
        <v>5254</v>
      </c>
      <c r="B331" s="235">
        <v>435000</v>
      </c>
      <c r="C331" s="158" t="s">
        <v>284</v>
      </c>
      <c r="D331" s="158"/>
      <c r="E331" s="159">
        <f>E332</f>
        <v>0</v>
      </c>
      <c r="F331" s="159"/>
      <c r="G331" s="159">
        <f t="shared" si="90"/>
        <v>0</v>
      </c>
      <c r="H331" s="159"/>
      <c r="I331" s="159">
        <f t="shared" ref="I331:Q331" si="98">I332</f>
        <v>0</v>
      </c>
      <c r="J331" s="159">
        <f t="shared" si="98"/>
        <v>0</v>
      </c>
      <c r="K331" s="159"/>
      <c r="L331" s="159">
        <f t="shared" si="98"/>
        <v>0</v>
      </c>
      <c r="M331" s="159"/>
      <c r="N331" s="159">
        <f t="shared" si="98"/>
        <v>0</v>
      </c>
      <c r="O331" s="159">
        <f t="shared" si="98"/>
        <v>0</v>
      </c>
      <c r="P331" s="159"/>
      <c r="Q331" s="159">
        <f t="shared" si="98"/>
        <v>0</v>
      </c>
    </row>
    <row r="332" spans="1:17" ht="26.25" hidden="1" x14ac:dyDescent="0.25">
      <c r="A332" s="202">
        <v>5255</v>
      </c>
      <c r="B332" s="165">
        <v>435100</v>
      </c>
      <c r="C332" s="166" t="s">
        <v>285</v>
      </c>
      <c r="D332" s="166"/>
      <c r="E332" s="182"/>
      <c r="F332" s="182"/>
      <c r="G332" s="183">
        <f t="shared" si="90"/>
        <v>0</v>
      </c>
      <c r="H332" s="183"/>
      <c r="I332" s="182"/>
      <c r="J332" s="182"/>
      <c r="K332" s="182"/>
      <c r="L332" s="182"/>
      <c r="M332" s="182"/>
      <c r="N332" s="182"/>
      <c r="O332" s="182"/>
      <c r="P332" s="182"/>
      <c r="Q332" s="182"/>
    </row>
    <row r="333" spans="1:17" ht="51.75" x14ac:dyDescent="0.25">
      <c r="A333" s="244">
        <v>5256</v>
      </c>
      <c r="B333" s="235">
        <v>440000</v>
      </c>
      <c r="C333" s="158" t="s">
        <v>286</v>
      </c>
      <c r="D333" s="158"/>
      <c r="E333" s="159">
        <f>E334+E344+E355+E357</f>
        <v>275</v>
      </c>
      <c r="F333" s="159">
        <f t="shared" ref="F333:Q333" si="99">F334+F344+F355+F357</f>
        <v>1631</v>
      </c>
      <c r="G333" s="159">
        <f t="shared" si="99"/>
        <v>251</v>
      </c>
      <c r="H333" s="159">
        <f t="shared" si="99"/>
        <v>0</v>
      </c>
      <c r="I333" s="159">
        <f t="shared" si="99"/>
        <v>0</v>
      </c>
      <c r="J333" s="159">
        <f t="shared" si="99"/>
        <v>0</v>
      </c>
      <c r="K333" s="159">
        <f t="shared" si="99"/>
        <v>0</v>
      </c>
      <c r="L333" s="159">
        <f t="shared" si="99"/>
        <v>0</v>
      </c>
      <c r="M333" s="159">
        <f t="shared" si="99"/>
        <v>0</v>
      </c>
      <c r="N333" s="159">
        <f t="shared" si="99"/>
        <v>0</v>
      </c>
      <c r="O333" s="159">
        <f t="shared" si="99"/>
        <v>0</v>
      </c>
      <c r="P333" s="159">
        <f t="shared" si="99"/>
        <v>1631</v>
      </c>
      <c r="Q333" s="159">
        <f t="shared" si="99"/>
        <v>251</v>
      </c>
    </row>
    <row r="334" spans="1:17" ht="26.25" x14ac:dyDescent="0.25">
      <c r="A334" s="244">
        <v>5257</v>
      </c>
      <c r="B334" s="235">
        <v>441000</v>
      </c>
      <c r="C334" s="158" t="s">
        <v>287</v>
      </c>
      <c r="D334" s="158"/>
      <c r="E334" s="159">
        <f>SUM(E335:E343)</f>
        <v>275</v>
      </c>
      <c r="F334" s="159">
        <f t="shared" ref="F334:Q334" si="100">SUM(F335:F343)</f>
        <v>1631</v>
      </c>
      <c r="G334" s="159">
        <f t="shared" si="100"/>
        <v>251</v>
      </c>
      <c r="H334" s="159">
        <f t="shared" si="100"/>
        <v>0</v>
      </c>
      <c r="I334" s="159">
        <f t="shared" si="100"/>
        <v>0</v>
      </c>
      <c r="J334" s="159">
        <f t="shared" si="100"/>
        <v>0</v>
      </c>
      <c r="K334" s="159">
        <f t="shared" si="100"/>
        <v>0</v>
      </c>
      <c r="L334" s="159">
        <f t="shared" si="100"/>
        <v>0</v>
      </c>
      <c r="M334" s="159">
        <f t="shared" si="100"/>
        <v>0</v>
      </c>
      <c r="N334" s="159">
        <f t="shared" si="100"/>
        <v>0</v>
      </c>
      <c r="O334" s="159">
        <f t="shared" si="100"/>
        <v>0</v>
      </c>
      <c r="P334" s="159">
        <f t="shared" si="100"/>
        <v>1631</v>
      </c>
      <c r="Q334" s="159">
        <f t="shared" si="100"/>
        <v>251</v>
      </c>
    </row>
    <row r="335" spans="1:17" ht="26.25" hidden="1" x14ac:dyDescent="0.25">
      <c r="A335" s="202">
        <v>5258</v>
      </c>
      <c r="B335" s="165">
        <v>441100</v>
      </c>
      <c r="C335" s="166" t="s">
        <v>288</v>
      </c>
      <c r="D335" s="166"/>
      <c r="E335" s="182"/>
      <c r="F335" s="182"/>
      <c r="G335" s="183">
        <f t="shared" si="90"/>
        <v>0</v>
      </c>
      <c r="H335" s="183"/>
      <c r="I335" s="182"/>
      <c r="J335" s="182"/>
      <c r="K335" s="182"/>
      <c r="L335" s="182"/>
      <c r="M335" s="182"/>
      <c r="N335" s="182"/>
      <c r="O335" s="182"/>
      <c r="P335" s="182"/>
      <c r="Q335" s="182"/>
    </row>
    <row r="336" spans="1:17" ht="26.25" hidden="1" x14ac:dyDescent="0.25">
      <c r="A336" s="202">
        <v>5259</v>
      </c>
      <c r="B336" s="165">
        <v>441200</v>
      </c>
      <c r="C336" s="166" t="s">
        <v>289</v>
      </c>
      <c r="D336" s="166"/>
      <c r="E336" s="182"/>
      <c r="F336" s="182"/>
      <c r="G336" s="183">
        <f t="shared" si="90"/>
        <v>0</v>
      </c>
      <c r="H336" s="183"/>
      <c r="I336" s="182"/>
      <c r="J336" s="182"/>
      <c r="K336" s="182"/>
      <c r="L336" s="182"/>
      <c r="M336" s="182"/>
      <c r="N336" s="182"/>
      <c r="O336" s="182"/>
      <c r="P336" s="182"/>
      <c r="Q336" s="182"/>
    </row>
    <row r="337" spans="1:17" ht="26.25" hidden="1" x14ac:dyDescent="0.25">
      <c r="A337" s="202">
        <v>5260</v>
      </c>
      <c r="B337" s="165">
        <v>441300</v>
      </c>
      <c r="C337" s="166" t="s">
        <v>290</v>
      </c>
      <c r="D337" s="166"/>
      <c r="E337" s="182"/>
      <c r="F337" s="182"/>
      <c r="G337" s="183">
        <f t="shared" si="90"/>
        <v>0</v>
      </c>
      <c r="H337" s="183"/>
      <c r="I337" s="182"/>
      <c r="J337" s="182"/>
      <c r="K337" s="182"/>
      <c r="L337" s="182"/>
      <c r="M337" s="182"/>
      <c r="N337" s="182"/>
      <c r="O337" s="182"/>
      <c r="P337" s="182"/>
      <c r="Q337" s="182"/>
    </row>
    <row r="338" spans="1:17" ht="26.25" hidden="1" x14ac:dyDescent="0.25">
      <c r="A338" s="202">
        <v>5261</v>
      </c>
      <c r="B338" s="165">
        <v>441400</v>
      </c>
      <c r="C338" s="166" t="s">
        <v>291</v>
      </c>
      <c r="D338" s="166"/>
      <c r="E338" s="182"/>
      <c r="F338" s="182"/>
      <c r="G338" s="183">
        <f t="shared" si="90"/>
        <v>0</v>
      </c>
      <c r="H338" s="183"/>
      <c r="I338" s="182"/>
      <c r="J338" s="182"/>
      <c r="K338" s="182"/>
      <c r="L338" s="182"/>
      <c r="M338" s="182"/>
      <c r="N338" s="182"/>
      <c r="O338" s="182"/>
      <c r="P338" s="182"/>
      <c r="Q338" s="182"/>
    </row>
    <row r="339" spans="1:17" ht="26.25" x14ac:dyDescent="0.25">
      <c r="A339" s="202">
        <v>5262</v>
      </c>
      <c r="B339" s="165">
        <v>441500</v>
      </c>
      <c r="C339" s="166" t="s">
        <v>292</v>
      </c>
      <c r="D339" s="166"/>
      <c r="E339" s="182">
        <v>275</v>
      </c>
      <c r="F339" s="182">
        <f>H339+K339+M339+P339</f>
        <v>1631</v>
      </c>
      <c r="G339" s="183">
        <f t="shared" ref="G339" si="101">SUM(I339:Q339)-K339-M339-P339</f>
        <v>251</v>
      </c>
      <c r="H339" s="183"/>
      <c r="I339" s="182"/>
      <c r="J339" s="182"/>
      <c r="K339" s="182"/>
      <c r="L339" s="182"/>
      <c r="M339" s="182"/>
      <c r="N339" s="182"/>
      <c r="O339" s="182"/>
      <c r="P339" s="182">
        <f>681+950</f>
        <v>1631</v>
      </c>
      <c r="Q339" s="182">
        <v>251</v>
      </c>
    </row>
    <row r="340" spans="1:17" ht="26.25" hidden="1" x14ac:dyDescent="0.25">
      <c r="A340" s="202">
        <v>5263</v>
      </c>
      <c r="B340" s="165">
        <v>441600</v>
      </c>
      <c r="C340" s="166" t="s">
        <v>293</v>
      </c>
      <c r="D340" s="166"/>
      <c r="E340" s="182"/>
      <c r="F340" s="182"/>
      <c r="G340" s="183">
        <f t="shared" si="90"/>
        <v>0</v>
      </c>
      <c r="H340" s="183"/>
      <c r="I340" s="182"/>
      <c r="J340" s="182"/>
      <c r="K340" s="182"/>
      <c r="L340" s="182"/>
      <c r="M340" s="182"/>
      <c r="N340" s="182"/>
      <c r="O340" s="182"/>
      <c r="P340" s="182"/>
      <c r="Q340" s="182"/>
    </row>
    <row r="341" spans="1:17" ht="26.25" hidden="1" x14ac:dyDescent="0.25">
      <c r="A341" s="202">
        <v>5264</v>
      </c>
      <c r="B341" s="165">
        <v>441700</v>
      </c>
      <c r="C341" s="166" t="s">
        <v>294</v>
      </c>
      <c r="D341" s="166"/>
      <c r="E341" s="182"/>
      <c r="F341" s="182"/>
      <c r="G341" s="183">
        <f t="shared" si="90"/>
        <v>0</v>
      </c>
      <c r="H341" s="183"/>
      <c r="I341" s="182"/>
      <c r="J341" s="182"/>
      <c r="K341" s="182"/>
      <c r="L341" s="182"/>
      <c r="M341" s="182"/>
      <c r="N341" s="182"/>
      <c r="O341" s="182"/>
      <c r="P341" s="182"/>
      <c r="Q341" s="182"/>
    </row>
    <row r="342" spans="1:17" ht="26.25" hidden="1" x14ac:dyDescent="0.25">
      <c r="A342" s="202">
        <v>5265</v>
      </c>
      <c r="B342" s="165">
        <v>441800</v>
      </c>
      <c r="C342" s="166" t="s">
        <v>295</v>
      </c>
      <c r="D342" s="166"/>
      <c r="E342" s="182"/>
      <c r="F342" s="182"/>
      <c r="G342" s="183">
        <f t="shared" si="90"/>
        <v>0</v>
      </c>
      <c r="H342" s="183"/>
      <c r="I342" s="182"/>
      <c r="J342" s="182"/>
      <c r="K342" s="182"/>
      <c r="L342" s="182"/>
      <c r="M342" s="182"/>
      <c r="N342" s="182"/>
      <c r="O342" s="182"/>
      <c r="P342" s="182"/>
      <c r="Q342" s="182"/>
    </row>
    <row r="343" spans="1:17" ht="26.25" hidden="1" x14ac:dyDescent="0.25">
      <c r="A343" s="202">
        <v>5266</v>
      </c>
      <c r="B343" s="165">
        <v>441900</v>
      </c>
      <c r="C343" s="166" t="s">
        <v>99</v>
      </c>
      <c r="D343" s="166"/>
      <c r="E343" s="182"/>
      <c r="F343" s="182"/>
      <c r="G343" s="183">
        <f t="shared" si="90"/>
        <v>0</v>
      </c>
      <c r="H343" s="183"/>
      <c r="I343" s="182"/>
      <c r="J343" s="182"/>
      <c r="K343" s="182"/>
      <c r="L343" s="182"/>
      <c r="M343" s="182"/>
      <c r="N343" s="182"/>
      <c r="O343" s="182"/>
      <c r="P343" s="182"/>
      <c r="Q343" s="182"/>
    </row>
    <row r="344" spans="1:17" ht="26.25" hidden="1" x14ac:dyDescent="0.25">
      <c r="A344" s="244">
        <v>5267</v>
      </c>
      <c r="B344" s="235">
        <v>442000</v>
      </c>
      <c r="C344" s="158" t="s">
        <v>296</v>
      </c>
      <c r="D344" s="158"/>
      <c r="E344" s="159">
        <f>SUM(E345:E354)</f>
        <v>0</v>
      </c>
      <c r="F344" s="159"/>
      <c r="G344" s="159">
        <f t="shared" si="90"/>
        <v>0</v>
      </c>
      <c r="H344" s="159"/>
      <c r="I344" s="159">
        <f t="shared" ref="I344:Q344" si="102">SUM(I345:I354)</f>
        <v>0</v>
      </c>
      <c r="J344" s="159">
        <f t="shared" si="102"/>
        <v>0</v>
      </c>
      <c r="K344" s="159"/>
      <c r="L344" s="159">
        <f t="shared" si="102"/>
        <v>0</v>
      </c>
      <c r="M344" s="159"/>
      <c r="N344" s="159">
        <f t="shared" si="102"/>
        <v>0</v>
      </c>
      <c r="O344" s="159">
        <f t="shared" si="102"/>
        <v>0</v>
      </c>
      <c r="P344" s="159"/>
      <c r="Q344" s="159">
        <f t="shared" si="102"/>
        <v>0</v>
      </c>
    </row>
    <row r="345" spans="1:17" ht="51.75" hidden="1" x14ac:dyDescent="0.25">
      <c r="A345" s="202">
        <v>5268</v>
      </c>
      <c r="B345" s="165">
        <v>442100</v>
      </c>
      <c r="C345" s="166" t="s">
        <v>297</v>
      </c>
      <c r="D345" s="166"/>
      <c r="E345" s="182"/>
      <c r="F345" s="182"/>
      <c r="G345" s="183">
        <f t="shared" si="90"/>
        <v>0</v>
      </c>
      <c r="H345" s="183"/>
      <c r="I345" s="182"/>
      <c r="J345" s="182"/>
      <c r="K345" s="182"/>
      <c r="L345" s="182"/>
      <c r="M345" s="182"/>
      <c r="N345" s="182"/>
      <c r="O345" s="182"/>
      <c r="P345" s="182"/>
      <c r="Q345" s="182"/>
    </row>
    <row r="346" spans="1:17" hidden="1" x14ac:dyDescent="0.25">
      <c r="A346" s="202">
        <v>5269</v>
      </c>
      <c r="B346" s="165">
        <v>442200</v>
      </c>
      <c r="C346" s="166" t="s">
        <v>298</v>
      </c>
      <c r="D346" s="166"/>
      <c r="E346" s="182"/>
      <c r="F346" s="182"/>
      <c r="G346" s="183">
        <f t="shared" si="90"/>
        <v>0</v>
      </c>
      <c r="H346" s="183"/>
      <c r="I346" s="182"/>
      <c r="J346" s="182"/>
      <c r="K346" s="182"/>
      <c r="L346" s="182"/>
      <c r="M346" s="182"/>
      <c r="N346" s="182"/>
      <c r="O346" s="182"/>
      <c r="P346" s="182"/>
      <c r="Q346" s="182"/>
    </row>
    <row r="347" spans="1:17" ht="26.25" hidden="1" x14ac:dyDescent="0.25">
      <c r="A347" s="202">
        <v>5270</v>
      </c>
      <c r="B347" s="165">
        <v>442300</v>
      </c>
      <c r="C347" s="166" t="s">
        <v>299</v>
      </c>
      <c r="D347" s="166"/>
      <c r="E347" s="182"/>
      <c r="F347" s="182"/>
      <c r="G347" s="183">
        <f t="shared" si="90"/>
        <v>0</v>
      </c>
      <c r="H347" s="183"/>
      <c r="I347" s="182"/>
      <c r="J347" s="182"/>
      <c r="K347" s="182"/>
      <c r="L347" s="182"/>
      <c r="M347" s="182"/>
      <c r="N347" s="182"/>
      <c r="O347" s="182"/>
      <c r="P347" s="182"/>
      <c r="Q347" s="182"/>
    </row>
    <row r="348" spans="1:17" ht="26.25" hidden="1" x14ac:dyDescent="0.25">
      <c r="A348" s="202">
        <v>5271</v>
      </c>
      <c r="B348" s="165">
        <v>442400</v>
      </c>
      <c r="C348" s="166" t="s">
        <v>300</v>
      </c>
      <c r="D348" s="166"/>
      <c r="E348" s="182"/>
      <c r="F348" s="182"/>
      <c r="G348" s="183">
        <f t="shared" si="90"/>
        <v>0</v>
      </c>
      <c r="H348" s="183"/>
      <c r="I348" s="182"/>
      <c r="J348" s="182"/>
      <c r="K348" s="182"/>
      <c r="L348" s="182"/>
      <c r="M348" s="182"/>
      <c r="N348" s="182"/>
      <c r="O348" s="182"/>
      <c r="P348" s="182"/>
      <c r="Q348" s="182"/>
    </row>
    <row r="349" spans="1:17" hidden="1" x14ac:dyDescent="0.25">
      <c r="A349" s="598" t="s">
        <v>0</v>
      </c>
      <c r="B349" s="599" t="s">
        <v>1</v>
      </c>
      <c r="C349" s="598" t="s">
        <v>2</v>
      </c>
      <c r="D349" s="243"/>
      <c r="E349" s="598" t="s">
        <v>217</v>
      </c>
      <c r="F349" s="243"/>
      <c r="G349" s="600" t="s">
        <v>198</v>
      </c>
      <c r="H349" s="600"/>
      <c r="I349" s="601"/>
      <c r="J349" s="601"/>
      <c r="K349" s="601"/>
      <c r="L349" s="601"/>
      <c r="M349" s="601"/>
      <c r="N349" s="601"/>
      <c r="O349" s="601"/>
      <c r="P349" s="601"/>
      <c r="Q349" s="601"/>
    </row>
    <row r="350" spans="1:17" hidden="1" x14ac:dyDescent="0.25">
      <c r="A350" s="598"/>
      <c r="B350" s="599"/>
      <c r="C350" s="598"/>
      <c r="D350" s="243"/>
      <c r="E350" s="598"/>
      <c r="F350" s="243"/>
      <c r="G350" s="600" t="s">
        <v>199</v>
      </c>
      <c r="H350" s="235"/>
      <c r="I350" s="600" t="s">
        <v>200</v>
      </c>
      <c r="J350" s="601"/>
      <c r="K350" s="601"/>
      <c r="L350" s="601"/>
      <c r="M350" s="601"/>
      <c r="N350" s="601"/>
      <c r="O350" s="600" t="s">
        <v>7</v>
      </c>
      <c r="P350" s="235"/>
      <c r="Q350" s="600" t="s">
        <v>8</v>
      </c>
    </row>
    <row r="351" spans="1:17" ht="39" hidden="1" x14ac:dyDescent="0.25">
      <c r="A351" s="598"/>
      <c r="B351" s="599"/>
      <c r="C351" s="598"/>
      <c r="D351" s="243"/>
      <c r="E351" s="598"/>
      <c r="F351" s="243"/>
      <c r="G351" s="601"/>
      <c r="H351" s="245"/>
      <c r="I351" s="235" t="s">
        <v>201</v>
      </c>
      <c r="J351" s="235" t="s">
        <v>10</v>
      </c>
      <c r="K351" s="235"/>
      <c r="L351" s="235" t="s">
        <v>11</v>
      </c>
      <c r="M351" s="235"/>
      <c r="N351" s="235" t="s">
        <v>12</v>
      </c>
      <c r="O351" s="601"/>
      <c r="P351" s="245"/>
      <c r="Q351" s="601"/>
    </row>
    <row r="352" spans="1:17" ht="26.25" hidden="1" x14ac:dyDescent="0.25">
      <c r="A352" s="242" t="s">
        <v>18</v>
      </c>
      <c r="B352" s="242" t="s">
        <v>19</v>
      </c>
      <c r="C352" s="242" t="s">
        <v>20</v>
      </c>
      <c r="D352" s="242"/>
      <c r="E352" s="242" t="s">
        <v>21</v>
      </c>
      <c r="F352" s="242"/>
      <c r="G352" s="242" t="s">
        <v>22</v>
      </c>
      <c r="H352" s="242"/>
      <c r="I352" s="242" t="s">
        <v>23</v>
      </c>
      <c r="J352" s="242" t="s">
        <v>24</v>
      </c>
      <c r="K352" s="242"/>
      <c r="L352" s="242" t="s">
        <v>25</v>
      </c>
      <c r="M352" s="242"/>
      <c r="N352" s="242" t="s">
        <v>26</v>
      </c>
      <c r="O352" s="242" t="s">
        <v>27</v>
      </c>
      <c r="P352" s="242"/>
      <c r="Q352" s="242" t="s">
        <v>28</v>
      </c>
    </row>
    <row r="353" spans="1:17" ht="26.25" hidden="1" x14ac:dyDescent="0.25">
      <c r="A353" s="202">
        <v>5272</v>
      </c>
      <c r="B353" s="165">
        <v>442500</v>
      </c>
      <c r="C353" s="166" t="s">
        <v>301</v>
      </c>
      <c r="D353" s="166"/>
      <c r="E353" s="182"/>
      <c r="F353" s="182"/>
      <c r="G353" s="183">
        <f t="shared" si="90"/>
        <v>0</v>
      </c>
      <c r="H353" s="183"/>
      <c r="I353" s="182"/>
      <c r="J353" s="182"/>
      <c r="K353" s="182"/>
      <c r="L353" s="182"/>
      <c r="M353" s="182"/>
      <c r="N353" s="182"/>
      <c r="O353" s="182"/>
      <c r="P353" s="182"/>
      <c r="Q353" s="182"/>
    </row>
    <row r="354" spans="1:17" ht="26.25" hidden="1" x14ac:dyDescent="0.25">
      <c r="A354" s="202">
        <v>5273</v>
      </c>
      <c r="B354" s="165">
        <v>442600</v>
      </c>
      <c r="C354" s="166" t="s">
        <v>302</v>
      </c>
      <c r="D354" s="166"/>
      <c r="E354" s="182"/>
      <c r="F354" s="182"/>
      <c r="G354" s="183">
        <f t="shared" si="90"/>
        <v>0</v>
      </c>
      <c r="H354" s="183"/>
      <c r="I354" s="182"/>
      <c r="J354" s="182"/>
      <c r="K354" s="182"/>
      <c r="L354" s="182"/>
      <c r="M354" s="182"/>
      <c r="N354" s="182"/>
      <c r="O354" s="182"/>
      <c r="P354" s="182"/>
      <c r="Q354" s="182"/>
    </row>
    <row r="355" spans="1:17" ht="26.25" hidden="1" x14ac:dyDescent="0.25">
      <c r="A355" s="244">
        <v>5274</v>
      </c>
      <c r="B355" s="235">
        <v>443000</v>
      </c>
      <c r="C355" s="158" t="s">
        <v>303</v>
      </c>
      <c r="D355" s="158"/>
      <c r="E355" s="159">
        <f>E356</f>
        <v>0</v>
      </c>
      <c r="F355" s="159"/>
      <c r="G355" s="159">
        <f t="shared" si="90"/>
        <v>0</v>
      </c>
      <c r="H355" s="159"/>
      <c r="I355" s="159">
        <f t="shared" ref="I355:Q355" si="103">I356</f>
        <v>0</v>
      </c>
      <c r="J355" s="159">
        <f t="shared" si="103"/>
        <v>0</v>
      </c>
      <c r="K355" s="159"/>
      <c r="L355" s="159">
        <f t="shared" si="103"/>
        <v>0</v>
      </c>
      <c r="M355" s="159"/>
      <c r="N355" s="159">
        <f t="shared" si="103"/>
        <v>0</v>
      </c>
      <c r="O355" s="159">
        <f t="shared" si="103"/>
        <v>0</v>
      </c>
      <c r="P355" s="159"/>
      <c r="Q355" s="159">
        <f t="shared" si="103"/>
        <v>0</v>
      </c>
    </row>
    <row r="356" spans="1:17" hidden="1" x14ac:dyDescent="0.25">
      <c r="A356" s="202">
        <v>5275</v>
      </c>
      <c r="B356" s="165">
        <v>443100</v>
      </c>
      <c r="C356" s="166" t="s">
        <v>304</v>
      </c>
      <c r="D356" s="166"/>
      <c r="E356" s="182"/>
      <c r="F356" s="182"/>
      <c r="G356" s="183">
        <f t="shared" si="90"/>
        <v>0</v>
      </c>
      <c r="H356" s="183"/>
      <c r="I356" s="182"/>
      <c r="J356" s="182"/>
      <c r="K356" s="182"/>
      <c r="L356" s="182"/>
      <c r="M356" s="182"/>
      <c r="N356" s="182"/>
      <c r="O356" s="182"/>
      <c r="P356" s="182"/>
      <c r="Q356" s="182"/>
    </row>
    <row r="357" spans="1:17" ht="39" hidden="1" x14ac:dyDescent="0.25">
      <c r="A357" s="244">
        <v>5276</v>
      </c>
      <c r="B357" s="235">
        <v>444000</v>
      </c>
      <c r="C357" s="158" t="s">
        <v>305</v>
      </c>
      <c r="D357" s="158"/>
      <c r="E357" s="159">
        <f>SUM(E358:E360)</f>
        <v>0</v>
      </c>
      <c r="F357" s="159"/>
      <c r="G357" s="159">
        <f t="shared" si="90"/>
        <v>0</v>
      </c>
      <c r="H357" s="159"/>
      <c r="I357" s="159">
        <f t="shared" ref="I357:Q357" si="104">SUM(I358:I360)</f>
        <v>0</v>
      </c>
      <c r="J357" s="159">
        <f t="shared" si="104"/>
        <v>0</v>
      </c>
      <c r="K357" s="159"/>
      <c r="L357" s="159">
        <f t="shared" si="104"/>
        <v>0</v>
      </c>
      <c r="M357" s="159"/>
      <c r="N357" s="159">
        <f t="shared" si="104"/>
        <v>0</v>
      </c>
      <c r="O357" s="159">
        <f t="shared" si="104"/>
        <v>0</v>
      </c>
      <c r="P357" s="159"/>
      <c r="Q357" s="159">
        <f t="shared" si="104"/>
        <v>0</v>
      </c>
    </row>
    <row r="358" spans="1:17" hidden="1" x14ac:dyDescent="0.25">
      <c r="A358" s="202">
        <v>5277</v>
      </c>
      <c r="B358" s="165">
        <v>444100</v>
      </c>
      <c r="C358" s="166" t="s">
        <v>306</v>
      </c>
      <c r="D358" s="166"/>
      <c r="E358" s="182"/>
      <c r="F358" s="182"/>
      <c r="G358" s="183">
        <f t="shared" si="90"/>
        <v>0</v>
      </c>
      <c r="H358" s="183"/>
      <c r="I358" s="182"/>
      <c r="J358" s="182"/>
      <c r="K358" s="182"/>
      <c r="L358" s="182"/>
      <c r="M358" s="182"/>
      <c r="N358" s="182"/>
      <c r="O358" s="182"/>
      <c r="P358" s="182"/>
      <c r="Q358" s="182"/>
    </row>
    <row r="359" spans="1:17" hidden="1" x14ac:dyDescent="0.25">
      <c r="A359" s="202">
        <v>5278</v>
      </c>
      <c r="B359" s="165">
        <v>444200</v>
      </c>
      <c r="C359" s="166" t="s">
        <v>307</v>
      </c>
      <c r="D359" s="166"/>
      <c r="E359" s="182"/>
      <c r="F359" s="182"/>
      <c r="G359" s="183">
        <f t="shared" si="90"/>
        <v>0</v>
      </c>
      <c r="H359" s="183"/>
      <c r="I359" s="182"/>
      <c r="J359" s="182"/>
      <c r="K359" s="182"/>
      <c r="L359" s="182"/>
      <c r="M359" s="182"/>
      <c r="N359" s="182"/>
      <c r="O359" s="182"/>
      <c r="P359" s="182"/>
      <c r="Q359" s="182"/>
    </row>
    <row r="360" spans="1:17" ht="26.25" hidden="1" x14ac:dyDescent="0.25">
      <c r="A360" s="202">
        <v>5279</v>
      </c>
      <c r="B360" s="165">
        <v>444300</v>
      </c>
      <c r="C360" s="166" t="s">
        <v>308</v>
      </c>
      <c r="D360" s="166"/>
      <c r="E360" s="182"/>
      <c r="F360" s="182"/>
      <c r="G360" s="183">
        <f t="shared" si="90"/>
        <v>0</v>
      </c>
      <c r="H360" s="183"/>
      <c r="I360" s="182"/>
      <c r="J360" s="182"/>
      <c r="K360" s="182"/>
      <c r="L360" s="182"/>
      <c r="M360" s="182"/>
      <c r="N360" s="182"/>
      <c r="O360" s="182"/>
      <c r="P360" s="182"/>
      <c r="Q360" s="182"/>
    </row>
    <row r="361" spans="1:17" ht="26.25" hidden="1" x14ac:dyDescent="0.25">
      <c r="A361" s="244">
        <v>5280</v>
      </c>
      <c r="B361" s="235">
        <v>450000</v>
      </c>
      <c r="C361" s="158" t="s">
        <v>309</v>
      </c>
      <c r="D361" s="158"/>
      <c r="E361" s="159">
        <f>E362+E365+E368+E371</f>
        <v>0</v>
      </c>
      <c r="F361" s="159"/>
      <c r="G361" s="159">
        <f t="shared" si="90"/>
        <v>0</v>
      </c>
      <c r="H361" s="159"/>
      <c r="I361" s="159">
        <f t="shared" ref="I361:Q361" si="105">I362+I365+I368+I371</f>
        <v>0</v>
      </c>
      <c r="J361" s="159">
        <f t="shared" si="105"/>
        <v>0</v>
      </c>
      <c r="K361" s="159"/>
      <c r="L361" s="159">
        <f t="shared" si="105"/>
        <v>0</v>
      </c>
      <c r="M361" s="159"/>
      <c r="N361" s="159">
        <f t="shared" si="105"/>
        <v>0</v>
      </c>
      <c r="O361" s="159">
        <f t="shared" si="105"/>
        <v>0</v>
      </c>
      <c r="P361" s="159"/>
      <c r="Q361" s="159">
        <f t="shared" si="105"/>
        <v>0</v>
      </c>
    </row>
    <row r="362" spans="1:17" ht="64.5" hidden="1" x14ac:dyDescent="0.25">
      <c r="A362" s="244">
        <v>5281</v>
      </c>
      <c r="B362" s="235">
        <v>451000</v>
      </c>
      <c r="C362" s="158" t="s">
        <v>310</v>
      </c>
      <c r="D362" s="158"/>
      <c r="E362" s="159">
        <f>E363+E364</f>
        <v>0</v>
      </c>
      <c r="F362" s="159"/>
      <c r="G362" s="159">
        <f t="shared" si="90"/>
        <v>0</v>
      </c>
      <c r="H362" s="159"/>
      <c r="I362" s="159">
        <f t="shared" ref="I362:Q362" si="106">I363+I364</f>
        <v>0</v>
      </c>
      <c r="J362" s="159">
        <f t="shared" si="106"/>
        <v>0</v>
      </c>
      <c r="K362" s="159"/>
      <c r="L362" s="159">
        <f t="shared" si="106"/>
        <v>0</v>
      </c>
      <c r="M362" s="159"/>
      <c r="N362" s="159">
        <f t="shared" si="106"/>
        <v>0</v>
      </c>
      <c r="O362" s="159">
        <f t="shared" si="106"/>
        <v>0</v>
      </c>
      <c r="P362" s="159"/>
      <c r="Q362" s="159">
        <f t="shared" si="106"/>
        <v>0</v>
      </c>
    </row>
    <row r="363" spans="1:17" ht="39" hidden="1" x14ac:dyDescent="0.25">
      <c r="A363" s="202">
        <v>5282</v>
      </c>
      <c r="B363" s="165">
        <v>451100</v>
      </c>
      <c r="C363" s="166" t="s">
        <v>311</v>
      </c>
      <c r="D363" s="166"/>
      <c r="E363" s="182"/>
      <c r="F363" s="182"/>
      <c r="G363" s="183">
        <f t="shared" si="90"/>
        <v>0</v>
      </c>
      <c r="H363" s="183"/>
      <c r="I363" s="182"/>
      <c r="J363" s="182"/>
      <c r="K363" s="182"/>
      <c r="L363" s="182"/>
      <c r="M363" s="182"/>
      <c r="N363" s="182"/>
      <c r="O363" s="182"/>
      <c r="P363" s="182"/>
      <c r="Q363" s="182"/>
    </row>
    <row r="364" spans="1:17" ht="39" hidden="1" x14ac:dyDescent="0.25">
      <c r="A364" s="202">
        <v>5283</v>
      </c>
      <c r="B364" s="165">
        <v>451200</v>
      </c>
      <c r="C364" s="166" t="s">
        <v>312</v>
      </c>
      <c r="D364" s="166"/>
      <c r="E364" s="182"/>
      <c r="F364" s="182"/>
      <c r="G364" s="183">
        <f t="shared" si="90"/>
        <v>0</v>
      </c>
      <c r="H364" s="183"/>
      <c r="I364" s="182"/>
      <c r="J364" s="182"/>
      <c r="K364" s="182"/>
      <c r="L364" s="182"/>
      <c r="M364" s="182"/>
      <c r="N364" s="182"/>
      <c r="O364" s="182"/>
      <c r="P364" s="182"/>
      <c r="Q364" s="182"/>
    </row>
    <row r="365" spans="1:17" ht="51.75" hidden="1" x14ac:dyDescent="0.25">
      <c r="A365" s="244">
        <v>5284</v>
      </c>
      <c r="B365" s="235">
        <v>452000</v>
      </c>
      <c r="C365" s="158" t="s">
        <v>313</v>
      </c>
      <c r="D365" s="158"/>
      <c r="E365" s="159">
        <f>E366+E367</f>
        <v>0</v>
      </c>
      <c r="F365" s="159"/>
      <c r="G365" s="159">
        <f t="shared" si="90"/>
        <v>0</v>
      </c>
      <c r="H365" s="159"/>
      <c r="I365" s="159">
        <f t="shared" ref="I365:Q365" si="107">I366+I367</f>
        <v>0</v>
      </c>
      <c r="J365" s="159">
        <f t="shared" si="107"/>
        <v>0</v>
      </c>
      <c r="K365" s="159"/>
      <c r="L365" s="159">
        <f t="shared" si="107"/>
        <v>0</v>
      </c>
      <c r="M365" s="159"/>
      <c r="N365" s="159">
        <f t="shared" si="107"/>
        <v>0</v>
      </c>
      <c r="O365" s="159">
        <f t="shared" si="107"/>
        <v>0</v>
      </c>
      <c r="P365" s="159"/>
      <c r="Q365" s="159">
        <f t="shared" si="107"/>
        <v>0</v>
      </c>
    </row>
    <row r="366" spans="1:17" ht="26.25" hidden="1" x14ac:dyDescent="0.25">
      <c r="A366" s="202">
        <v>5285</v>
      </c>
      <c r="B366" s="165">
        <v>452100</v>
      </c>
      <c r="C366" s="166" t="s">
        <v>314</v>
      </c>
      <c r="D366" s="166"/>
      <c r="E366" s="182"/>
      <c r="F366" s="182"/>
      <c r="G366" s="183">
        <f t="shared" si="90"/>
        <v>0</v>
      </c>
      <c r="H366" s="183"/>
      <c r="I366" s="182"/>
      <c r="J366" s="182"/>
      <c r="K366" s="182"/>
      <c r="L366" s="182"/>
      <c r="M366" s="182"/>
      <c r="N366" s="182"/>
      <c r="O366" s="182"/>
      <c r="P366" s="182"/>
      <c r="Q366" s="182"/>
    </row>
    <row r="367" spans="1:17" ht="26.25" hidden="1" x14ac:dyDescent="0.25">
      <c r="A367" s="202">
        <v>5286</v>
      </c>
      <c r="B367" s="165">
        <v>452200</v>
      </c>
      <c r="C367" s="166" t="s">
        <v>315</v>
      </c>
      <c r="D367" s="166"/>
      <c r="E367" s="182"/>
      <c r="F367" s="182"/>
      <c r="G367" s="183">
        <f t="shared" si="90"/>
        <v>0</v>
      </c>
      <c r="H367" s="183"/>
      <c r="I367" s="182"/>
      <c r="J367" s="182"/>
      <c r="K367" s="182"/>
      <c r="L367" s="182"/>
      <c r="M367" s="182"/>
      <c r="N367" s="182"/>
      <c r="O367" s="182"/>
      <c r="P367" s="182"/>
      <c r="Q367" s="182"/>
    </row>
    <row r="368" spans="1:17" ht="51.75" hidden="1" x14ac:dyDescent="0.25">
      <c r="A368" s="244">
        <v>5287</v>
      </c>
      <c r="B368" s="235">
        <v>453000</v>
      </c>
      <c r="C368" s="158" t="s">
        <v>316</v>
      </c>
      <c r="D368" s="158"/>
      <c r="E368" s="159">
        <f>E369+E370</f>
        <v>0</v>
      </c>
      <c r="F368" s="159"/>
      <c r="G368" s="159">
        <f t="shared" si="90"/>
        <v>0</v>
      </c>
      <c r="H368" s="159"/>
      <c r="I368" s="159">
        <f t="shared" ref="I368:Q368" si="108">I369+I370</f>
        <v>0</v>
      </c>
      <c r="J368" s="159">
        <f t="shared" si="108"/>
        <v>0</v>
      </c>
      <c r="K368" s="159"/>
      <c r="L368" s="159">
        <f t="shared" si="108"/>
        <v>0</v>
      </c>
      <c r="M368" s="159"/>
      <c r="N368" s="159">
        <f t="shared" si="108"/>
        <v>0</v>
      </c>
      <c r="O368" s="159">
        <f t="shared" si="108"/>
        <v>0</v>
      </c>
      <c r="P368" s="159"/>
      <c r="Q368" s="159">
        <f t="shared" si="108"/>
        <v>0</v>
      </c>
    </row>
    <row r="369" spans="1:17" ht="26.25" hidden="1" x14ac:dyDescent="0.25">
      <c r="A369" s="202">
        <v>5288</v>
      </c>
      <c r="B369" s="165">
        <v>453100</v>
      </c>
      <c r="C369" s="166" t="s">
        <v>317</v>
      </c>
      <c r="D369" s="166"/>
      <c r="E369" s="182"/>
      <c r="F369" s="182"/>
      <c r="G369" s="183">
        <f t="shared" si="90"/>
        <v>0</v>
      </c>
      <c r="H369" s="183"/>
      <c r="I369" s="182"/>
      <c r="J369" s="182"/>
      <c r="K369" s="182"/>
      <c r="L369" s="182"/>
      <c r="M369" s="182"/>
      <c r="N369" s="182"/>
      <c r="O369" s="182"/>
      <c r="P369" s="182"/>
      <c r="Q369" s="182"/>
    </row>
    <row r="370" spans="1:17" ht="26.25" hidden="1" x14ac:dyDescent="0.25">
      <c r="A370" s="202">
        <v>5289</v>
      </c>
      <c r="B370" s="165">
        <v>453200</v>
      </c>
      <c r="C370" s="166" t="s">
        <v>318</v>
      </c>
      <c r="D370" s="166"/>
      <c r="E370" s="182"/>
      <c r="F370" s="182"/>
      <c r="G370" s="183">
        <f t="shared" si="90"/>
        <v>0</v>
      </c>
      <c r="H370" s="183"/>
      <c r="I370" s="182"/>
      <c r="J370" s="182"/>
      <c r="K370" s="182"/>
      <c r="L370" s="182"/>
      <c r="M370" s="182"/>
      <c r="N370" s="182"/>
      <c r="O370" s="182"/>
      <c r="P370" s="182"/>
      <c r="Q370" s="182"/>
    </row>
    <row r="371" spans="1:17" ht="26.25" hidden="1" x14ac:dyDescent="0.25">
      <c r="A371" s="244">
        <v>5290</v>
      </c>
      <c r="B371" s="235">
        <v>454000</v>
      </c>
      <c r="C371" s="158" t="s">
        <v>319</v>
      </c>
      <c r="D371" s="158"/>
      <c r="E371" s="159">
        <f>E372+E373</f>
        <v>0</v>
      </c>
      <c r="F371" s="159"/>
      <c r="G371" s="159">
        <f t="shared" si="90"/>
        <v>0</v>
      </c>
      <c r="H371" s="159"/>
      <c r="I371" s="159">
        <f t="shared" ref="I371:Q371" si="109">I372+I373</f>
        <v>0</v>
      </c>
      <c r="J371" s="159">
        <f t="shared" si="109"/>
        <v>0</v>
      </c>
      <c r="K371" s="159"/>
      <c r="L371" s="159">
        <f t="shared" si="109"/>
        <v>0</v>
      </c>
      <c r="M371" s="159"/>
      <c r="N371" s="159">
        <f t="shared" si="109"/>
        <v>0</v>
      </c>
      <c r="O371" s="159">
        <f t="shared" si="109"/>
        <v>0</v>
      </c>
      <c r="P371" s="159"/>
      <c r="Q371" s="159">
        <f t="shared" si="109"/>
        <v>0</v>
      </c>
    </row>
    <row r="372" spans="1:17" ht="26.25" hidden="1" x14ac:dyDescent="0.25">
      <c r="A372" s="202">
        <v>5291</v>
      </c>
      <c r="B372" s="165">
        <v>454100</v>
      </c>
      <c r="C372" s="166" t="s">
        <v>320</v>
      </c>
      <c r="D372" s="166"/>
      <c r="E372" s="182"/>
      <c r="F372" s="182"/>
      <c r="G372" s="183">
        <f t="shared" si="90"/>
        <v>0</v>
      </c>
      <c r="H372" s="183"/>
      <c r="I372" s="182"/>
      <c r="J372" s="182"/>
      <c r="K372" s="182"/>
      <c r="L372" s="182"/>
      <c r="M372" s="182"/>
      <c r="N372" s="182"/>
      <c r="O372" s="182"/>
      <c r="P372" s="182"/>
      <c r="Q372" s="182"/>
    </row>
    <row r="373" spans="1:17" ht="26.25" hidden="1" x14ac:dyDescent="0.25">
      <c r="A373" s="202">
        <v>5292</v>
      </c>
      <c r="B373" s="165">
        <v>454200</v>
      </c>
      <c r="C373" s="166" t="s">
        <v>321</v>
      </c>
      <c r="D373" s="166"/>
      <c r="E373" s="182"/>
      <c r="F373" s="182"/>
      <c r="G373" s="183">
        <f t="shared" si="90"/>
        <v>0</v>
      </c>
      <c r="H373" s="183"/>
      <c r="I373" s="182"/>
      <c r="J373" s="182"/>
      <c r="K373" s="182"/>
      <c r="L373" s="182"/>
      <c r="M373" s="182"/>
      <c r="N373" s="182"/>
      <c r="O373" s="182"/>
      <c r="P373" s="182"/>
      <c r="Q373" s="182"/>
    </row>
    <row r="374" spans="1:17" ht="39" x14ac:dyDescent="0.25">
      <c r="A374" s="244">
        <v>5293</v>
      </c>
      <c r="B374" s="235">
        <v>460000</v>
      </c>
      <c r="C374" s="158" t="s">
        <v>322</v>
      </c>
      <c r="D374" s="158"/>
      <c r="E374" s="159">
        <f>E379+E382+E385+E388+E391</f>
        <v>7410</v>
      </c>
      <c r="F374" s="159">
        <f t="shared" ref="F374:Q374" si="110">F379+F382+F385+F388+F391</f>
        <v>9210</v>
      </c>
      <c r="G374" s="159">
        <f t="shared" si="110"/>
        <v>7410</v>
      </c>
      <c r="H374" s="183">
        <f t="shared" si="110"/>
        <v>0</v>
      </c>
      <c r="I374" s="159">
        <f t="shared" si="110"/>
        <v>0</v>
      </c>
      <c r="J374" s="159">
        <f t="shared" si="110"/>
        <v>0</v>
      </c>
      <c r="K374" s="159">
        <f t="shared" si="110"/>
        <v>0</v>
      </c>
      <c r="L374" s="159">
        <f t="shared" si="110"/>
        <v>0</v>
      </c>
      <c r="M374" s="159">
        <f t="shared" si="110"/>
        <v>9210</v>
      </c>
      <c r="N374" s="159">
        <f t="shared" si="110"/>
        <v>7410</v>
      </c>
      <c r="O374" s="159">
        <f t="shared" si="110"/>
        <v>0</v>
      </c>
      <c r="P374" s="159">
        <f t="shared" si="110"/>
        <v>0</v>
      </c>
      <c r="Q374" s="159">
        <f t="shared" si="110"/>
        <v>0</v>
      </c>
    </row>
    <row r="375" spans="1:17" hidden="1" x14ac:dyDescent="0.25">
      <c r="A375" s="598" t="s">
        <v>0</v>
      </c>
      <c r="B375" s="599" t="s">
        <v>1</v>
      </c>
      <c r="C375" s="598" t="s">
        <v>2</v>
      </c>
      <c r="D375" s="243"/>
      <c r="E375" s="598" t="s">
        <v>217</v>
      </c>
      <c r="F375" s="243"/>
      <c r="G375" s="600" t="s">
        <v>198</v>
      </c>
      <c r="H375" s="600"/>
      <c r="I375" s="601"/>
      <c r="J375" s="601"/>
      <c r="K375" s="601"/>
      <c r="L375" s="601"/>
      <c r="M375" s="601"/>
      <c r="N375" s="601"/>
      <c r="O375" s="601"/>
      <c r="P375" s="601"/>
      <c r="Q375" s="601"/>
    </row>
    <row r="376" spans="1:17" hidden="1" x14ac:dyDescent="0.25">
      <c r="A376" s="598"/>
      <c r="B376" s="599"/>
      <c r="C376" s="598"/>
      <c r="D376" s="243"/>
      <c r="E376" s="598"/>
      <c r="F376" s="243"/>
      <c r="G376" s="600" t="s">
        <v>199</v>
      </c>
      <c r="H376" s="235"/>
      <c r="I376" s="600" t="s">
        <v>200</v>
      </c>
      <c r="J376" s="601"/>
      <c r="K376" s="601"/>
      <c r="L376" s="601"/>
      <c r="M376" s="601"/>
      <c r="N376" s="601"/>
      <c r="O376" s="600" t="s">
        <v>7</v>
      </c>
      <c r="P376" s="235"/>
      <c r="Q376" s="600" t="s">
        <v>8</v>
      </c>
    </row>
    <row r="377" spans="1:17" ht="39" hidden="1" x14ac:dyDescent="0.25">
      <c r="A377" s="598"/>
      <c r="B377" s="599"/>
      <c r="C377" s="598"/>
      <c r="D377" s="243"/>
      <c r="E377" s="598"/>
      <c r="F377" s="243"/>
      <c r="G377" s="601"/>
      <c r="H377" s="245"/>
      <c r="I377" s="235" t="s">
        <v>201</v>
      </c>
      <c r="J377" s="235" t="s">
        <v>10</v>
      </c>
      <c r="K377" s="235"/>
      <c r="L377" s="235" t="s">
        <v>11</v>
      </c>
      <c r="M377" s="235"/>
      <c r="N377" s="235" t="s">
        <v>12</v>
      </c>
      <c r="O377" s="601"/>
      <c r="P377" s="245"/>
      <c r="Q377" s="601"/>
    </row>
    <row r="378" spans="1:17" ht="26.25" hidden="1" x14ac:dyDescent="0.25">
      <c r="A378" s="242" t="s">
        <v>18</v>
      </c>
      <c r="B378" s="242" t="s">
        <v>19</v>
      </c>
      <c r="C378" s="242" t="s">
        <v>20</v>
      </c>
      <c r="D378" s="242"/>
      <c r="E378" s="242" t="s">
        <v>21</v>
      </c>
      <c r="F378" s="242"/>
      <c r="G378" s="242" t="s">
        <v>22</v>
      </c>
      <c r="H378" s="242"/>
      <c r="I378" s="242" t="s">
        <v>23</v>
      </c>
      <c r="J378" s="242" t="s">
        <v>24</v>
      </c>
      <c r="K378" s="242"/>
      <c r="L378" s="242" t="s">
        <v>25</v>
      </c>
      <c r="M378" s="242"/>
      <c r="N378" s="242" t="s">
        <v>26</v>
      </c>
      <c r="O378" s="242" t="s">
        <v>27</v>
      </c>
      <c r="P378" s="242"/>
      <c r="Q378" s="242" t="s">
        <v>28</v>
      </c>
    </row>
    <row r="379" spans="1:17" ht="26.25" hidden="1" x14ac:dyDescent="0.25">
      <c r="A379" s="244">
        <v>5294</v>
      </c>
      <c r="B379" s="235">
        <v>461000</v>
      </c>
      <c r="C379" s="158" t="s">
        <v>323</v>
      </c>
      <c r="D379" s="158"/>
      <c r="E379" s="159">
        <f>E380+E381</f>
        <v>0</v>
      </c>
      <c r="F379" s="159"/>
      <c r="G379" s="159">
        <f t="shared" si="90"/>
        <v>0</v>
      </c>
      <c r="H379" s="159"/>
      <c r="I379" s="159">
        <f t="shared" ref="I379:Q379" si="111">I380+I381</f>
        <v>0</v>
      </c>
      <c r="J379" s="159">
        <f t="shared" si="111"/>
        <v>0</v>
      </c>
      <c r="K379" s="159"/>
      <c r="L379" s="159">
        <f t="shared" si="111"/>
        <v>0</v>
      </c>
      <c r="M379" s="159"/>
      <c r="N379" s="159">
        <f t="shared" si="111"/>
        <v>0</v>
      </c>
      <c r="O379" s="159">
        <f t="shared" si="111"/>
        <v>0</v>
      </c>
      <c r="P379" s="159"/>
      <c r="Q379" s="159">
        <f t="shared" si="111"/>
        <v>0</v>
      </c>
    </row>
    <row r="380" spans="1:17" ht="26.25" hidden="1" x14ac:dyDescent="0.25">
      <c r="A380" s="202">
        <v>5295</v>
      </c>
      <c r="B380" s="165">
        <v>461100</v>
      </c>
      <c r="C380" s="166" t="s">
        <v>324</v>
      </c>
      <c r="D380" s="166"/>
      <c r="E380" s="182"/>
      <c r="F380" s="182"/>
      <c r="G380" s="183">
        <f t="shared" si="90"/>
        <v>0</v>
      </c>
      <c r="H380" s="183"/>
      <c r="I380" s="182"/>
      <c r="J380" s="182"/>
      <c r="K380" s="182"/>
      <c r="L380" s="182"/>
      <c r="M380" s="182"/>
      <c r="N380" s="182"/>
      <c r="O380" s="182"/>
      <c r="P380" s="182"/>
      <c r="Q380" s="182"/>
    </row>
    <row r="381" spans="1:17" ht="26.25" hidden="1" x14ac:dyDescent="0.25">
      <c r="A381" s="202">
        <v>5296</v>
      </c>
      <c r="B381" s="165">
        <v>461200</v>
      </c>
      <c r="C381" s="166" t="s">
        <v>325</v>
      </c>
      <c r="D381" s="166"/>
      <c r="E381" s="182"/>
      <c r="F381" s="182"/>
      <c r="G381" s="183">
        <f t="shared" si="90"/>
        <v>0</v>
      </c>
      <c r="H381" s="183"/>
      <c r="I381" s="182"/>
      <c r="J381" s="182"/>
      <c r="K381" s="182"/>
      <c r="L381" s="182"/>
      <c r="M381" s="182"/>
      <c r="N381" s="182"/>
      <c r="O381" s="182"/>
      <c r="P381" s="182"/>
      <c r="Q381" s="182"/>
    </row>
    <row r="382" spans="1:17" ht="39" hidden="1" x14ac:dyDescent="0.25">
      <c r="A382" s="244">
        <v>5297</v>
      </c>
      <c r="B382" s="235">
        <v>462000</v>
      </c>
      <c r="C382" s="158" t="s">
        <v>326</v>
      </c>
      <c r="D382" s="158"/>
      <c r="E382" s="159">
        <f>E383+E384</f>
        <v>0</v>
      </c>
      <c r="F382" s="159"/>
      <c r="G382" s="159">
        <f t="shared" si="90"/>
        <v>0</v>
      </c>
      <c r="H382" s="159"/>
      <c r="I382" s="159">
        <f t="shared" ref="I382:Q382" si="112">I383+I384</f>
        <v>0</v>
      </c>
      <c r="J382" s="159">
        <f t="shared" si="112"/>
        <v>0</v>
      </c>
      <c r="K382" s="159"/>
      <c r="L382" s="159">
        <f t="shared" si="112"/>
        <v>0</v>
      </c>
      <c r="M382" s="159"/>
      <c r="N382" s="159">
        <f t="shared" si="112"/>
        <v>0</v>
      </c>
      <c r="O382" s="159">
        <f t="shared" si="112"/>
        <v>0</v>
      </c>
      <c r="P382" s="159"/>
      <c r="Q382" s="159">
        <f t="shared" si="112"/>
        <v>0</v>
      </c>
    </row>
    <row r="383" spans="1:17" ht="26.25" hidden="1" x14ac:dyDescent="0.25">
      <c r="A383" s="202">
        <v>5298</v>
      </c>
      <c r="B383" s="165">
        <v>462100</v>
      </c>
      <c r="C383" s="166" t="s">
        <v>327</v>
      </c>
      <c r="D383" s="166"/>
      <c r="E383" s="182"/>
      <c r="F383" s="182"/>
      <c r="G383" s="183">
        <f t="shared" si="90"/>
        <v>0</v>
      </c>
      <c r="H383" s="183"/>
      <c r="I383" s="182"/>
      <c r="J383" s="182"/>
      <c r="K383" s="182"/>
      <c r="L383" s="182"/>
      <c r="M383" s="182"/>
      <c r="N383" s="182"/>
      <c r="O383" s="182"/>
      <c r="P383" s="182"/>
      <c r="Q383" s="182"/>
    </row>
    <row r="384" spans="1:17" ht="26.25" hidden="1" x14ac:dyDescent="0.25">
      <c r="A384" s="202">
        <v>5299</v>
      </c>
      <c r="B384" s="165">
        <v>462200</v>
      </c>
      <c r="C384" s="166" t="s">
        <v>328</v>
      </c>
      <c r="D384" s="166"/>
      <c r="E384" s="182"/>
      <c r="F384" s="182"/>
      <c r="G384" s="183">
        <f t="shared" si="90"/>
        <v>0</v>
      </c>
      <c r="H384" s="183"/>
      <c r="I384" s="182"/>
      <c r="J384" s="182"/>
      <c r="K384" s="182"/>
      <c r="L384" s="182"/>
      <c r="M384" s="182"/>
      <c r="N384" s="182"/>
      <c r="O384" s="182"/>
      <c r="P384" s="182"/>
      <c r="Q384" s="182"/>
    </row>
    <row r="385" spans="1:17" ht="39" hidden="1" x14ac:dyDescent="0.25">
      <c r="A385" s="244">
        <v>5300</v>
      </c>
      <c r="B385" s="235">
        <v>463000</v>
      </c>
      <c r="C385" s="158" t="s">
        <v>329</v>
      </c>
      <c r="D385" s="158"/>
      <c r="E385" s="159">
        <f>E386+E387</f>
        <v>0</v>
      </c>
      <c r="F385" s="159"/>
      <c r="G385" s="159">
        <f t="shared" ref="G385:G457" si="113">SUM(I385:Q385)</f>
        <v>0</v>
      </c>
      <c r="H385" s="159"/>
      <c r="I385" s="159">
        <f t="shared" ref="I385:Q385" si="114">I386+I387</f>
        <v>0</v>
      </c>
      <c r="J385" s="159">
        <f t="shared" si="114"/>
        <v>0</v>
      </c>
      <c r="K385" s="159"/>
      <c r="L385" s="159">
        <f t="shared" si="114"/>
        <v>0</v>
      </c>
      <c r="M385" s="159"/>
      <c r="N385" s="159">
        <f t="shared" si="114"/>
        <v>0</v>
      </c>
      <c r="O385" s="159">
        <f t="shared" si="114"/>
        <v>0</v>
      </c>
      <c r="P385" s="159"/>
      <c r="Q385" s="159">
        <f t="shared" si="114"/>
        <v>0</v>
      </c>
    </row>
    <row r="386" spans="1:17" ht="26.25" hidden="1" x14ac:dyDescent="0.25">
      <c r="A386" s="202">
        <v>5301</v>
      </c>
      <c r="B386" s="165">
        <v>463100</v>
      </c>
      <c r="C386" s="166" t="s">
        <v>330</v>
      </c>
      <c r="D386" s="166"/>
      <c r="E386" s="182"/>
      <c r="F386" s="182"/>
      <c r="G386" s="183">
        <f t="shared" si="113"/>
        <v>0</v>
      </c>
      <c r="H386" s="183"/>
      <c r="I386" s="182"/>
      <c r="J386" s="182"/>
      <c r="K386" s="182"/>
      <c r="L386" s="182"/>
      <c r="M386" s="182"/>
      <c r="N386" s="182"/>
      <c r="O386" s="182"/>
      <c r="P386" s="182"/>
      <c r="Q386" s="182"/>
    </row>
    <row r="387" spans="1:17" ht="26.25" hidden="1" x14ac:dyDescent="0.25">
      <c r="A387" s="202">
        <v>5302</v>
      </c>
      <c r="B387" s="165">
        <v>463200</v>
      </c>
      <c r="C387" s="166" t="s">
        <v>331</v>
      </c>
      <c r="D387" s="166"/>
      <c r="E387" s="182"/>
      <c r="F387" s="182"/>
      <c r="G387" s="183">
        <f t="shared" si="113"/>
        <v>0</v>
      </c>
      <c r="H387" s="183"/>
      <c r="I387" s="182"/>
      <c r="J387" s="182"/>
      <c r="K387" s="182"/>
      <c r="L387" s="182"/>
      <c r="M387" s="182"/>
      <c r="N387" s="182"/>
      <c r="O387" s="182"/>
      <c r="P387" s="182"/>
      <c r="Q387" s="182"/>
    </row>
    <row r="388" spans="1:17" ht="51.75" hidden="1" x14ac:dyDescent="0.25">
      <c r="A388" s="244">
        <v>5303</v>
      </c>
      <c r="B388" s="235">
        <v>464000</v>
      </c>
      <c r="C388" s="158" t="s">
        <v>332</v>
      </c>
      <c r="D388" s="158"/>
      <c r="E388" s="159">
        <f>E389+E390</f>
        <v>0</v>
      </c>
      <c r="F388" s="159"/>
      <c r="G388" s="159">
        <f t="shared" si="113"/>
        <v>0</v>
      </c>
      <c r="H388" s="159"/>
      <c r="I388" s="159">
        <f t="shared" ref="I388:Q388" si="115">I389+I390</f>
        <v>0</v>
      </c>
      <c r="J388" s="159">
        <f t="shared" si="115"/>
        <v>0</v>
      </c>
      <c r="K388" s="159"/>
      <c r="L388" s="159">
        <f t="shared" si="115"/>
        <v>0</v>
      </c>
      <c r="M388" s="159"/>
      <c r="N388" s="159">
        <f t="shared" si="115"/>
        <v>0</v>
      </c>
      <c r="O388" s="159">
        <f t="shared" si="115"/>
        <v>0</v>
      </c>
      <c r="P388" s="159"/>
      <c r="Q388" s="159">
        <f t="shared" si="115"/>
        <v>0</v>
      </c>
    </row>
    <row r="389" spans="1:17" ht="26.25" hidden="1" x14ac:dyDescent="0.25">
      <c r="A389" s="202">
        <v>5304</v>
      </c>
      <c r="B389" s="165">
        <v>464100</v>
      </c>
      <c r="C389" s="166" t="s">
        <v>333</v>
      </c>
      <c r="D389" s="166"/>
      <c r="E389" s="182"/>
      <c r="F389" s="182"/>
      <c r="G389" s="183">
        <f t="shared" si="113"/>
        <v>0</v>
      </c>
      <c r="H389" s="183"/>
      <c r="I389" s="182"/>
      <c r="J389" s="182"/>
      <c r="K389" s="182"/>
      <c r="L389" s="182"/>
      <c r="M389" s="182"/>
      <c r="N389" s="182"/>
      <c r="O389" s="182"/>
      <c r="P389" s="182"/>
      <c r="Q389" s="182"/>
    </row>
    <row r="390" spans="1:17" ht="39" hidden="1" x14ac:dyDescent="0.25">
      <c r="A390" s="202">
        <v>5305</v>
      </c>
      <c r="B390" s="165">
        <v>464200</v>
      </c>
      <c r="C390" s="166" t="s">
        <v>334</v>
      </c>
      <c r="D390" s="166"/>
      <c r="E390" s="182"/>
      <c r="F390" s="182"/>
      <c r="G390" s="183">
        <f t="shared" si="113"/>
        <v>0</v>
      </c>
      <c r="H390" s="183"/>
      <c r="I390" s="182"/>
      <c r="J390" s="182"/>
      <c r="K390" s="182"/>
      <c r="L390" s="182"/>
      <c r="M390" s="182"/>
      <c r="N390" s="182"/>
      <c r="O390" s="182"/>
      <c r="P390" s="182"/>
      <c r="Q390" s="182"/>
    </row>
    <row r="391" spans="1:17" ht="26.25" x14ac:dyDescent="0.25">
      <c r="A391" s="244">
        <v>5306</v>
      </c>
      <c r="B391" s="235">
        <v>465000</v>
      </c>
      <c r="C391" s="158" t="s">
        <v>335</v>
      </c>
      <c r="D391" s="158"/>
      <c r="E391" s="159">
        <f>E392+E393</f>
        <v>7410</v>
      </c>
      <c r="F391" s="159">
        <f t="shared" ref="F391:Q391" si="116">F392+F393</f>
        <v>9210</v>
      </c>
      <c r="G391" s="159">
        <f t="shared" si="116"/>
        <v>7410</v>
      </c>
      <c r="H391" s="159">
        <f t="shared" si="116"/>
        <v>0</v>
      </c>
      <c r="I391" s="159">
        <f t="shared" si="116"/>
        <v>0</v>
      </c>
      <c r="J391" s="159">
        <f t="shared" si="116"/>
        <v>0</v>
      </c>
      <c r="K391" s="159">
        <f t="shared" si="116"/>
        <v>0</v>
      </c>
      <c r="L391" s="159">
        <f t="shared" si="116"/>
        <v>0</v>
      </c>
      <c r="M391" s="159">
        <f t="shared" si="116"/>
        <v>9210</v>
      </c>
      <c r="N391" s="159">
        <f t="shared" si="116"/>
        <v>7410</v>
      </c>
      <c r="O391" s="159">
        <f t="shared" si="116"/>
        <v>0</v>
      </c>
      <c r="P391" s="159">
        <f t="shared" si="116"/>
        <v>0</v>
      </c>
      <c r="Q391" s="159">
        <f t="shared" si="116"/>
        <v>0</v>
      </c>
    </row>
    <row r="392" spans="1:17" ht="26.25" x14ac:dyDescent="0.25">
      <c r="A392" s="202">
        <v>5307</v>
      </c>
      <c r="B392" s="165">
        <v>465100</v>
      </c>
      <c r="C392" s="166" t="s">
        <v>336</v>
      </c>
      <c r="D392" s="166"/>
      <c r="E392" s="182">
        <v>7410</v>
      </c>
      <c r="F392" s="182">
        <f>H392+K392+M392+P392</f>
        <v>9210</v>
      </c>
      <c r="G392" s="183">
        <f t="shared" ref="G392" si="117">SUM(I392:Q392)-K392-M392-P392</f>
        <v>7410</v>
      </c>
      <c r="H392" s="183"/>
      <c r="I392" s="182"/>
      <c r="J392" s="182"/>
      <c r="K392" s="182"/>
      <c r="L392" s="182"/>
      <c r="M392" s="182">
        <f>7710+1500</f>
        <v>9210</v>
      </c>
      <c r="N392" s="182">
        <v>7410</v>
      </c>
      <c r="O392" s="182"/>
      <c r="P392" s="182"/>
      <c r="Q392" s="182"/>
    </row>
    <row r="393" spans="1:17" ht="26.25" hidden="1" x14ac:dyDescent="0.25">
      <c r="A393" s="202">
        <v>5308</v>
      </c>
      <c r="B393" s="165">
        <v>465200</v>
      </c>
      <c r="C393" s="166" t="s">
        <v>337</v>
      </c>
      <c r="D393" s="166"/>
      <c r="E393" s="182"/>
      <c r="F393" s="182"/>
      <c r="G393" s="183">
        <f t="shared" si="113"/>
        <v>0</v>
      </c>
      <c r="H393" s="183"/>
      <c r="I393" s="182"/>
      <c r="J393" s="182"/>
      <c r="K393" s="182"/>
      <c r="L393" s="182"/>
      <c r="M393" s="182"/>
      <c r="N393" s="182"/>
      <c r="O393" s="182"/>
      <c r="P393" s="182"/>
      <c r="Q393" s="182"/>
    </row>
    <row r="394" spans="1:17" ht="39" hidden="1" x14ac:dyDescent="0.25">
      <c r="A394" s="244">
        <v>5309</v>
      </c>
      <c r="B394" s="235">
        <v>470000</v>
      </c>
      <c r="C394" s="158" t="s">
        <v>338</v>
      </c>
      <c r="D394" s="158"/>
      <c r="E394" s="159">
        <f>E395+E399</f>
        <v>0</v>
      </c>
      <c r="F394" s="159"/>
      <c r="G394" s="159">
        <f t="shared" si="113"/>
        <v>0</v>
      </c>
      <c r="H394" s="159"/>
      <c r="I394" s="159">
        <f t="shared" ref="I394:Q394" si="118">I395+I399</f>
        <v>0</v>
      </c>
      <c r="J394" s="159">
        <f t="shared" si="118"/>
        <v>0</v>
      </c>
      <c r="K394" s="159"/>
      <c r="L394" s="159">
        <f t="shared" si="118"/>
        <v>0</v>
      </c>
      <c r="M394" s="159"/>
      <c r="N394" s="159">
        <f t="shared" si="118"/>
        <v>0</v>
      </c>
      <c r="O394" s="159">
        <f t="shared" si="118"/>
        <v>0</v>
      </c>
      <c r="P394" s="159"/>
      <c r="Q394" s="159">
        <f t="shared" si="118"/>
        <v>0</v>
      </c>
    </row>
    <row r="395" spans="1:17" ht="64.5" hidden="1" x14ac:dyDescent="0.25">
      <c r="A395" s="244">
        <v>5310</v>
      </c>
      <c r="B395" s="235">
        <v>471000</v>
      </c>
      <c r="C395" s="158" t="s">
        <v>339</v>
      </c>
      <c r="D395" s="158"/>
      <c r="E395" s="159">
        <f>SUM(E396:E398)</f>
        <v>0</v>
      </c>
      <c r="F395" s="159"/>
      <c r="G395" s="159">
        <f t="shared" si="113"/>
        <v>0</v>
      </c>
      <c r="H395" s="159"/>
      <c r="I395" s="159">
        <f t="shared" ref="I395:Q395" si="119">SUM(I396:I398)</f>
        <v>0</v>
      </c>
      <c r="J395" s="159">
        <f t="shared" si="119"/>
        <v>0</v>
      </c>
      <c r="K395" s="159"/>
      <c r="L395" s="159">
        <f t="shared" si="119"/>
        <v>0</v>
      </c>
      <c r="M395" s="159"/>
      <c r="N395" s="159">
        <f t="shared" si="119"/>
        <v>0</v>
      </c>
      <c r="O395" s="159">
        <f t="shared" si="119"/>
        <v>0</v>
      </c>
      <c r="P395" s="159"/>
      <c r="Q395" s="159">
        <f t="shared" si="119"/>
        <v>0</v>
      </c>
    </row>
    <row r="396" spans="1:17" ht="39" hidden="1" x14ac:dyDescent="0.25">
      <c r="A396" s="202">
        <v>5311</v>
      </c>
      <c r="B396" s="165">
        <v>471100</v>
      </c>
      <c r="C396" s="166" t="s">
        <v>340</v>
      </c>
      <c r="D396" s="166"/>
      <c r="E396" s="182"/>
      <c r="F396" s="182"/>
      <c r="G396" s="183">
        <f t="shared" si="113"/>
        <v>0</v>
      </c>
      <c r="H396" s="183"/>
      <c r="I396" s="182"/>
      <c r="J396" s="182"/>
      <c r="K396" s="182"/>
      <c r="L396" s="182"/>
      <c r="M396" s="182"/>
      <c r="N396" s="182"/>
      <c r="O396" s="182"/>
      <c r="P396" s="182"/>
      <c r="Q396" s="182"/>
    </row>
    <row r="397" spans="1:17" ht="39" hidden="1" x14ac:dyDescent="0.25">
      <c r="A397" s="202">
        <v>5312</v>
      </c>
      <c r="B397" s="165">
        <v>471200</v>
      </c>
      <c r="C397" s="166" t="s">
        <v>341</v>
      </c>
      <c r="D397" s="166"/>
      <c r="E397" s="182"/>
      <c r="F397" s="182"/>
      <c r="G397" s="183">
        <f t="shared" si="113"/>
        <v>0</v>
      </c>
      <c r="H397" s="183"/>
      <c r="I397" s="182"/>
      <c r="J397" s="182"/>
      <c r="K397" s="182"/>
      <c r="L397" s="182"/>
      <c r="M397" s="182"/>
      <c r="N397" s="182"/>
      <c r="O397" s="182"/>
      <c r="P397" s="182"/>
      <c r="Q397" s="182"/>
    </row>
    <row r="398" spans="1:17" ht="51.75" hidden="1" x14ac:dyDescent="0.25">
      <c r="A398" s="202">
        <v>5313</v>
      </c>
      <c r="B398" s="165">
        <v>471900</v>
      </c>
      <c r="C398" s="166" t="s">
        <v>342</v>
      </c>
      <c r="D398" s="166"/>
      <c r="E398" s="182"/>
      <c r="F398" s="182"/>
      <c r="G398" s="183">
        <f t="shared" si="113"/>
        <v>0</v>
      </c>
      <c r="H398" s="183"/>
      <c r="I398" s="182"/>
      <c r="J398" s="182"/>
      <c r="K398" s="182"/>
      <c r="L398" s="182"/>
      <c r="M398" s="182"/>
      <c r="N398" s="182"/>
      <c r="O398" s="182"/>
      <c r="P398" s="182"/>
      <c r="Q398" s="182"/>
    </row>
    <row r="399" spans="1:17" ht="39" hidden="1" x14ac:dyDescent="0.25">
      <c r="A399" s="244">
        <v>5314</v>
      </c>
      <c r="B399" s="235">
        <v>472000</v>
      </c>
      <c r="C399" s="158" t="s">
        <v>343</v>
      </c>
      <c r="D399" s="158"/>
      <c r="E399" s="159">
        <f>SUM(E404:E412)</f>
        <v>0</v>
      </c>
      <c r="F399" s="159"/>
      <c r="G399" s="159">
        <f t="shared" si="113"/>
        <v>0</v>
      </c>
      <c r="H399" s="159"/>
      <c r="I399" s="159">
        <f t="shared" ref="I399:Q399" si="120">SUM(I404:I412)</f>
        <v>0</v>
      </c>
      <c r="J399" s="159">
        <f t="shared" si="120"/>
        <v>0</v>
      </c>
      <c r="K399" s="159"/>
      <c r="L399" s="159">
        <f t="shared" si="120"/>
        <v>0</v>
      </c>
      <c r="M399" s="159"/>
      <c r="N399" s="159">
        <f t="shared" si="120"/>
        <v>0</v>
      </c>
      <c r="O399" s="159">
        <f t="shared" si="120"/>
        <v>0</v>
      </c>
      <c r="P399" s="159"/>
      <c r="Q399" s="159">
        <f t="shared" si="120"/>
        <v>0</v>
      </c>
    </row>
    <row r="400" spans="1:17" hidden="1" x14ac:dyDescent="0.25">
      <c r="A400" s="598" t="s">
        <v>0</v>
      </c>
      <c r="B400" s="599" t="s">
        <v>1</v>
      </c>
      <c r="C400" s="598" t="s">
        <v>2</v>
      </c>
      <c r="D400" s="243"/>
      <c r="E400" s="598" t="s">
        <v>217</v>
      </c>
      <c r="F400" s="243"/>
      <c r="G400" s="600" t="s">
        <v>198</v>
      </c>
      <c r="H400" s="600"/>
      <c r="I400" s="601"/>
      <c r="J400" s="601"/>
      <c r="K400" s="601"/>
      <c r="L400" s="601"/>
      <c r="M400" s="601"/>
      <c r="N400" s="601"/>
      <c r="O400" s="601"/>
      <c r="P400" s="601"/>
      <c r="Q400" s="601"/>
    </row>
    <row r="401" spans="1:17" hidden="1" x14ac:dyDescent="0.25">
      <c r="A401" s="598"/>
      <c r="B401" s="599"/>
      <c r="C401" s="598"/>
      <c r="D401" s="243"/>
      <c r="E401" s="598"/>
      <c r="F401" s="243"/>
      <c r="G401" s="600" t="s">
        <v>199</v>
      </c>
      <c r="H401" s="235"/>
      <c r="I401" s="600" t="s">
        <v>200</v>
      </c>
      <c r="J401" s="601"/>
      <c r="K401" s="601"/>
      <c r="L401" s="601"/>
      <c r="M401" s="601"/>
      <c r="N401" s="601"/>
      <c r="O401" s="600" t="s">
        <v>7</v>
      </c>
      <c r="P401" s="235"/>
      <c r="Q401" s="600" t="s">
        <v>8</v>
      </c>
    </row>
    <row r="402" spans="1:17" ht="39" hidden="1" x14ac:dyDescent="0.25">
      <c r="A402" s="598"/>
      <c r="B402" s="599"/>
      <c r="C402" s="598"/>
      <c r="D402" s="243"/>
      <c r="E402" s="598"/>
      <c r="F402" s="243"/>
      <c r="G402" s="601"/>
      <c r="H402" s="245"/>
      <c r="I402" s="235" t="s">
        <v>201</v>
      </c>
      <c r="J402" s="235" t="s">
        <v>10</v>
      </c>
      <c r="K402" s="235"/>
      <c r="L402" s="235" t="s">
        <v>11</v>
      </c>
      <c r="M402" s="235"/>
      <c r="N402" s="235" t="s">
        <v>12</v>
      </c>
      <c r="O402" s="601"/>
      <c r="P402" s="245"/>
      <c r="Q402" s="601"/>
    </row>
    <row r="403" spans="1:17" ht="26.25" hidden="1" x14ac:dyDescent="0.25">
      <c r="A403" s="242" t="s">
        <v>18</v>
      </c>
      <c r="B403" s="242" t="s">
        <v>19</v>
      </c>
      <c r="C403" s="242" t="s">
        <v>20</v>
      </c>
      <c r="D403" s="242"/>
      <c r="E403" s="242" t="s">
        <v>21</v>
      </c>
      <c r="F403" s="242"/>
      <c r="G403" s="242" t="s">
        <v>22</v>
      </c>
      <c r="H403" s="242"/>
      <c r="I403" s="242" t="s">
        <v>23</v>
      </c>
      <c r="J403" s="242" t="s">
        <v>24</v>
      </c>
      <c r="K403" s="242"/>
      <c r="L403" s="242" t="s">
        <v>25</v>
      </c>
      <c r="M403" s="242"/>
      <c r="N403" s="242" t="s">
        <v>26</v>
      </c>
      <c r="O403" s="242" t="s">
        <v>27</v>
      </c>
      <c r="P403" s="242"/>
      <c r="Q403" s="242" t="s">
        <v>28</v>
      </c>
    </row>
    <row r="404" spans="1:17" ht="26.25" hidden="1" x14ac:dyDescent="0.25">
      <c r="A404" s="202">
        <v>5315</v>
      </c>
      <c r="B404" s="165">
        <v>472100</v>
      </c>
      <c r="C404" s="166" t="s">
        <v>344</v>
      </c>
      <c r="D404" s="166"/>
      <c r="E404" s="182"/>
      <c r="F404" s="182"/>
      <c r="G404" s="183">
        <f t="shared" si="113"/>
        <v>0</v>
      </c>
      <c r="H404" s="183"/>
      <c r="I404" s="182"/>
      <c r="J404" s="182"/>
      <c r="K404" s="182"/>
      <c r="L404" s="182"/>
      <c r="M404" s="182"/>
      <c r="N404" s="182"/>
      <c r="O404" s="182"/>
      <c r="P404" s="182"/>
      <c r="Q404" s="182"/>
    </row>
    <row r="405" spans="1:17" ht="26.25" hidden="1" x14ac:dyDescent="0.25">
      <c r="A405" s="202">
        <v>5316</v>
      </c>
      <c r="B405" s="165">
        <v>472200</v>
      </c>
      <c r="C405" s="166" t="s">
        <v>345</v>
      </c>
      <c r="D405" s="166"/>
      <c r="E405" s="182"/>
      <c r="F405" s="182"/>
      <c r="G405" s="183">
        <f t="shared" si="113"/>
        <v>0</v>
      </c>
      <c r="H405" s="183"/>
      <c r="I405" s="182"/>
      <c r="J405" s="182"/>
      <c r="K405" s="182"/>
      <c r="L405" s="182"/>
      <c r="M405" s="182"/>
      <c r="N405" s="182"/>
      <c r="O405" s="182"/>
      <c r="P405" s="182"/>
      <c r="Q405" s="182"/>
    </row>
    <row r="406" spans="1:17" ht="26.25" hidden="1" x14ac:dyDescent="0.25">
      <c r="A406" s="202">
        <v>5317</v>
      </c>
      <c r="B406" s="165">
        <v>472300</v>
      </c>
      <c r="C406" s="166" t="s">
        <v>346</v>
      </c>
      <c r="D406" s="166"/>
      <c r="E406" s="182"/>
      <c r="F406" s="182"/>
      <c r="G406" s="183">
        <f t="shared" si="113"/>
        <v>0</v>
      </c>
      <c r="H406" s="183"/>
      <c r="I406" s="182"/>
      <c r="J406" s="182"/>
      <c r="K406" s="182"/>
      <c r="L406" s="182"/>
      <c r="M406" s="182"/>
      <c r="N406" s="182"/>
      <c r="O406" s="182"/>
      <c r="P406" s="182"/>
      <c r="Q406" s="182"/>
    </row>
    <row r="407" spans="1:17" ht="26.25" hidden="1" x14ac:dyDescent="0.25">
      <c r="A407" s="202">
        <v>5318</v>
      </c>
      <c r="B407" s="165">
        <v>472400</v>
      </c>
      <c r="C407" s="166" t="s">
        <v>347</v>
      </c>
      <c r="D407" s="166"/>
      <c r="E407" s="182"/>
      <c r="F407" s="182"/>
      <c r="G407" s="183">
        <f t="shared" si="113"/>
        <v>0</v>
      </c>
      <c r="H407" s="183"/>
      <c r="I407" s="182"/>
      <c r="J407" s="182"/>
      <c r="K407" s="182"/>
      <c r="L407" s="182"/>
      <c r="M407" s="182"/>
      <c r="N407" s="182"/>
      <c r="O407" s="182"/>
      <c r="P407" s="182"/>
      <c r="Q407" s="182"/>
    </row>
    <row r="408" spans="1:17" ht="26.25" hidden="1" x14ac:dyDescent="0.25">
      <c r="A408" s="202">
        <v>5319</v>
      </c>
      <c r="B408" s="165">
        <v>472500</v>
      </c>
      <c r="C408" s="166" t="s">
        <v>348</v>
      </c>
      <c r="D408" s="166"/>
      <c r="E408" s="182"/>
      <c r="F408" s="182"/>
      <c r="G408" s="183">
        <f t="shared" si="113"/>
        <v>0</v>
      </c>
      <c r="H408" s="183"/>
      <c r="I408" s="182"/>
      <c r="J408" s="182"/>
      <c r="K408" s="182"/>
      <c r="L408" s="182"/>
      <c r="M408" s="182"/>
      <c r="N408" s="182"/>
      <c r="O408" s="182"/>
      <c r="P408" s="182"/>
      <c r="Q408" s="182"/>
    </row>
    <row r="409" spans="1:17" ht="26.25" hidden="1" x14ac:dyDescent="0.25">
      <c r="A409" s="202">
        <v>5320</v>
      </c>
      <c r="B409" s="165">
        <v>472600</v>
      </c>
      <c r="C409" s="166" t="s">
        <v>349</v>
      </c>
      <c r="D409" s="166"/>
      <c r="E409" s="182"/>
      <c r="F409" s="182"/>
      <c r="G409" s="183">
        <f t="shared" si="113"/>
        <v>0</v>
      </c>
      <c r="H409" s="183"/>
      <c r="I409" s="182"/>
      <c r="J409" s="182"/>
      <c r="K409" s="182"/>
      <c r="L409" s="182"/>
      <c r="M409" s="182"/>
      <c r="N409" s="182"/>
      <c r="O409" s="182"/>
      <c r="P409" s="182"/>
      <c r="Q409" s="182"/>
    </row>
    <row r="410" spans="1:17" ht="26.25" hidden="1" x14ac:dyDescent="0.25">
      <c r="A410" s="202">
        <v>5321</v>
      </c>
      <c r="B410" s="165">
        <v>472700</v>
      </c>
      <c r="C410" s="166" t="s">
        <v>350</v>
      </c>
      <c r="D410" s="166"/>
      <c r="E410" s="182"/>
      <c r="F410" s="182"/>
      <c r="G410" s="183">
        <f t="shared" si="113"/>
        <v>0</v>
      </c>
      <c r="H410" s="183"/>
      <c r="I410" s="182"/>
      <c r="J410" s="182"/>
      <c r="K410" s="182"/>
      <c r="L410" s="182"/>
      <c r="M410" s="182"/>
      <c r="N410" s="182"/>
      <c r="O410" s="182"/>
      <c r="P410" s="182"/>
      <c r="Q410" s="182"/>
    </row>
    <row r="411" spans="1:17" ht="26.25" hidden="1" x14ac:dyDescent="0.25">
      <c r="A411" s="202">
        <v>5322</v>
      </c>
      <c r="B411" s="165">
        <v>472800</v>
      </c>
      <c r="C411" s="166" t="s">
        <v>351</v>
      </c>
      <c r="D411" s="166"/>
      <c r="E411" s="182"/>
      <c r="F411" s="182"/>
      <c r="G411" s="183">
        <f t="shared" si="113"/>
        <v>0</v>
      </c>
      <c r="H411" s="183"/>
      <c r="I411" s="182"/>
      <c r="J411" s="182"/>
      <c r="K411" s="182"/>
      <c r="L411" s="182"/>
      <c r="M411" s="182"/>
      <c r="N411" s="182"/>
      <c r="O411" s="182"/>
      <c r="P411" s="182"/>
      <c r="Q411" s="182"/>
    </row>
    <row r="412" spans="1:17" hidden="1" x14ac:dyDescent="0.25">
      <c r="A412" s="202">
        <v>5323</v>
      </c>
      <c r="B412" s="165">
        <v>472900</v>
      </c>
      <c r="C412" s="166" t="s">
        <v>352</v>
      </c>
      <c r="D412" s="166"/>
      <c r="E412" s="182"/>
      <c r="F412" s="182"/>
      <c r="G412" s="183">
        <f t="shared" si="113"/>
        <v>0</v>
      </c>
      <c r="H412" s="183"/>
      <c r="I412" s="182"/>
      <c r="J412" s="182"/>
      <c r="K412" s="182"/>
      <c r="L412" s="182"/>
      <c r="M412" s="182"/>
      <c r="N412" s="182"/>
      <c r="O412" s="182"/>
      <c r="P412" s="182"/>
      <c r="Q412" s="182"/>
    </row>
    <row r="413" spans="1:17" ht="39" x14ac:dyDescent="0.25">
      <c r="A413" s="244">
        <v>5324</v>
      </c>
      <c r="B413" s="235">
        <v>480000</v>
      </c>
      <c r="C413" s="158" t="s">
        <v>353</v>
      </c>
      <c r="D413" s="158"/>
      <c r="E413" s="159">
        <f>E414+E417+E421+E423+E426+E432</f>
        <v>125</v>
      </c>
      <c r="F413" s="159">
        <f t="shared" ref="F413:Q413" si="121">F414+F417+F421+F423+F426+F432</f>
        <v>175</v>
      </c>
      <c r="G413" s="159">
        <f t="shared" si="121"/>
        <v>118</v>
      </c>
      <c r="H413" s="159">
        <f t="shared" si="121"/>
        <v>0</v>
      </c>
      <c r="I413" s="159">
        <f t="shared" si="121"/>
        <v>0</v>
      </c>
      <c r="J413" s="159">
        <f t="shared" si="121"/>
        <v>0</v>
      </c>
      <c r="K413" s="159">
        <f t="shared" si="121"/>
        <v>0</v>
      </c>
      <c r="L413" s="159">
        <f t="shared" si="121"/>
        <v>0</v>
      </c>
      <c r="M413" s="159">
        <f t="shared" si="121"/>
        <v>0</v>
      </c>
      <c r="N413" s="159">
        <f t="shared" si="121"/>
        <v>8</v>
      </c>
      <c r="O413" s="159">
        <f t="shared" si="121"/>
        <v>0</v>
      </c>
      <c r="P413" s="159">
        <f t="shared" si="121"/>
        <v>175</v>
      </c>
      <c r="Q413" s="159">
        <f t="shared" si="121"/>
        <v>100</v>
      </c>
    </row>
    <row r="414" spans="1:17" ht="39" x14ac:dyDescent="0.25">
      <c r="A414" s="244">
        <v>5325</v>
      </c>
      <c r="B414" s="235">
        <v>481000</v>
      </c>
      <c r="C414" s="158" t="s">
        <v>354</v>
      </c>
      <c r="D414" s="158"/>
      <c r="E414" s="159">
        <f>E415+E416</f>
        <v>35</v>
      </c>
      <c r="F414" s="159">
        <f t="shared" ref="F414:Q414" si="122">F415+F416</f>
        <v>35</v>
      </c>
      <c r="G414" s="159">
        <f t="shared" si="122"/>
        <v>35</v>
      </c>
      <c r="H414" s="159">
        <f t="shared" si="122"/>
        <v>0</v>
      </c>
      <c r="I414" s="159">
        <f t="shared" si="122"/>
        <v>0</v>
      </c>
      <c r="J414" s="159">
        <f t="shared" si="122"/>
        <v>0</v>
      </c>
      <c r="K414" s="159">
        <f t="shared" si="122"/>
        <v>0</v>
      </c>
      <c r="L414" s="159">
        <f t="shared" si="122"/>
        <v>0</v>
      </c>
      <c r="M414" s="159">
        <f t="shared" si="122"/>
        <v>0</v>
      </c>
      <c r="N414" s="159">
        <f t="shared" si="122"/>
        <v>0</v>
      </c>
      <c r="O414" s="159">
        <f t="shared" si="122"/>
        <v>0</v>
      </c>
      <c r="P414" s="159">
        <f t="shared" si="122"/>
        <v>35</v>
      </c>
      <c r="Q414" s="159">
        <f t="shared" si="122"/>
        <v>35</v>
      </c>
    </row>
    <row r="415" spans="1:17" ht="39" hidden="1" x14ac:dyDescent="0.25">
      <c r="A415" s="202">
        <v>5326</v>
      </c>
      <c r="B415" s="165">
        <v>481100</v>
      </c>
      <c r="C415" s="166" t="s">
        <v>355</v>
      </c>
      <c r="D415" s="166"/>
      <c r="E415" s="182"/>
      <c r="F415" s="182"/>
      <c r="G415" s="183">
        <f t="shared" si="113"/>
        <v>0</v>
      </c>
      <c r="H415" s="183"/>
      <c r="I415" s="182"/>
      <c r="J415" s="182"/>
      <c r="K415" s="182"/>
      <c r="L415" s="182"/>
      <c r="M415" s="182"/>
      <c r="N415" s="182"/>
      <c r="O415" s="182"/>
      <c r="P415" s="182"/>
      <c r="Q415" s="182"/>
    </row>
    <row r="416" spans="1:17" ht="26.25" x14ac:dyDescent="0.25">
      <c r="A416" s="202">
        <v>5327</v>
      </c>
      <c r="B416" s="165">
        <v>481900</v>
      </c>
      <c r="C416" s="166" t="s">
        <v>356</v>
      </c>
      <c r="D416" s="166"/>
      <c r="E416" s="182">
        <v>35</v>
      </c>
      <c r="F416" s="182">
        <f>H416+K416+M416+P416</f>
        <v>35</v>
      </c>
      <c r="G416" s="183">
        <f t="shared" ref="G416" si="123">SUM(I416:Q416)-K416-M416-P416</f>
        <v>35</v>
      </c>
      <c r="H416" s="183"/>
      <c r="I416" s="182"/>
      <c r="J416" s="182"/>
      <c r="K416" s="182"/>
      <c r="L416" s="182"/>
      <c r="M416" s="182"/>
      <c r="N416" s="182"/>
      <c r="O416" s="182"/>
      <c r="P416" s="182">
        <v>35</v>
      </c>
      <c r="Q416" s="182">
        <v>35</v>
      </c>
    </row>
    <row r="417" spans="1:22" ht="39" x14ac:dyDescent="0.25">
      <c r="A417" s="244">
        <v>5328</v>
      </c>
      <c r="B417" s="235">
        <v>482000</v>
      </c>
      <c r="C417" s="158" t="s">
        <v>357</v>
      </c>
      <c r="D417" s="158"/>
      <c r="E417" s="159">
        <f>SUM(E418:E420)</f>
        <v>70</v>
      </c>
      <c r="F417" s="159">
        <f t="shared" ref="F417:Q417" si="124">SUM(F418:F420)</f>
        <v>90</v>
      </c>
      <c r="G417" s="159">
        <f t="shared" si="124"/>
        <v>68</v>
      </c>
      <c r="H417" s="159">
        <f t="shared" si="124"/>
        <v>0</v>
      </c>
      <c r="I417" s="159">
        <f t="shared" si="124"/>
        <v>0</v>
      </c>
      <c r="J417" s="159">
        <f t="shared" si="124"/>
        <v>0</v>
      </c>
      <c r="K417" s="159">
        <f t="shared" si="124"/>
        <v>0</v>
      </c>
      <c r="L417" s="159">
        <f t="shared" si="124"/>
        <v>0</v>
      </c>
      <c r="M417" s="159">
        <f t="shared" si="124"/>
        <v>0</v>
      </c>
      <c r="N417" s="159">
        <f t="shared" si="124"/>
        <v>8</v>
      </c>
      <c r="O417" s="159">
        <f t="shared" si="124"/>
        <v>0</v>
      </c>
      <c r="P417" s="159">
        <f t="shared" si="124"/>
        <v>90</v>
      </c>
      <c r="Q417" s="159">
        <f t="shared" si="124"/>
        <v>50</v>
      </c>
    </row>
    <row r="418" spans="1:22" x14ac:dyDescent="0.25">
      <c r="A418" s="202">
        <v>5329</v>
      </c>
      <c r="B418" s="165">
        <v>482100</v>
      </c>
      <c r="C418" s="166" t="s">
        <v>358</v>
      </c>
      <c r="D418" s="166"/>
      <c r="E418" s="182">
        <v>20</v>
      </c>
      <c r="F418" s="182">
        <f>H418+K418+M418+P418</f>
        <v>60</v>
      </c>
      <c r="G418" s="183">
        <f t="shared" ref="G418:G419" si="125">SUM(I418:Q418)-K418-M418-P418</f>
        <v>17</v>
      </c>
      <c r="H418" s="183"/>
      <c r="I418" s="182"/>
      <c r="J418" s="182"/>
      <c r="K418" s="182"/>
      <c r="L418" s="182"/>
      <c r="M418" s="182"/>
      <c r="N418" s="182">
        <v>8</v>
      </c>
      <c r="O418" s="182"/>
      <c r="P418" s="182">
        <f>20+40</f>
        <v>60</v>
      </c>
      <c r="Q418" s="182">
        <v>9</v>
      </c>
    </row>
    <row r="419" spans="1:22" x14ac:dyDescent="0.25">
      <c r="A419" s="202">
        <v>5330</v>
      </c>
      <c r="B419" s="165">
        <v>482200</v>
      </c>
      <c r="C419" s="166" t="s">
        <v>359</v>
      </c>
      <c r="D419" s="166"/>
      <c r="E419" s="182">
        <v>50</v>
      </c>
      <c r="F419" s="182">
        <f>H419+K419+M419+P419</f>
        <v>20</v>
      </c>
      <c r="G419" s="183">
        <f t="shared" si="125"/>
        <v>41</v>
      </c>
      <c r="H419" s="183"/>
      <c r="I419" s="182"/>
      <c r="J419" s="182"/>
      <c r="K419" s="182"/>
      <c r="L419" s="182"/>
      <c r="M419" s="182"/>
      <c r="N419" s="182"/>
      <c r="O419" s="182"/>
      <c r="P419" s="182">
        <v>20</v>
      </c>
      <c r="Q419" s="182">
        <v>41</v>
      </c>
      <c r="V419" s="152" t="s">
        <v>539</v>
      </c>
    </row>
    <row r="420" spans="1:22" x14ac:dyDescent="0.25">
      <c r="A420" s="202">
        <v>5331</v>
      </c>
      <c r="B420" s="165">
        <v>482300</v>
      </c>
      <c r="C420" s="166" t="s">
        <v>360</v>
      </c>
      <c r="D420" s="166"/>
      <c r="E420" s="182"/>
      <c r="F420" s="182">
        <f>H420+K420+M420+P420</f>
        <v>10</v>
      </c>
      <c r="G420" s="183">
        <f t="shared" si="113"/>
        <v>10</v>
      </c>
      <c r="H420" s="183"/>
      <c r="I420" s="182"/>
      <c r="J420" s="182"/>
      <c r="K420" s="182"/>
      <c r="L420" s="182"/>
      <c r="M420" s="182"/>
      <c r="N420" s="182"/>
      <c r="O420" s="182"/>
      <c r="P420" s="182">
        <v>10</v>
      </c>
      <c r="Q420" s="182"/>
    </row>
    <row r="421" spans="1:22" ht="26.25" x14ac:dyDescent="0.25">
      <c r="A421" s="244">
        <v>5332</v>
      </c>
      <c r="B421" s="235">
        <v>483000</v>
      </c>
      <c r="C421" s="158" t="s">
        <v>361</v>
      </c>
      <c r="D421" s="158"/>
      <c r="E421" s="159">
        <f>E422</f>
        <v>20</v>
      </c>
      <c r="F421" s="159">
        <f t="shared" ref="F421:Q421" si="126">F422</f>
        <v>50</v>
      </c>
      <c r="G421" s="159">
        <f t="shared" si="126"/>
        <v>15</v>
      </c>
      <c r="H421" s="159">
        <f t="shared" si="126"/>
        <v>0</v>
      </c>
      <c r="I421" s="159">
        <f t="shared" si="126"/>
        <v>0</v>
      </c>
      <c r="J421" s="159">
        <f t="shared" si="126"/>
        <v>0</v>
      </c>
      <c r="K421" s="159">
        <f t="shared" si="126"/>
        <v>0</v>
      </c>
      <c r="L421" s="159">
        <f t="shared" si="126"/>
        <v>0</v>
      </c>
      <c r="M421" s="159">
        <f t="shared" si="126"/>
        <v>0</v>
      </c>
      <c r="N421" s="159">
        <f t="shared" si="126"/>
        <v>0</v>
      </c>
      <c r="O421" s="159">
        <f t="shared" si="126"/>
        <v>0</v>
      </c>
      <c r="P421" s="159">
        <f t="shared" si="126"/>
        <v>50</v>
      </c>
      <c r="Q421" s="159">
        <f t="shared" si="126"/>
        <v>15</v>
      </c>
    </row>
    <row r="422" spans="1:22" ht="26.25" x14ac:dyDescent="0.25">
      <c r="A422" s="202">
        <v>5333</v>
      </c>
      <c r="B422" s="165">
        <v>483100</v>
      </c>
      <c r="C422" s="166" t="s">
        <v>362</v>
      </c>
      <c r="D422" s="166"/>
      <c r="E422" s="182">
        <v>20</v>
      </c>
      <c r="F422" s="182">
        <f>H422+K422+M422+P422</f>
        <v>50</v>
      </c>
      <c r="G422" s="183">
        <f t="shared" ref="G422" si="127">SUM(I422:Q422)-K422-M422-P422</f>
        <v>15</v>
      </c>
      <c r="H422" s="183"/>
      <c r="I422" s="182"/>
      <c r="J422" s="182"/>
      <c r="K422" s="182"/>
      <c r="L422" s="182"/>
      <c r="M422" s="182"/>
      <c r="N422" s="182"/>
      <c r="O422" s="182"/>
      <c r="P422" s="182">
        <v>50</v>
      </c>
      <c r="Q422" s="182">
        <v>15</v>
      </c>
    </row>
    <row r="423" spans="1:22" ht="77.25" hidden="1" x14ac:dyDescent="0.25">
      <c r="A423" s="244">
        <v>5334</v>
      </c>
      <c r="B423" s="235">
        <v>484000</v>
      </c>
      <c r="C423" s="158" t="s">
        <v>363</v>
      </c>
      <c r="D423" s="158"/>
      <c r="E423" s="159">
        <f>E424+E425</f>
        <v>0</v>
      </c>
      <c r="F423" s="159"/>
      <c r="G423" s="159">
        <f t="shared" si="113"/>
        <v>0</v>
      </c>
      <c r="H423" s="159"/>
      <c r="I423" s="159">
        <f t="shared" ref="I423:Q423" si="128">I424+I425</f>
        <v>0</v>
      </c>
      <c r="J423" s="159">
        <f t="shared" si="128"/>
        <v>0</v>
      </c>
      <c r="K423" s="159"/>
      <c r="L423" s="159">
        <f t="shared" si="128"/>
        <v>0</v>
      </c>
      <c r="M423" s="159"/>
      <c r="N423" s="159">
        <f t="shared" si="128"/>
        <v>0</v>
      </c>
      <c r="O423" s="159">
        <f t="shared" si="128"/>
        <v>0</v>
      </c>
      <c r="P423" s="159"/>
      <c r="Q423" s="159">
        <f t="shared" si="128"/>
        <v>0</v>
      </c>
    </row>
    <row r="424" spans="1:22" ht="39" hidden="1" x14ac:dyDescent="0.25">
      <c r="A424" s="202">
        <v>5335</v>
      </c>
      <c r="B424" s="165">
        <v>484100</v>
      </c>
      <c r="C424" s="166" t="s">
        <v>364</v>
      </c>
      <c r="D424" s="166"/>
      <c r="E424" s="182"/>
      <c r="F424" s="182"/>
      <c r="G424" s="183">
        <f t="shared" si="113"/>
        <v>0</v>
      </c>
      <c r="H424" s="183"/>
      <c r="I424" s="182"/>
      <c r="J424" s="182"/>
      <c r="K424" s="182"/>
      <c r="L424" s="182"/>
      <c r="M424" s="182"/>
      <c r="N424" s="182"/>
      <c r="O424" s="182"/>
      <c r="P424" s="182"/>
      <c r="Q424" s="182"/>
    </row>
    <row r="425" spans="1:22" hidden="1" x14ac:dyDescent="0.25">
      <c r="A425" s="202">
        <v>5336</v>
      </c>
      <c r="B425" s="165">
        <v>484200</v>
      </c>
      <c r="C425" s="166" t="s">
        <v>365</v>
      </c>
      <c r="D425" s="166"/>
      <c r="E425" s="182"/>
      <c r="F425" s="182"/>
      <c r="G425" s="183">
        <f t="shared" si="113"/>
        <v>0</v>
      </c>
      <c r="H425" s="183"/>
      <c r="I425" s="182"/>
      <c r="J425" s="182"/>
      <c r="K425" s="182"/>
      <c r="L425" s="182"/>
      <c r="M425" s="182"/>
      <c r="N425" s="182"/>
      <c r="O425" s="182"/>
      <c r="P425" s="182"/>
      <c r="Q425" s="182"/>
    </row>
    <row r="426" spans="1:22" ht="51.75" hidden="1" x14ac:dyDescent="0.25">
      <c r="A426" s="244">
        <v>5337</v>
      </c>
      <c r="B426" s="235">
        <v>485000</v>
      </c>
      <c r="C426" s="158" t="s">
        <v>366</v>
      </c>
      <c r="D426" s="158"/>
      <c r="E426" s="159">
        <f>E427</f>
        <v>0</v>
      </c>
      <c r="F426" s="159"/>
      <c r="G426" s="159">
        <f t="shared" si="113"/>
        <v>0</v>
      </c>
      <c r="H426" s="159"/>
      <c r="I426" s="159">
        <f t="shared" ref="I426:Q426" si="129">I427</f>
        <v>0</v>
      </c>
      <c r="J426" s="159">
        <f t="shared" si="129"/>
        <v>0</v>
      </c>
      <c r="K426" s="159"/>
      <c r="L426" s="159">
        <f t="shared" si="129"/>
        <v>0</v>
      </c>
      <c r="M426" s="159"/>
      <c r="N426" s="159">
        <f t="shared" si="129"/>
        <v>0</v>
      </c>
      <c r="O426" s="159">
        <f t="shared" si="129"/>
        <v>0</v>
      </c>
      <c r="P426" s="159"/>
      <c r="Q426" s="159">
        <f t="shared" si="129"/>
        <v>0</v>
      </c>
    </row>
    <row r="427" spans="1:22" ht="39" hidden="1" x14ac:dyDescent="0.25">
      <c r="A427" s="202">
        <v>5338</v>
      </c>
      <c r="B427" s="165">
        <v>485100</v>
      </c>
      <c r="C427" s="166" t="s">
        <v>367</v>
      </c>
      <c r="D427" s="166"/>
      <c r="E427" s="182"/>
      <c r="F427" s="182"/>
      <c r="G427" s="183">
        <f t="shared" si="113"/>
        <v>0</v>
      </c>
      <c r="H427" s="183"/>
      <c r="I427" s="182"/>
      <c r="J427" s="182"/>
      <c r="K427" s="182"/>
      <c r="L427" s="182"/>
      <c r="M427" s="182"/>
      <c r="N427" s="182"/>
      <c r="O427" s="182"/>
      <c r="P427" s="182"/>
      <c r="Q427" s="182"/>
    </row>
    <row r="428" spans="1:22" hidden="1" x14ac:dyDescent="0.25">
      <c r="A428" s="598" t="s">
        <v>0</v>
      </c>
      <c r="B428" s="599" t="s">
        <v>1</v>
      </c>
      <c r="C428" s="598" t="s">
        <v>2</v>
      </c>
      <c r="D428" s="243"/>
      <c r="E428" s="598" t="s">
        <v>217</v>
      </c>
      <c r="F428" s="243"/>
      <c r="G428" s="600" t="s">
        <v>198</v>
      </c>
      <c r="H428" s="600"/>
      <c r="I428" s="601"/>
      <c r="J428" s="601"/>
      <c r="K428" s="601"/>
      <c r="L428" s="601"/>
      <c r="M428" s="601"/>
      <c r="N428" s="601"/>
      <c r="O428" s="601"/>
      <c r="P428" s="601"/>
      <c r="Q428" s="601"/>
    </row>
    <row r="429" spans="1:22" hidden="1" x14ac:dyDescent="0.25">
      <c r="A429" s="598"/>
      <c r="B429" s="599"/>
      <c r="C429" s="598"/>
      <c r="D429" s="243"/>
      <c r="E429" s="598"/>
      <c r="F429" s="243"/>
      <c r="G429" s="600" t="s">
        <v>199</v>
      </c>
      <c r="H429" s="235"/>
      <c r="I429" s="600" t="s">
        <v>200</v>
      </c>
      <c r="J429" s="601"/>
      <c r="K429" s="601"/>
      <c r="L429" s="601"/>
      <c r="M429" s="601"/>
      <c r="N429" s="601"/>
      <c r="O429" s="600" t="s">
        <v>7</v>
      </c>
      <c r="P429" s="235"/>
      <c r="Q429" s="600" t="s">
        <v>8</v>
      </c>
    </row>
    <row r="430" spans="1:22" ht="39" hidden="1" x14ac:dyDescent="0.25">
      <c r="A430" s="598"/>
      <c r="B430" s="599"/>
      <c r="C430" s="598"/>
      <c r="D430" s="243"/>
      <c r="E430" s="598"/>
      <c r="F430" s="243"/>
      <c r="G430" s="601"/>
      <c r="H430" s="245"/>
      <c r="I430" s="235" t="s">
        <v>201</v>
      </c>
      <c r="J430" s="235" t="s">
        <v>10</v>
      </c>
      <c r="K430" s="235"/>
      <c r="L430" s="235" t="s">
        <v>11</v>
      </c>
      <c r="M430" s="235"/>
      <c r="N430" s="235" t="s">
        <v>12</v>
      </c>
      <c r="O430" s="601"/>
      <c r="P430" s="245"/>
      <c r="Q430" s="601"/>
    </row>
    <row r="431" spans="1:22" ht="26.25" hidden="1" x14ac:dyDescent="0.25">
      <c r="A431" s="242" t="s">
        <v>18</v>
      </c>
      <c r="B431" s="242" t="s">
        <v>19</v>
      </c>
      <c r="C431" s="242" t="s">
        <v>20</v>
      </c>
      <c r="D431" s="242"/>
      <c r="E431" s="242" t="s">
        <v>21</v>
      </c>
      <c r="F431" s="242"/>
      <c r="G431" s="242" t="s">
        <v>22</v>
      </c>
      <c r="H431" s="242"/>
      <c r="I431" s="242" t="s">
        <v>23</v>
      </c>
      <c r="J431" s="242" t="s">
        <v>24</v>
      </c>
      <c r="K431" s="242"/>
      <c r="L431" s="242" t="s">
        <v>25</v>
      </c>
      <c r="M431" s="242"/>
      <c r="N431" s="242" t="s">
        <v>26</v>
      </c>
      <c r="O431" s="242" t="s">
        <v>27</v>
      </c>
      <c r="P431" s="242"/>
      <c r="Q431" s="242" t="s">
        <v>28</v>
      </c>
    </row>
    <row r="432" spans="1:22" ht="90" hidden="1" x14ac:dyDescent="0.25">
      <c r="A432" s="244">
        <v>5339</v>
      </c>
      <c r="B432" s="235">
        <v>489000</v>
      </c>
      <c r="C432" s="158" t="s">
        <v>368</v>
      </c>
      <c r="D432" s="158"/>
      <c r="E432" s="159">
        <f>E433</f>
        <v>0</v>
      </c>
      <c r="F432" s="159"/>
      <c r="G432" s="159">
        <f t="shared" si="113"/>
        <v>0</v>
      </c>
      <c r="H432" s="159"/>
      <c r="I432" s="159">
        <f t="shared" ref="I432:Q432" si="130">I433</f>
        <v>0</v>
      </c>
      <c r="J432" s="159">
        <f t="shared" si="130"/>
        <v>0</v>
      </c>
      <c r="K432" s="159"/>
      <c r="L432" s="159">
        <f t="shared" si="130"/>
        <v>0</v>
      </c>
      <c r="M432" s="159"/>
      <c r="N432" s="159">
        <f t="shared" si="130"/>
        <v>0</v>
      </c>
      <c r="O432" s="159">
        <f t="shared" si="130"/>
        <v>0</v>
      </c>
      <c r="P432" s="159"/>
      <c r="Q432" s="159">
        <f t="shared" si="130"/>
        <v>0</v>
      </c>
    </row>
    <row r="433" spans="1:22" ht="51.75" hidden="1" x14ac:dyDescent="0.25">
      <c r="A433" s="202">
        <v>5340</v>
      </c>
      <c r="B433" s="165">
        <v>489100</v>
      </c>
      <c r="C433" s="166" t="s">
        <v>369</v>
      </c>
      <c r="D433" s="166"/>
      <c r="E433" s="182"/>
      <c r="F433" s="182"/>
      <c r="G433" s="183">
        <f t="shared" si="113"/>
        <v>0</v>
      </c>
      <c r="H433" s="183"/>
      <c r="I433" s="182"/>
      <c r="J433" s="182"/>
      <c r="K433" s="182"/>
      <c r="L433" s="182"/>
      <c r="M433" s="182"/>
      <c r="N433" s="182"/>
      <c r="O433" s="182"/>
      <c r="P433" s="182"/>
      <c r="Q433" s="182"/>
    </row>
    <row r="434" spans="1:22" ht="51.75" x14ac:dyDescent="0.25">
      <c r="A434" s="244">
        <v>5341</v>
      </c>
      <c r="B434" s="235">
        <v>500000</v>
      </c>
      <c r="C434" s="158" t="s">
        <v>370</v>
      </c>
      <c r="D434" s="158"/>
      <c r="E434" s="159">
        <f>E435+E458+E471+E474+E482</f>
        <v>35552</v>
      </c>
      <c r="F434" s="159">
        <f t="shared" ref="F434:Q434" si="131">F435+F458+F471+F474+F482</f>
        <v>27583</v>
      </c>
      <c r="G434" s="159">
        <f t="shared" si="131"/>
        <v>17123</v>
      </c>
      <c r="H434" s="159">
        <f t="shared" si="131"/>
        <v>20000</v>
      </c>
      <c r="I434" s="159">
        <f t="shared" si="131"/>
        <v>15250</v>
      </c>
      <c r="J434" s="159">
        <f t="shared" si="131"/>
        <v>0</v>
      </c>
      <c r="K434" s="159">
        <f t="shared" si="131"/>
        <v>2018</v>
      </c>
      <c r="L434" s="159">
        <f t="shared" si="131"/>
        <v>0</v>
      </c>
      <c r="M434" s="159">
        <f t="shared" si="131"/>
        <v>0</v>
      </c>
      <c r="N434" s="159">
        <f t="shared" si="131"/>
        <v>0</v>
      </c>
      <c r="O434" s="159">
        <f t="shared" si="131"/>
        <v>0</v>
      </c>
      <c r="P434" s="159">
        <f t="shared" si="131"/>
        <v>5565</v>
      </c>
      <c r="Q434" s="159">
        <f t="shared" si="131"/>
        <v>1813</v>
      </c>
    </row>
    <row r="435" spans="1:22" ht="26.25" x14ac:dyDescent="0.25">
      <c r="A435" s="244">
        <v>5342</v>
      </c>
      <c r="B435" s="235">
        <v>510000</v>
      </c>
      <c r="C435" s="158" t="s">
        <v>371</v>
      </c>
      <c r="D435" s="158"/>
      <c r="E435" s="159">
        <f>E436+E441+E452+E454+E456</f>
        <v>35552</v>
      </c>
      <c r="F435" s="159">
        <f t="shared" ref="F435:Q435" si="132">F436+F441+F452+F454+F456</f>
        <v>27583</v>
      </c>
      <c r="G435" s="159">
        <f t="shared" si="132"/>
        <v>17123</v>
      </c>
      <c r="H435" s="159">
        <f t="shared" si="132"/>
        <v>20000</v>
      </c>
      <c r="I435" s="159">
        <f t="shared" si="132"/>
        <v>15250</v>
      </c>
      <c r="J435" s="159">
        <f t="shared" si="132"/>
        <v>0</v>
      </c>
      <c r="K435" s="159">
        <f t="shared" si="132"/>
        <v>2018</v>
      </c>
      <c r="L435" s="159">
        <f t="shared" si="132"/>
        <v>0</v>
      </c>
      <c r="M435" s="159">
        <f t="shared" si="132"/>
        <v>0</v>
      </c>
      <c r="N435" s="159">
        <f t="shared" si="132"/>
        <v>0</v>
      </c>
      <c r="O435" s="159">
        <f t="shared" si="132"/>
        <v>0</v>
      </c>
      <c r="P435" s="159">
        <f t="shared" si="132"/>
        <v>5565</v>
      </c>
      <c r="Q435" s="159">
        <f t="shared" si="132"/>
        <v>1813</v>
      </c>
    </row>
    <row r="436" spans="1:22" ht="26.25" x14ac:dyDescent="0.25">
      <c r="A436" s="244">
        <v>5343</v>
      </c>
      <c r="B436" s="235">
        <v>511000</v>
      </c>
      <c r="C436" s="158" t="s">
        <v>372</v>
      </c>
      <c r="D436" s="158"/>
      <c r="E436" s="159">
        <f>SUM(E437:E440)</f>
        <v>6000</v>
      </c>
      <c r="F436" s="159">
        <f t="shared" ref="F436:Q436" si="133">SUM(F437:F440)</f>
        <v>2124</v>
      </c>
      <c r="G436" s="159">
        <f t="shared" si="133"/>
        <v>1450</v>
      </c>
      <c r="H436" s="159">
        <f t="shared" si="133"/>
        <v>2000</v>
      </c>
      <c r="I436" s="159">
        <f t="shared" si="133"/>
        <v>1450</v>
      </c>
      <c r="J436" s="159">
        <f t="shared" si="133"/>
        <v>0</v>
      </c>
      <c r="K436" s="159">
        <f t="shared" si="133"/>
        <v>0</v>
      </c>
      <c r="L436" s="159">
        <f t="shared" si="133"/>
        <v>0</v>
      </c>
      <c r="M436" s="159">
        <f t="shared" si="133"/>
        <v>0</v>
      </c>
      <c r="N436" s="159">
        <f t="shared" si="133"/>
        <v>0</v>
      </c>
      <c r="O436" s="159">
        <f t="shared" si="133"/>
        <v>0</v>
      </c>
      <c r="P436" s="159">
        <f t="shared" si="133"/>
        <v>124</v>
      </c>
      <c r="Q436" s="159">
        <f t="shared" si="133"/>
        <v>0</v>
      </c>
    </row>
    <row r="437" spans="1:22" hidden="1" x14ac:dyDescent="0.25">
      <c r="A437" s="202">
        <v>5344</v>
      </c>
      <c r="B437" s="165">
        <v>511100</v>
      </c>
      <c r="C437" s="166" t="s">
        <v>373</v>
      </c>
      <c r="D437" s="166"/>
      <c r="E437" s="182"/>
      <c r="F437" s="182"/>
      <c r="G437" s="183">
        <f t="shared" si="113"/>
        <v>0</v>
      </c>
      <c r="H437" s="183"/>
      <c r="I437" s="182"/>
      <c r="J437" s="182"/>
      <c r="K437" s="182"/>
      <c r="L437" s="182"/>
      <c r="M437" s="182"/>
      <c r="N437" s="182"/>
      <c r="O437" s="182"/>
      <c r="P437" s="182"/>
      <c r="Q437" s="182"/>
    </row>
    <row r="438" spans="1:22" hidden="1" x14ac:dyDescent="0.25">
      <c r="A438" s="202">
        <v>5345</v>
      </c>
      <c r="B438" s="165">
        <v>511200</v>
      </c>
      <c r="C438" s="166" t="s">
        <v>374</v>
      </c>
      <c r="D438" s="166"/>
      <c r="E438" s="182"/>
      <c r="F438" s="182"/>
      <c r="G438" s="183">
        <f t="shared" si="113"/>
        <v>0</v>
      </c>
      <c r="H438" s="183"/>
      <c r="I438" s="182"/>
      <c r="J438" s="182"/>
      <c r="K438" s="182"/>
      <c r="L438" s="182"/>
      <c r="M438" s="182"/>
      <c r="N438" s="182"/>
      <c r="O438" s="182"/>
      <c r="P438" s="182"/>
      <c r="Q438" s="182"/>
    </row>
    <row r="439" spans="1:22" ht="24.75" customHeight="1" x14ac:dyDescent="0.25">
      <c r="A439" s="202">
        <v>5346</v>
      </c>
      <c r="B439" s="165">
        <v>511300</v>
      </c>
      <c r="C439" s="166" t="s">
        <v>375</v>
      </c>
      <c r="D439" s="166"/>
      <c r="E439" s="182">
        <v>6000</v>
      </c>
      <c r="F439" s="182">
        <f>H439+K439+M439+P439</f>
        <v>2124</v>
      </c>
      <c r="G439" s="183">
        <f t="shared" ref="G439" si="134">SUM(I439:Q439)-K439-M439-P439</f>
        <v>1450</v>
      </c>
      <c r="H439" s="183">
        <v>2000</v>
      </c>
      <c r="I439" s="182">
        <v>1450</v>
      </c>
      <c r="J439" s="182"/>
      <c r="K439" s="182"/>
      <c r="L439" s="182"/>
      <c r="M439" s="182"/>
      <c r="N439" s="182"/>
      <c r="O439" s="182"/>
      <c r="P439" s="182">
        <v>124</v>
      </c>
      <c r="Q439" s="182"/>
      <c r="V439" s="152" t="s">
        <v>469</v>
      </c>
    </row>
    <row r="440" spans="1:22" hidden="1" x14ac:dyDescent="0.25">
      <c r="A440" s="202">
        <v>5347</v>
      </c>
      <c r="B440" s="165">
        <v>511400</v>
      </c>
      <c r="C440" s="166" t="s">
        <v>376</v>
      </c>
      <c r="D440" s="166"/>
      <c r="E440" s="182"/>
      <c r="F440" s="182"/>
      <c r="G440" s="183">
        <f t="shared" si="113"/>
        <v>0</v>
      </c>
      <c r="H440" s="183"/>
      <c r="I440" s="182"/>
      <c r="J440" s="182"/>
      <c r="K440" s="182"/>
      <c r="L440" s="182"/>
      <c r="M440" s="182"/>
      <c r="N440" s="182"/>
      <c r="O440" s="182"/>
      <c r="P440" s="182"/>
      <c r="Q440" s="182"/>
    </row>
    <row r="441" spans="1:22" ht="26.25" x14ac:dyDescent="0.25">
      <c r="A441" s="244">
        <v>5348</v>
      </c>
      <c r="B441" s="235">
        <v>512000</v>
      </c>
      <c r="C441" s="158" t="s">
        <v>377</v>
      </c>
      <c r="D441" s="158"/>
      <c r="E441" s="159">
        <f>SUM(E442:E451)</f>
        <v>29312</v>
      </c>
      <c r="F441" s="159">
        <f t="shared" ref="F441:Q441" si="135">SUM(F442:F451)</f>
        <v>25399</v>
      </c>
      <c r="G441" s="159">
        <f t="shared" si="135"/>
        <v>15613</v>
      </c>
      <c r="H441" s="159">
        <f t="shared" si="135"/>
        <v>18000</v>
      </c>
      <c r="I441" s="159">
        <f t="shared" si="135"/>
        <v>13800</v>
      </c>
      <c r="J441" s="159">
        <f t="shared" si="135"/>
        <v>0</v>
      </c>
      <c r="K441" s="159">
        <f t="shared" si="135"/>
        <v>2018</v>
      </c>
      <c r="L441" s="159">
        <f t="shared" si="135"/>
        <v>0</v>
      </c>
      <c r="M441" s="159">
        <f t="shared" si="135"/>
        <v>0</v>
      </c>
      <c r="N441" s="159">
        <f t="shared" si="135"/>
        <v>0</v>
      </c>
      <c r="O441" s="159">
        <f t="shared" si="135"/>
        <v>0</v>
      </c>
      <c r="P441" s="159">
        <f t="shared" si="135"/>
        <v>5381</v>
      </c>
      <c r="Q441" s="159">
        <f t="shared" si="135"/>
        <v>1813</v>
      </c>
    </row>
    <row r="442" spans="1:22" hidden="1" x14ac:dyDescent="0.25">
      <c r="A442" s="202">
        <v>5349</v>
      </c>
      <c r="B442" s="165">
        <v>512100</v>
      </c>
      <c r="C442" s="166" t="s">
        <v>378</v>
      </c>
      <c r="D442" s="166"/>
      <c r="E442" s="182"/>
      <c r="F442" s="182"/>
      <c r="G442" s="183">
        <f t="shared" si="113"/>
        <v>0</v>
      </c>
      <c r="H442" s="183"/>
      <c r="I442" s="182"/>
      <c r="J442" s="182"/>
      <c r="K442" s="182"/>
      <c r="L442" s="182"/>
      <c r="M442" s="182"/>
      <c r="N442" s="182"/>
      <c r="O442" s="182"/>
      <c r="P442" s="182"/>
      <c r="Q442" s="182"/>
    </row>
    <row r="443" spans="1:22" x14ac:dyDescent="0.25">
      <c r="A443" s="202">
        <v>5349</v>
      </c>
      <c r="B443" s="165">
        <v>512100</v>
      </c>
      <c r="C443" s="166" t="s">
        <v>378</v>
      </c>
      <c r="D443" s="166"/>
      <c r="E443" s="182"/>
      <c r="F443" s="182">
        <f>H443+K443+M443+P443</f>
        <v>3848</v>
      </c>
      <c r="G443" s="183"/>
      <c r="H443" s="183"/>
      <c r="I443" s="182"/>
      <c r="J443" s="182"/>
      <c r="K443" s="182"/>
      <c r="L443" s="182"/>
      <c r="M443" s="182"/>
      <c r="N443" s="182"/>
      <c r="O443" s="182"/>
      <c r="P443" s="185">
        <f>3960-112</f>
        <v>3848</v>
      </c>
      <c r="Q443" s="182"/>
    </row>
    <row r="444" spans="1:22" ht="28.5" x14ac:dyDescent="0.45">
      <c r="A444" s="202">
        <v>5350</v>
      </c>
      <c r="B444" s="165">
        <v>512200</v>
      </c>
      <c r="C444" s="166" t="s">
        <v>379</v>
      </c>
      <c r="D444" s="166"/>
      <c r="E444" s="182">
        <v>1312</v>
      </c>
      <c r="F444" s="182">
        <f>H444+K444+M444+P444</f>
        <v>1376</v>
      </c>
      <c r="G444" s="183">
        <f t="shared" ref="G444" si="136">SUM(I444:Q444)-K444-M444-P444</f>
        <v>1258</v>
      </c>
      <c r="H444" s="189"/>
      <c r="I444" s="182"/>
      <c r="J444" s="182"/>
      <c r="K444" s="182"/>
      <c r="L444" s="182"/>
      <c r="M444" s="182"/>
      <c r="N444" s="182"/>
      <c r="O444" s="182"/>
      <c r="P444" s="182">
        <f>2000-221-559-96+252</f>
        <v>1376</v>
      </c>
      <c r="Q444" s="182">
        <v>1258</v>
      </c>
      <c r="R444" s="152">
        <v>809</v>
      </c>
      <c r="S444" s="152">
        <v>1124</v>
      </c>
      <c r="T444" s="152">
        <f>S444-R444</f>
        <v>315</v>
      </c>
      <c r="V444" s="217" t="s">
        <v>538</v>
      </c>
    </row>
    <row r="445" spans="1:22" hidden="1" x14ac:dyDescent="0.25">
      <c r="A445" s="202">
        <v>5351</v>
      </c>
      <c r="B445" s="165">
        <v>512300</v>
      </c>
      <c r="C445" s="166" t="s">
        <v>380</v>
      </c>
      <c r="D445" s="166"/>
      <c r="E445" s="182"/>
      <c r="F445" s="182"/>
      <c r="G445" s="183">
        <f t="shared" si="113"/>
        <v>0</v>
      </c>
      <c r="H445" s="183"/>
      <c r="I445" s="182"/>
      <c r="J445" s="182"/>
      <c r="K445" s="182"/>
      <c r="L445" s="182"/>
      <c r="M445" s="182"/>
      <c r="N445" s="182"/>
      <c r="O445" s="182"/>
      <c r="P445" s="182"/>
      <c r="Q445" s="182"/>
    </row>
    <row r="446" spans="1:22" ht="26.25" hidden="1" x14ac:dyDescent="0.25">
      <c r="A446" s="202">
        <v>5352</v>
      </c>
      <c r="B446" s="165">
        <v>512400</v>
      </c>
      <c r="C446" s="166" t="s">
        <v>381</v>
      </c>
      <c r="D446" s="166"/>
      <c r="E446" s="182"/>
      <c r="F446" s="182"/>
      <c r="G446" s="183">
        <f t="shared" si="113"/>
        <v>0</v>
      </c>
      <c r="H446" s="183"/>
      <c r="I446" s="182"/>
      <c r="J446" s="182"/>
      <c r="K446" s="182"/>
      <c r="L446" s="182"/>
      <c r="M446" s="182"/>
      <c r="N446" s="182"/>
      <c r="O446" s="182"/>
      <c r="P446" s="182"/>
      <c r="Q446" s="182"/>
    </row>
    <row r="447" spans="1:22" ht="26.25" x14ac:dyDescent="0.25">
      <c r="A447" s="202">
        <v>5353</v>
      </c>
      <c r="B447" s="165">
        <v>512500</v>
      </c>
      <c r="C447" s="166" t="s">
        <v>382</v>
      </c>
      <c r="D447" s="166"/>
      <c r="E447" s="182">
        <v>28000</v>
      </c>
      <c r="F447" s="182">
        <f>H447+K447+M447+P447</f>
        <v>20175</v>
      </c>
      <c r="G447" s="183">
        <f t="shared" ref="G447" si="137">SUM(I447:Q447)-K447-M447-P447</f>
        <v>14355</v>
      </c>
      <c r="H447" s="183">
        <f>20000-2000</f>
        <v>18000</v>
      </c>
      <c r="I447" s="182">
        <v>13800</v>
      </c>
      <c r="J447" s="182"/>
      <c r="K447" s="182">
        <v>2018</v>
      </c>
      <c r="L447" s="182"/>
      <c r="M447" s="182"/>
      <c r="N447" s="182"/>
      <c r="O447" s="182"/>
      <c r="P447" s="185">
        <v>157</v>
      </c>
      <c r="Q447" s="182">
        <v>555</v>
      </c>
      <c r="V447" s="152" t="s">
        <v>469</v>
      </c>
    </row>
    <row r="448" spans="1:22" ht="26.25" hidden="1" x14ac:dyDescent="0.25">
      <c r="A448" s="202">
        <v>5354</v>
      </c>
      <c r="B448" s="165">
        <v>512600</v>
      </c>
      <c r="C448" s="166" t="s">
        <v>383</v>
      </c>
      <c r="D448" s="166"/>
      <c r="E448" s="182"/>
      <c r="F448" s="182"/>
      <c r="G448" s="183">
        <f t="shared" si="113"/>
        <v>0</v>
      </c>
      <c r="H448" s="183"/>
      <c r="I448" s="182"/>
      <c r="J448" s="182"/>
      <c r="K448" s="182"/>
      <c r="L448" s="182"/>
      <c r="M448" s="182"/>
      <c r="N448" s="182"/>
      <c r="O448" s="182"/>
      <c r="P448" s="182"/>
      <c r="Q448" s="182"/>
    </row>
    <row r="449" spans="1:17" hidden="1" x14ac:dyDescent="0.25">
      <c r="A449" s="202">
        <v>5355</v>
      </c>
      <c r="B449" s="165">
        <v>512700</v>
      </c>
      <c r="C449" s="166" t="s">
        <v>384</v>
      </c>
      <c r="D449" s="166"/>
      <c r="E449" s="182"/>
      <c r="F449" s="182"/>
      <c r="G449" s="183">
        <f t="shared" si="113"/>
        <v>0</v>
      </c>
      <c r="H449" s="183"/>
      <c r="I449" s="182"/>
      <c r="J449" s="182"/>
      <c r="K449" s="182"/>
      <c r="L449" s="182"/>
      <c r="M449" s="182"/>
      <c r="N449" s="182"/>
      <c r="O449" s="182"/>
      <c r="P449" s="182"/>
      <c r="Q449" s="182"/>
    </row>
    <row r="450" spans="1:17" hidden="1" x14ac:dyDescent="0.25">
      <c r="A450" s="202">
        <v>5356</v>
      </c>
      <c r="B450" s="165">
        <v>512800</v>
      </c>
      <c r="C450" s="166" t="s">
        <v>385</v>
      </c>
      <c r="D450" s="166"/>
      <c r="E450" s="182"/>
      <c r="F450" s="182"/>
      <c r="G450" s="183">
        <f t="shared" si="113"/>
        <v>0</v>
      </c>
      <c r="H450" s="183"/>
      <c r="I450" s="182"/>
      <c r="J450" s="182"/>
      <c r="K450" s="182"/>
      <c r="L450" s="182"/>
      <c r="M450" s="182"/>
      <c r="N450" s="182"/>
      <c r="O450" s="182"/>
      <c r="P450" s="182"/>
      <c r="Q450" s="182"/>
    </row>
    <row r="451" spans="1:17" ht="26.25" hidden="1" x14ac:dyDescent="0.25">
      <c r="A451" s="202">
        <v>5357</v>
      </c>
      <c r="B451" s="165">
        <v>512900</v>
      </c>
      <c r="C451" s="166" t="s">
        <v>386</v>
      </c>
      <c r="D451" s="166"/>
      <c r="E451" s="182"/>
      <c r="F451" s="182"/>
      <c r="G451" s="183">
        <f t="shared" si="113"/>
        <v>0</v>
      </c>
      <c r="H451" s="183"/>
      <c r="I451" s="182"/>
      <c r="J451" s="182"/>
      <c r="K451" s="182"/>
      <c r="L451" s="182"/>
      <c r="M451" s="182"/>
      <c r="N451" s="182"/>
      <c r="O451" s="182"/>
      <c r="P451" s="182"/>
      <c r="Q451" s="182"/>
    </row>
    <row r="452" spans="1:17" ht="26.25" hidden="1" x14ac:dyDescent="0.25">
      <c r="A452" s="244">
        <v>5358</v>
      </c>
      <c r="B452" s="235">
        <v>513000</v>
      </c>
      <c r="C452" s="158" t="s">
        <v>387</v>
      </c>
      <c r="D452" s="158"/>
      <c r="E452" s="159">
        <f>E453</f>
        <v>0</v>
      </c>
      <c r="F452" s="159"/>
      <c r="G452" s="159">
        <f t="shared" si="113"/>
        <v>0</v>
      </c>
      <c r="H452" s="159"/>
      <c r="I452" s="159">
        <f t="shared" ref="I452:Q452" si="138">I453</f>
        <v>0</v>
      </c>
      <c r="J452" s="159">
        <f t="shared" si="138"/>
        <v>0</v>
      </c>
      <c r="K452" s="159"/>
      <c r="L452" s="159">
        <f t="shared" si="138"/>
        <v>0</v>
      </c>
      <c r="M452" s="159"/>
      <c r="N452" s="159">
        <f t="shared" si="138"/>
        <v>0</v>
      </c>
      <c r="O452" s="159">
        <f t="shared" si="138"/>
        <v>0</v>
      </c>
      <c r="P452" s="159"/>
      <c r="Q452" s="159">
        <f t="shared" si="138"/>
        <v>0</v>
      </c>
    </row>
    <row r="453" spans="1:17" hidden="1" x14ac:dyDescent="0.25">
      <c r="A453" s="202">
        <v>5359</v>
      </c>
      <c r="B453" s="165">
        <v>513100</v>
      </c>
      <c r="C453" s="166" t="s">
        <v>388</v>
      </c>
      <c r="D453" s="166"/>
      <c r="E453" s="182"/>
      <c r="F453" s="182"/>
      <c r="G453" s="183">
        <f t="shared" si="113"/>
        <v>0</v>
      </c>
      <c r="H453" s="183"/>
      <c r="I453" s="182"/>
      <c r="J453" s="182"/>
      <c r="K453" s="182"/>
      <c r="L453" s="182"/>
      <c r="M453" s="182"/>
      <c r="N453" s="182"/>
      <c r="O453" s="182"/>
      <c r="P453" s="182"/>
      <c r="Q453" s="182"/>
    </row>
    <row r="454" spans="1:17" ht="26.25" hidden="1" x14ac:dyDescent="0.25">
      <c r="A454" s="244">
        <v>5360</v>
      </c>
      <c r="B454" s="235">
        <v>514000</v>
      </c>
      <c r="C454" s="158" t="s">
        <v>389</v>
      </c>
      <c r="D454" s="158"/>
      <c r="E454" s="159">
        <f>E455</f>
        <v>0</v>
      </c>
      <c r="F454" s="159"/>
      <c r="G454" s="159">
        <f t="shared" si="113"/>
        <v>0</v>
      </c>
      <c r="H454" s="159"/>
      <c r="I454" s="159">
        <f t="shared" ref="I454:Q454" si="139">I455</f>
        <v>0</v>
      </c>
      <c r="J454" s="159">
        <f t="shared" si="139"/>
        <v>0</v>
      </c>
      <c r="K454" s="159"/>
      <c r="L454" s="159">
        <f t="shared" si="139"/>
        <v>0</v>
      </c>
      <c r="M454" s="159"/>
      <c r="N454" s="159">
        <f t="shared" si="139"/>
        <v>0</v>
      </c>
      <c r="O454" s="159">
        <f t="shared" si="139"/>
        <v>0</v>
      </c>
      <c r="P454" s="159"/>
      <c r="Q454" s="159">
        <f t="shared" si="139"/>
        <v>0</v>
      </c>
    </row>
    <row r="455" spans="1:17" hidden="1" x14ac:dyDescent="0.25">
      <c r="A455" s="202">
        <v>5361</v>
      </c>
      <c r="B455" s="165">
        <v>514100</v>
      </c>
      <c r="C455" s="166" t="s">
        <v>390</v>
      </c>
      <c r="D455" s="166"/>
      <c r="E455" s="182"/>
      <c r="F455" s="182"/>
      <c r="G455" s="183">
        <f t="shared" si="113"/>
        <v>0</v>
      </c>
      <c r="H455" s="183"/>
      <c r="I455" s="182"/>
      <c r="J455" s="182"/>
      <c r="K455" s="182"/>
      <c r="L455" s="182"/>
      <c r="M455" s="182"/>
      <c r="N455" s="182"/>
      <c r="O455" s="182"/>
      <c r="P455" s="182"/>
      <c r="Q455" s="182"/>
    </row>
    <row r="456" spans="1:17" ht="26.25" x14ac:dyDescent="0.25">
      <c r="A456" s="244">
        <v>5362</v>
      </c>
      <c r="B456" s="235">
        <v>515000</v>
      </c>
      <c r="C456" s="158" t="s">
        <v>391</v>
      </c>
      <c r="D456" s="158"/>
      <c r="E456" s="159">
        <f>E457</f>
        <v>240</v>
      </c>
      <c r="F456" s="159">
        <f t="shared" ref="F456:Q456" si="140">F457</f>
        <v>60</v>
      </c>
      <c r="G456" s="159">
        <f t="shared" si="140"/>
        <v>60</v>
      </c>
      <c r="H456" s="159">
        <f t="shared" si="140"/>
        <v>0</v>
      </c>
      <c r="I456" s="159">
        <f t="shared" si="140"/>
        <v>0</v>
      </c>
      <c r="J456" s="159">
        <f t="shared" si="140"/>
        <v>0</v>
      </c>
      <c r="K456" s="159">
        <f t="shared" si="140"/>
        <v>0</v>
      </c>
      <c r="L456" s="159">
        <f t="shared" si="140"/>
        <v>0</v>
      </c>
      <c r="M456" s="159">
        <f t="shared" si="140"/>
        <v>0</v>
      </c>
      <c r="N456" s="159">
        <f t="shared" si="140"/>
        <v>0</v>
      </c>
      <c r="O456" s="159">
        <f t="shared" si="140"/>
        <v>0</v>
      </c>
      <c r="P456" s="159">
        <f t="shared" si="140"/>
        <v>60</v>
      </c>
      <c r="Q456" s="159">
        <f t="shared" si="140"/>
        <v>0</v>
      </c>
    </row>
    <row r="457" spans="1:17" x14ac:dyDescent="0.25">
      <c r="A457" s="202">
        <v>5363</v>
      </c>
      <c r="B457" s="165">
        <v>515100</v>
      </c>
      <c r="C457" s="166" t="s">
        <v>392</v>
      </c>
      <c r="D457" s="166"/>
      <c r="E457" s="182">
        <v>240</v>
      </c>
      <c r="F457" s="182">
        <f>H457+K457+M457+P457</f>
        <v>60</v>
      </c>
      <c r="G457" s="183">
        <f t="shared" si="113"/>
        <v>60</v>
      </c>
      <c r="H457" s="183"/>
      <c r="I457" s="182"/>
      <c r="J457" s="182"/>
      <c r="K457" s="182"/>
      <c r="L457" s="182"/>
      <c r="M457" s="182"/>
      <c r="N457" s="182"/>
      <c r="O457" s="182"/>
      <c r="P457" s="182">
        <f>100-40</f>
        <v>60</v>
      </c>
      <c r="Q457" s="182"/>
    </row>
    <row r="458" spans="1:17" hidden="1" x14ac:dyDescent="0.25">
      <c r="A458" s="244">
        <v>5364</v>
      </c>
      <c r="B458" s="235">
        <v>520000</v>
      </c>
      <c r="C458" s="158" t="s">
        <v>393</v>
      </c>
      <c r="D458" s="158"/>
      <c r="E458" s="159">
        <f>E459+E461+E469</f>
        <v>0</v>
      </c>
      <c r="F458" s="159"/>
      <c r="G458" s="159">
        <f t="shared" ref="G458:G535" si="141">SUM(I458:Q458)</f>
        <v>0</v>
      </c>
      <c r="H458" s="159"/>
      <c r="I458" s="159">
        <f t="shared" ref="I458:Q458" si="142">I459+I461+I469</f>
        <v>0</v>
      </c>
      <c r="J458" s="159">
        <f t="shared" si="142"/>
        <v>0</v>
      </c>
      <c r="K458" s="159"/>
      <c r="L458" s="159">
        <f t="shared" si="142"/>
        <v>0</v>
      </c>
      <c r="M458" s="159"/>
      <c r="N458" s="159">
        <f t="shared" si="142"/>
        <v>0</v>
      </c>
      <c r="O458" s="159">
        <f t="shared" si="142"/>
        <v>0</v>
      </c>
      <c r="P458" s="159"/>
      <c r="Q458" s="159">
        <f t="shared" si="142"/>
        <v>0</v>
      </c>
    </row>
    <row r="459" spans="1:17" hidden="1" x14ac:dyDescent="0.25">
      <c r="A459" s="244">
        <v>5365</v>
      </c>
      <c r="B459" s="235">
        <v>521000</v>
      </c>
      <c r="C459" s="158" t="s">
        <v>394</v>
      </c>
      <c r="D459" s="158"/>
      <c r="E459" s="159">
        <f>E460</f>
        <v>0</v>
      </c>
      <c r="F459" s="159"/>
      <c r="G459" s="159">
        <f t="shared" si="141"/>
        <v>0</v>
      </c>
      <c r="H459" s="159"/>
      <c r="I459" s="159">
        <f t="shared" ref="I459:Q459" si="143">I460</f>
        <v>0</v>
      </c>
      <c r="J459" s="159">
        <f t="shared" si="143"/>
        <v>0</v>
      </c>
      <c r="K459" s="159"/>
      <c r="L459" s="159">
        <f t="shared" si="143"/>
        <v>0</v>
      </c>
      <c r="M459" s="159"/>
      <c r="N459" s="159">
        <f t="shared" si="143"/>
        <v>0</v>
      </c>
      <c r="O459" s="159">
        <f t="shared" si="143"/>
        <v>0</v>
      </c>
      <c r="P459" s="159"/>
      <c r="Q459" s="159">
        <f t="shared" si="143"/>
        <v>0</v>
      </c>
    </row>
    <row r="460" spans="1:17" hidden="1" x14ac:dyDescent="0.25">
      <c r="A460" s="202">
        <v>5366</v>
      </c>
      <c r="B460" s="165">
        <v>521100</v>
      </c>
      <c r="C460" s="166" t="s">
        <v>395</v>
      </c>
      <c r="D460" s="166"/>
      <c r="E460" s="182"/>
      <c r="F460" s="182"/>
      <c r="G460" s="183">
        <f t="shared" si="141"/>
        <v>0</v>
      </c>
      <c r="H460" s="183"/>
      <c r="I460" s="182"/>
      <c r="J460" s="182"/>
      <c r="K460" s="182"/>
      <c r="L460" s="182"/>
      <c r="M460" s="182"/>
      <c r="N460" s="182"/>
      <c r="O460" s="182"/>
      <c r="P460" s="182"/>
      <c r="Q460" s="182"/>
    </row>
    <row r="461" spans="1:17" ht="26.25" hidden="1" x14ac:dyDescent="0.25">
      <c r="A461" s="244">
        <v>5367</v>
      </c>
      <c r="B461" s="235">
        <v>522000</v>
      </c>
      <c r="C461" s="158" t="s">
        <v>396</v>
      </c>
      <c r="D461" s="158"/>
      <c r="E461" s="159">
        <f>SUM(E462:E468)</f>
        <v>0</v>
      </c>
      <c r="F461" s="159"/>
      <c r="G461" s="159">
        <f t="shared" si="141"/>
        <v>0</v>
      </c>
      <c r="H461" s="159"/>
      <c r="I461" s="159">
        <f t="shared" ref="I461:Q461" si="144">SUM(I462:I468)</f>
        <v>0</v>
      </c>
      <c r="J461" s="159">
        <f t="shared" si="144"/>
        <v>0</v>
      </c>
      <c r="K461" s="159"/>
      <c r="L461" s="159">
        <f t="shared" si="144"/>
        <v>0</v>
      </c>
      <c r="M461" s="159"/>
      <c r="N461" s="159">
        <f t="shared" si="144"/>
        <v>0</v>
      </c>
      <c r="O461" s="159">
        <f t="shared" si="144"/>
        <v>0</v>
      </c>
      <c r="P461" s="159"/>
      <c r="Q461" s="159">
        <f t="shared" si="144"/>
        <v>0</v>
      </c>
    </row>
    <row r="462" spans="1:17" hidden="1" x14ac:dyDescent="0.25">
      <c r="A462" s="202">
        <v>5368</v>
      </c>
      <c r="B462" s="165">
        <v>522100</v>
      </c>
      <c r="C462" s="166" t="s">
        <v>397</v>
      </c>
      <c r="D462" s="166"/>
      <c r="E462" s="182"/>
      <c r="F462" s="182"/>
      <c r="G462" s="183">
        <f t="shared" si="141"/>
        <v>0</v>
      </c>
      <c r="H462" s="183"/>
      <c r="I462" s="182"/>
      <c r="J462" s="182"/>
      <c r="K462" s="182"/>
      <c r="L462" s="182"/>
      <c r="M462" s="182"/>
      <c r="N462" s="182"/>
      <c r="O462" s="182"/>
      <c r="P462" s="182"/>
      <c r="Q462" s="182"/>
    </row>
    <row r="463" spans="1:17" hidden="1" x14ac:dyDescent="0.25">
      <c r="A463" s="598" t="s">
        <v>0</v>
      </c>
      <c r="B463" s="599" t="s">
        <v>1</v>
      </c>
      <c r="C463" s="598" t="s">
        <v>2</v>
      </c>
      <c r="D463" s="243"/>
      <c r="E463" s="598" t="s">
        <v>217</v>
      </c>
      <c r="F463" s="243"/>
      <c r="G463" s="600" t="s">
        <v>198</v>
      </c>
      <c r="H463" s="600"/>
      <c r="I463" s="601"/>
      <c r="J463" s="601"/>
      <c r="K463" s="601"/>
      <c r="L463" s="601"/>
      <c r="M463" s="601"/>
      <c r="N463" s="601"/>
      <c r="O463" s="601"/>
      <c r="P463" s="601"/>
      <c r="Q463" s="601"/>
    </row>
    <row r="464" spans="1:17" hidden="1" x14ac:dyDescent="0.25">
      <c r="A464" s="598"/>
      <c r="B464" s="599"/>
      <c r="C464" s="598"/>
      <c r="D464" s="243"/>
      <c r="E464" s="598"/>
      <c r="F464" s="243"/>
      <c r="G464" s="600" t="s">
        <v>199</v>
      </c>
      <c r="H464" s="235"/>
      <c r="I464" s="600" t="s">
        <v>200</v>
      </c>
      <c r="J464" s="601"/>
      <c r="K464" s="601"/>
      <c r="L464" s="601"/>
      <c r="M464" s="601"/>
      <c r="N464" s="601"/>
      <c r="O464" s="600" t="s">
        <v>7</v>
      </c>
      <c r="P464" s="235"/>
      <c r="Q464" s="600" t="s">
        <v>8</v>
      </c>
    </row>
    <row r="465" spans="1:17" ht="39" hidden="1" x14ac:dyDescent="0.25">
      <c r="A465" s="598"/>
      <c r="B465" s="599"/>
      <c r="C465" s="598"/>
      <c r="D465" s="243"/>
      <c r="E465" s="598"/>
      <c r="F465" s="243"/>
      <c r="G465" s="601"/>
      <c r="H465" s="245"/>
      <c r="I465" s="235" t="s">
        <v>201</v>
      </c>
      <c r="J465" s="235" t="s">
        <v>10</v>
      </c>
      <c r="K465" s="235"/>
      <c r="L465" s="235" t="s">
        <v>11</v>
      </c>
      <c r="M465" s="235"/>
      <c r="N465" s="235" t="s">
        <v>12</v>
      </c>
      <c r="O465" s="601"/>
      <c r="P465" s="245"/>
      <c r="Q465" s="601"/>
    </row>
    <row r="466" spans="1:17" ht="26.25" hidden="1" x14ac:dyDescent="0.25">
      <c r="A466" s="242" t="s">
        <v>18</v>
      </c>
      <c r="B466" s="242" t="s">
        <v>19</v>
      </c>
      <c r="C466" s="242" t="s">
        <v>20</v>
      </c>
      <c r="D466" s="242"/>
      <c r="E466" s="242" t="s">
        <v>21</v>
      </c>
      <c r="F466" s="242"/>
      <c r="G466" s="242" t="s">
        <v>22</v>
      </c>
      <c r="H466" s="242"/>
      <c r="I466" s="242" t="s">
        <v>23</v>
      </c>
      <c r="J466" s="242" t="s">
        <v>24</v>
      </c>
      <c r="K466" s="242"/>
      <c r="L466" s="242" t="s">
        <v>25</v>
      </c>
      <c r="M466" s="242"/>
      <c r="N466" s="242" t="s">
        <v>26</v>
      </c>
      <c r="O466" s="242" t="s">
        <v>27</v>
      </c>
      <c r="P466" s="242"/>
      <c r="Q466" s="242" t="s">
        <v>28</v>
      </c>
    </row>
    <row r="467" spans="1:17" hidden="1" x14ac:dyDescent="0.25">
      <c r="A467" s="202">
        <v>5369</v>
      </c>
      <c r="B467" s="165">
        <v>522200</v>
      </c>
      <c r="C467" s="166" t="s">
        <v>398</v>
      </c>
      <c r="D467" s="166"/>
      <c r="E467" s="182"/>
      <c r="F467" s="182"/>
      <c r="G467" s="183">
        <f t="shared" si="141"/>
        <v>0</v>
      </c>
      <c r="H467" s="183"/>
      <c r="I467" s="182"/>
      <c r="J467" s="182"/>
      <c r="K467" s="182"/>
      <c r="L467" s="182"/>
      <c r="M467" s="182"/>
      <c r="N467" s="182"/>
      <c r="O467" s="182"/>
      <c r="P467" s="182"/>
      <c r="Q467" s="182"/>
    </row>
    <row r="468" spans="1:17" hidden="1" x14ac:dyDescent="0.25">
      <c r="A468" s="202">
        <v>5370</v>
      </c>
      <c r="B468" s="165">
        <v>522300</v>
      </c>
      <c r="C468" s="166" t="s">
        <v>399</v>
      </c>
      <c r="D468" s="166"/>
      <c r="E468" s="182"/>
      <c r="F468" s="182"/>
      <c r="G468" s="183">
        <f t="shared" si="141"/>
        <v>0</v>
      </c>
      <c r="H468" s="183"/>
      <c r="I468" s="182"/>
      <c r="J468" s="182"/>
      <c r="K468" s="182"/>
      <c r="L468" s="182"/>
      <c r="M468" s="182"/>
      <c r="N468" s="182"/>
      <c r="O468" s="182"/>
      <c r="P468" s="182"/>
      <c r="Q468" s="182"/>
    </row>
    <row r="469" spans="1:17" ht="26.25" hidden="1" x14ac:dyDescent="0.25">
      <c r="A469" s="244">
        <v>5371</v>
      </c>
      <c r="B469" s="235">
        <v>523000</v>
      </c>
      <c r="C469" s="158" t="s">
        <v>400</v>
      </c>
      <c r="D469" s="158"/>
      <c r="E469" s="159">
        <f>E470</f>
        <v>0</v>
      </c>
      <c r="F469" s="159"/>
      <c r="G469" s="159">
        <f t="shared" si="141"/>
        <v>0</v>
      </c>
      <c r="H469" s="159"/>
      <c r="I469" s="159">
        <f t="shared" ref="I469:Q469" si="145">I470</f>
        <v>0</v>
      </c>
      <c r="J469" s="159">
        <f t="shared" si="145"/>
        <v>0</v>
      </c>
      <c r="K469" s="159"/>
      <c r="L469" s="159">
        <f t="shared" si="145"/>
        <v>0</v>
      </c>
      <c r="M469" s="159"/>
      <c r="N469" s="159">
        <f t="shared" si="145"/>
        <v>0</v>
      </c>
      <c r="O469" s="159">
        <f t="shared" si="145"/>
        <v>0</v>
      </c>
      <c r="P469" s="159"/>
      <c r="Q469" s="159">
        <f t="shared" si="145"/>
        <v>0</v>
      </c>
    </row>
    <row r="470" spans="1:17" hidden="1" x14ac:dyDescent="0.25">
      <c r="A470" s="202">
        <v>5372</v>
      </c>
      <c r="B470" s="165">
        <v>523100</v>
      </c>
      <c r="C470" s="166" t="s">
        <v>401</v>
      </c>
      <c r="D470" s="166"/>
      <c r="E470" s="182"/>
      <c r="F470" s="182"/>
      <c r="G470" s="183">
        <f t="shared" si="141"/>
        <v>0</v>
      </c>
      <c r="H470" s="183"/>
      <c r="I470" s="182"/>
      <c r="J470" s="182"/>
      <c r="K470" s="182"/>
      <c r="L470" s="182"/>
      <c r="M470" s="182"/>
      <c r="N470" s="182"/>
      <c r="O470" s="182"/>
      <c r="P470" s="182"/>
      <c r="Q470" s="182"/>
    </row>
    <row r="471" spans="1:17" hidden="1" x14ac:dyDescent="0.25">
      <c r="A471" s="244">
        <v>5373</v>
      </c>
      <c r="B471" s="235">
        <v>530000</v>
      </c>
      <c r="C471" s="158" t="s">
        <v>402</v>
      </c>
      <c r="D471" s="158"/>
      <c r="E471" s="159">
        <f>E472</f>
        <v>0</v>
      </c>
      <c r="F471" s="159"/>
      <c r="G471" s="159">
        <f t="shared" si="141"/>
        <v>0</v>
      </c>
      <c r="H471" s="159"/>
      <c r="I471" s="159">
        <f t="shared" ref="I471:Q472" si="146">I472</f>
        <v>0</v>
      </c>
      <c r="J471" s="159">
        <f t="shared" si="146"/>
        <v>0</v>
      </c>
      <c r="K471" s="159"/>
      <c r="L471" s="159">
        <f t="shared" si="146"/>
        <v>0</v>
      </c>
      <c r="M471" s="159"/>
      <c r="N471" s="159">
        <f t="shared" si="146"/>
        <v>0</v>
      </c>
      <c r="O471" s="159">
        <f t="shared" si="146"/>
        <v>0</v>
      </c>
      <c r="P471" s="159"/>
      <c r="Q471" s="159">
        <f t="shared" si="146"/>
        <v>0</v>
      </c>
    </row>
    <row r="472" spans="1:17" hidden="1" x14ac:dyDescent="0.25">
      <c r="A472" s="244">
        <v>5374</v>
      </c>
      <c r="B472" s="235">
        <v>531000</v>
      </c>
      <c r="C472" s="158" t="s">
        <v>403</v>
      </c>
      <c r="D472" s="158"/>
      <c r="E472" s="159">
        <f>E473</f>
        <v>0</v>
      </c>
      <c r="F472" s="159"/>
      <c r="G472" s="159">
        <f t="shared" si="141"/>
        <v>0</v>
      </c>
      <c r="H472" s="159"/>
      <c r="I472" s="159">
        <f t="shared" si="146"/>
        <v>0</v>
      </c>
      <c r="J472" s="159">
        <f t="shared" si="146"/>
        <v>0</v>
      </c>
      <c r="K472" s="159"/>
      <c r="L472" s="159">
        <f t="shared" si="146"/>
        <v>0</v>
      </c>
      <c r="M472" s="159"/>
      <c r="N472" s="159">
        <f t="shared" si="146"/>
        <v>0</v>
      </c>
      <c r="O472" s="159">
        <f t="shared" si="146"/>
        <v>0</v>
      </c>
      <c r="P472" s="159"/>
      <c r="Q472" s="159">
        <f t="shared" si="146"/>
        <v>0</v>
      </c>
    </row>
    <row r="473" spans="1:17" hidden="1" x14ac:dyDescent="0.25">
      <c r="A473" s="202">
        <v>5375</v>
      </c>
      <c r="B473" s="165">
        <v>531100</v>
      </c>
      <c r="C473" s="166" t="s">
        <v>404</v>
      </c>
      <c r="D473" s="166"/>
      <c r="E473" s="182"/>
      <c r="F473" s="182"/>
      <c r="G473" s="183">
        <f t="shared" si="141"/>
        <v>0</v>
      </c>
      <c r="H473" s="183"/>
      <c r="I473" s="182"/>
      <c r="J473" s="182"/>
      <c r="K473" s="182"/>
      <c r="L473" s="182"/>
      <c r="M473" s="182"/>
      <c r="N473" s="182"/>
      <c r="O473" s="182"/>
      <c r="P473" s="182"/>
      <c r="Q473" s="182"/>
    </row>
    <row r="474" spans="1:17" ht="26.25" hidden="1" x14ac:dyDescent="0.25">
      <c r="A474" s="244">
        <v>5376</v>
      </c>
      <c r="B474" s="235">
        <v>540000</v>
      </c>
      <c r="C474" s="158" t="s">
        <v>405</v>
      </c>
      <c r="D474" s="158"/>
      <c r="E474" s="159">
        <f>E475+E477+E479</f>
        <v>0</v>
      </c>
      <c r="F474" s="159"/>
      <c r="G474" s="159">
        <f t="shared" si="141"/>
        <v>0</v>
      </c>
      <c r="H474" s="159"/>
      <c r="I474" s="159">
        <f t="shared" ref="I474:Q474" si="147">I475+I477+I479</f>
        <v>0</v>
      </c>
      <c r="J474" s="159">
        <f t="shared" si="147"/>
        <v>0</v>
      </c>
      <c r="K474" s="159"/>
      <c r="L474" s="159">
        <f t="shared" si="147"/>
        <v>0</v>
      </c>
      <c r="M474" s="159"/>
      <c r="N474" s="159">
        <f t="shared" si="147"/>
        <v>0</v>
      </c>
      <c r="O474" s="159">
        <f t="shared" si="147"/>
        <v>0</v>
      </c>
      <c r="P474" s="159"/>
      <c r="Q474" s="159">
        <f t="shared" si="147"/>
        <v>0</v>
      </c>
    </row>
    <row r="475" spans="1:17" hidden="1" x14ac:dyDescent="0.25">
      <c r="A475" s="244">
        <v>5377</v>
      </c>
      <c r="B475" s="235">
        <v>541000</v>
      </c>
      <c r="C475" s="158" t="s">
        <v>406</v>
      </c>
      <c r="D475" s="158"/>
      <c r="E475" s="159">
        <f>E476</f>
        <v>0</v>
      </c>
      <c r="F475" s="159"/>
      <c r="G475" s="159">
        <f t="shared" si="141"/>
        <v>0</v>
      </c>
      <c r="H475" s="159"/>
      <c r="I475" s="159">
        <f t="shared" ref="I475:Q475" si="148">I476</f>
        <v>0</v>
      </c>
      <c r="J475" s="159">
        <f t="shared" si="148"/>
        <v>0</v>
      </c>
      <c r="K475" s="159"/>
      <c r="L475" s="159">
        <f t="shared" si="148"/>
        <v>0</v>
      </c>
      <c r="M475" s="159"/>
      <c r="N475" s="159">
        <f t="shared" si="148"/>
        <v>0</v>
      </c>
      <c r="O475" s="159">
        <f t="shared" si="148"/>
        <v>0</v>
      </c>
      <c r="P475" s="159"/>
      <c r="Q475" s="159">
        <f t="shared" si="148"/>
        <v>0</v>
      </c>
    </row>
    <row r="476" spans="1:17" hidden="1" x14ac:dyDescent="0.25">
      <c r="A476" s="202">
        <v>5378</v>
      </c>
      <c r="B476" s="165">
        <v>541100</v>
      </c>
      <c r="C476" s="166" t="s">
        <v>407</v>
      </c>
      <c r="D476" s="166"/>
      <c r="E476" s="182"/>
      <c r="F476" s="182"/>
      <c r="G476" s="183">
        <f t="shared" si="141"/>
        <v>0</v>
      </c>
      <c r="H476" s="183"/>
      <c r="I476" s="182"/>
      <c r="J476" s="182"/>
      <c r="K476" s="182"/>
      <c r="L476" s="182"/>
      <c r="M476" s="182"/>
      <c r="N476" s="182"/>
      <c r="O476" s="182"/>
      <c r="P476" s="182"/>
      <c r="Q476" s="182"/>
    </row>
    <row r="477" spans="1:17" hidden="1" x14ac:dyDescent="0.25">
      <c r="A477" s="244">
        <v>5379</v>
      </c>
      <c r="B477" s="235">
        <v>542000</v>
      </c>
      <c r="C477" s="158" t="s">
        <v>408</v>
      </c>
      <c r="D477" s="158"/>
      <c r="E477" s="159">
        <f>E478</f>
        <v>0</v>
      </c>
      <c r="F477" s="159"/>
      <c r="G477" s="159">
        <f t="shared" si="141"/>
        <v>0</v>
      </c>
      <c r="H477" s="159"/>
      <c r="I477" s="159">
        <f t="shared" ref="I477:Q477" si="149">I478</f>
        <v>0</v>
      </c>
      <c r="J477" s="159">
        <f t="shared" si="149"/>
        <v>0</v>
      </c>
      <c r="K477" s="159"/>
      <c r="L477" s="159">
        <f t="shared" si="149"/>
        <v>0</v>
      </c>
      <c r="M477" s="159"/>
      <c r="N477" s="159">
        <f t="shared" si="149"/>
        <v>0</v>
      </c>
      <c r="O477" s="159">
        <f t="shared" si="149"/>
        <v>0</v>
      </c>
      <c r="P477" s="159"/>
      <c r="Q477" s="159">
        <f t="shared" si="149"/>
        <v>0</v>
      </c>
    </row>
    <row r="478" spans="1:17" hidden="1" x14ac:dyDescent="0.25">
      <c r="A478" s="202">
        <v>5380</v>
      </c>
      <c r="B478" s="165">
        <v>542100</v>
      </c>
      <c r="C478" s="166" t="s">
        <v>409</v>
      </c>
      <c r="D478" s="166"/>
      <c r="E478" s="182"/>
      <c r="F478" s="182"/>
      <c r="G478" s="183">
        <f t="shared" si="141"/>
        <v>0</v>
      </c>
      <c r="H478" s="183"/>
      <c r="I478" s="182"/>
      <c r="J478" s="182"/>
      <c r="K478" s="182"/>
      <c r="L478" s="182"/>
      <c r="M478" s="182"/>
      <c r="N478" s="182"/>
      <c r="O478" s="182"/>
      <c r="P478" s="182"/>
      <c r="Q478" s="182"/>
    </row>
    <row r="479" spans="1:17" hidden="1" x14ac:dyDescent="0.25">
      <c r="A479" s="244">
        <v>5381</v>
      </c>
      <c r="B479" s="235">
        <v>543000</v>
      </c>
      <c r="C479" s="158" t="s">
        <v>410</v>
      </c>
      <c r="D479" s="158"/>
      <c r="E479" s="159">
        <f>E480+E481</f>
        <v>0</v>
      </c>
      <c r="F479" s="159"/>
      <c r="G479" s="159">
        <f t="shared" si="141"/>
        <v>0</v>
      </c>
      <c r="H479" s="159"/>
      <c r="I479" s="159">
        <f t="shared" ref="I479:Q479" si="150">I480+I481</f>
        <v>0</v>
      </c>
      <c r="J479" s="159">
        <f t="shared" si="150"/>
        <v>0</v>
      </c>
      <c r="K479" s="159"/>
      <c r="L479" s="159">
        <f t="shared" si="150"/>
        <v>0</v>
      </c>
      <c r="M479" s="159"/>
      <c r="N479" s="159">
        <f t="shared" si="150"/>
        <v>0</v>
      </c>
      <c r="O479" s="159">
        <f t="shared" si="150"/>
        <v>0</v>
      </c>
      <c r="P479" s="159"/>
      <c r="Q479" s="159">
        <f t="shared" si="150"/>
        <v>0</v>
      </c>
    </row>
    <row r="480" spans="1:17" hidden="1" x14ac:dyDescent="0.25">
      <c r="A480" s="202">
        <v>5382</v>
      </c>
      <c r="B480" s="165">
        <v>543100</v>
      </c>
      <c r="C480" s="166" t="s">
        <v>411</v>
      </c>
      <c r="D480" s="166"/>
      <c r="E480" s="182"/>
      <c r="F480" s="182"/>
      <c r="G480" s="183">
        <f t="shared" si="141"/>
        <v>0</v>
      </c>
      <c r="H480" s="183"/>
      <c r="I480" s="182"/>
      <c r="J480" s="182"/>
      <c r="K480" s="182"/>
      <c r="L480" s="182"/>
      <c r="M480" s="182"/>
      <c r="N480" s="182"/>
      <c r="O480" s="182"/>
      <c r="P480" s="182"/>
      <c r="Q480" s="182"/>
    </row>
    <row r="481" spans="1:17" hidden="1" x14ac:dyDescent="0.25">
      <c r="A481" s="202">
        <v>5383</v>
      </c>
      <c r="B481" s="165">
        <v>543200</v>
      </c>
      <c r="C481" s="166" t="s">
        <v>412</v>
      </c>
      <c r="D481" s="166"/>
      <c r="E481" s="182"/>
      <c r="F481" s="182"/>
      <c r="G481" s="183">
        <f t="shared" si="141"/>
        <v>0</v>
      </c>
      <c r="H481" s="183"/>
      <c r="I481" s="182"/>
      <c r="J481" s="182"/>
      <c r="K481" s="182"/>
      <c r="L481" s="182"/>
      <c r="M481" s="182"/>
      <c r="N481" s="182"/>
      <c r="O481" s="182"/>
      <c r="P481" s="182"/>
      <c r="Q481" s="182"/>
    </row>
    <row r="482" spans="1:17" ht="90" hidden="1" x14ac:dyDescent="0.25">
      <c r="A482" s="244">
        <v>5384</v>
      </c>
      <c r="B482" s="235">
        <v>550000</v>
      </c>
      <c r="C482" s="158" t="s">
        <v>413</v>
      </c>
      <c r="D482" s="158"/>
      <c r="E482" s="159">
        <f>E483</f>
        <v>0</v>
      </c>
      <c r="F482" s="159"/>
      <c r="G482" s="159">
        <f t="shared" si="141"/>
        <v>0</v>
      </c>
      <c r="H482" s="159"/>
      <c r="I482" s="159">
        <f t="shared" ref="I482:Q483" si="151">I483</f>
        <v>0</v>
      </c>
      <c r="J482" s="159">
        <f t="shared" si="151"/>
        <v>0</v>
      </c>
      <c r="K482" s="159"/>
      <c r="L482" s="159">
        <f t="shared" si="151"/>
        <v>0</v>
      </c>
      <c r="M482" s="159"/>
      <c r="N482" s="159">
        <f t="shared" si="151"/>
        <v>0</v>
      </c>
      <c r="O482" s="159">
        <f t="shared" si="151"/>
        <v>0</v>
      </c>
      <c r="P482" s="159"/>
      <c r="Q482" s="159">
        <f t="shared" si="151"/>
        <v>0</v>
      </c>
    </row>
    <row r="483" spans="1:17" ht="90" hidden="1" x14ac:dyDescent="0.25">
      <c r="A483" s="244">
        <v>5385</v>
      </c>
      <c r="B483" s="235">
        <v>551000</v>
      </c>
      <c r="C483" s="158" t="s">
        <v>414</v>
      </c>
      <c r="D483" s="158"/>
      <c r="E483" s="159">
        <f>E484</f>
        <v>0</v>
      </c>
      <c r="F483" s="159"/>
      <c r="G483" s="159">
        <f t="shared" si="141"/>
        <v>0</v>
      </c>
      <c r="H483" s="159"/>
      <c r="I483" s="159">
        <f t="shared" si="151"/>
        <v>0</v>
      </c>
      <c r="J483" s="159">
        <f t="shared" si="151"/>
        <v>0</v>
      </c>
      <c r="K483" s="159"/>
      <c r="L483" s="159">
        <f t="shared" si="151"/>
        <v>0</v>
      </c>
      <c r="M483" s="159"/>
      <c r="N483" s="159">
        <f t="shared" si="151"/>
        <v>0</v>
      </c>
      <c r="O483" s="159">
        <f t="shared" si="151"/>
        <v>0</v>
      </c>
      <c r="P483" s="159"/>
      <c r="Q483" s="159">
        <f t="shared" si="151"/>
        <v>0</v>
      </c>
    </row>
    <row r="484" spans="1:17" ht="51.75" hidden="1" x14ac:dyDescent="0.25">
      <c r="A484" s="202">
        <v>5386</v>
      </c>
      <c r="B484" s="165">
        <v>551100</v>
      </c>
      <c r="C484" s="166" t="s">
        <v>415</v>
      </c>
      <c r="D484" s="166"/>
      <c r="E484" s="182"/>
      <c r="F484" s="182"/>
      <c r="G484" s="183">
        <f t="shared" si="141"/>
        <v>0</v>
      </c>
      <c r="H484" s="183"/>
      <c r="I484" s="182"/>
      <c r="J484" s="182"/>
      <c r="K484" s="182"/>
      <c r="L484" s="182"/>
      <c r="M484" s="182"/>
      <c r="N484" s="182"/>
      <c r="O484" s="182"/>
      <c r="P484" s="182"/>
      <c r="Q484" s="182"/>
    </row>
    <row r="485" spans="1:17" ht="51.75" hidden="1" x14ac:dyDescent="0.25">
      <c r="A485" s="244">
        <v>5387</v>
      </c>
      <c r="B485" s="235">
        <v>600000</v>
      </c>
      <c r="C485" s="158" t="s">
        <v>416</v>
      </c>
      <c r="D485" s="158"/>
      <c r="E485" s="159">
        <f>E486+E515</f>
        <v>0</v>
      </c>
      <c r="F485" s="159"/>
      <c r="G485" s="159">
        <f t="shared" si="141"/>
        <v>0</v>
      </c>
      <c r="H485" s="159"/>
      <c r="I485" s="159">
        <f t="shared" ref="I485:Q485" si="152">I486+I515</f>
        <v>0</v>
      </c>
      <c r="J485" s="159">
        <f t="shared" si="152"/>
        <v>0</v>
      </c>
      <c r="K485" s="159"/>
      <c r="L485" s="159">
        <f t="shared" si="152"/>
        <v>0</v>
      </c>
      <c r="M485" s="159"/>
      <c r="N485" s="159">
        <f t="shared" si="152"/>
        <v>0</v>
      </c>
      <c r="O485" s="159">
        <f t="shared" si="152"/>
        <v>0</v>
      </c>
      <c r="P485" s="159"/>
      <c r="Q485" s="159">
        <f t="shared" si="152"/>
        <v>0</v>
      </c>
    </row>
    <row r="486" spans="1:17" ht="26.25" hidden="1" x14ac:dyDescent="0.25">
      <c r="A486" s="244">
        <v>5388</v>
      </c>
      <c r="B486" s="235">
        <v>610000</v>
      </c>
      <c r="C486" s="158" t="s">
        <v>417</v>
      </c>
      <c r="D486" s="158"/>
      <c r="E486" s="159">
        <f>E487+E501+E509+E511+E513</f>
        <v>0</v>
      </c>
      <c r="F486" s="159"/>
      <c r="G486" s="159">
        <f t="shared" si="141"/>
        <v>0</v>
      </c>
      <c r="H486" s="159"/>
      <c r="I486" s="159">
        <f t="shared" ref="I486:Q486" si="153">I487+I501+I509+I511+I513</f>
        <v>0</v>
      </c>
      <c r="J486" s="159">
        <f t="shared" si="153"/>
        <v>0</v>
      </c>
      <c r="K486" s="159"/>
      <c r="L486" s="159">
        <f t="shared" si="153"/>
        <v>0</v>
      </c>
      <c r="M486" s="159"/>
      <c r="N486" s="159">
        <f t="shared" si="153"/>
        <v>0</v>
      </c>
      <c r="O486" s="159">
        <f t="shared" si="153"/>
        <v>0</v>
      </c>
      <c r="P486" s="159"/>
      <c r="Q486" s="159">
        <f t="shared" si="153"/>
        <v>0</v>
      </c>
    </row>
    <row r="487" spans="1:17" ht="39" hidden="1" x14ac:dyDescent="0.25">
      <c r="A487" s="244">
        <v>5389</v>
      </c>
      <c r="B487" s="235">
        <v>611000</v>
      </c>
      <c r="C487" s="158" t="s">
        <v>418</v>
      </c>
      <c r="D487" s="158"/>
      <c r="E487" s="159">
        <f>SUM(E488:E500)</f>
        <v>0</v>
      </c>
      <c r="F487" s="159"/>
      <c r="G487" s="159">
        <f t="shared" si="141"/>
        <v>0</v>
      </c>
      <c r="H487" s="159"/>
      <c r="I487" s="159">
        <f t="shared" ref="I487:Q487" si="154">SUM(I488:I500)</f>
        <v>0</v>
      </c>
      <c r="J487" s="159">
        <f t="shared" si="154"/>
        <v>0</v>
      </c>
      <c r="K487" s="159"/>
      <c r="L487" s="159">
        <f t="shared" si="154"/>
        <v>0</v>
      </c>
      <c r="M487" s="159"/>
      <c r="N487" s="159">
        <f t="shared" si="154"/>
        <v>0</v>
      </c>
      <c r="O487" s="159">
        <f t="shared" si="154"/>
        <v>0</v>
      </c>
      <c r="P487" s="159"/>
      <c r="Q487" s="159">
        <f t="shared" si="154"/>
        <v>0</v>
      </c>
    </row>
    <row r="488" spans="1:17" ht="39" hidden="1" x14ac:dyDescent="0.25">
      <c r="A488" s="202">
        <v>5390</v>
      </c>
      <c r="B488" s="165">
        <v>611100</v>
      </c>
      <c r="C488" s="166" t="s">
        <v>419</v>
      </c>
      <c r="D488" s="166"/>
      <c r="E488" s="182"/>
      <c r="F488" s="182"/>
      <c r="G488" s="183">
        <f t="shared" si="141"/>
        <v>0</v>
      </c>
      <c r="H488" s="183"/>
      <c r="I488" s="182"/>
      <c r="J488" s="182"/>
      <c r="K488" s="182"/>
      <c r="L488" s="182"/>
      <c r="M488" s="182"/>
      <c r="N488" s="182"/>
      <c r="O488" s="182"/>
      <c r="P488" s="182"/>
      <c r="Q488" s="182"/>
    </row>
    <row r="489" spans="1:17" ht="26.25" hidden="1" x14ac:dyDescent="0.25">
      <c r="A489" s="202">
        <v>5391</v>
      </c>
      <c r="B489" s="165">
        <v>611200</v>
      </c>
      <c r="C489" s="166" t="s">
        <v>420</v>
      </c>
      <c r="D489" s="166"/>
      <c r="E489" s="182"/>
      <c r="F489" s="182"/>
      <c r="G489" s="183">
        <f t="shared" si="141"/>
        <v>0</v>
      </c>
      <c r="H489" s="183"/>
      <c r="I489" s="182"/>
      <c r="J489" s="182"/>
      <c r="K489" s="182"/>
      <c r="L489" s="182"/>
      <c r="M489" s="182"/>
      <c r="N489" s="182"/>
      <c r="O489" s="182"/>
      <c r="P489" s="182"/>
      <c r="Q489" s="182"/>
    </row>
    <row r="490" spans="1:17" ht="39" hidden="1" x14ac:dyDescent="0.25">
      <c r="A490" s="202">
        <v>5392</v>
      </c>
      <c r="B490" s="165">
        <v>611300</v>
      </c>
      <c r="C490" s="166" t="s">
        <v>421</v>
      </c>
      <c r="D490" s="166"/>
      <c r="E490" s="182"/>
      <c r="F490" s="182"/>
      <c r="G490" s="183">
        <f t="shared" si="141"/>
        <v>0</v>
      </c>
      <c r="H490" s="183"/>
      <c r="I490" s="182"/>
      <c r="J490" s="182"/>
      <c r="K490" s="182"/>
      <c r="L490" s="182"/>
      <c r="M490" s="182"/>
      <c r="N490" s="182"/>
      <c r="O490" s="182"/>
      <c r="P490" s="182"/>
      <c r="Q490" s="182"/>
    </row>
    <row r="491" spans="1:17" hidden="1" x14ac:dyDescent="0.25">
      <c r="A491" s="598" t="s">
        <v>0</v>
      </c>
      <c r="B491" s="599" t="s">
        <v>1</v>
      </c>
      <c r="C491" s="598" t="s">
        <v>2</v>
      </c>
      <c r="D491" s="243"/>
      <c r="E491" s="598" t="s">
        <v>217</v>
      </c>
      <c r="F491" s="243"/>
      <c r="G491" s="600" t="s">
        <v>198</v>
      </c>
      <c r="H491" s="600"/>
      <c r="I491" s="601"/>
      <c r="J491" s="601"/>
      <c r="K491" s="601"/>
      <c r="L491" s="601"/>
      <c r="M491" s="601"/>
      <c r="N491" s="601"/>
      <c r="O491" s="601"/>
      <c r="P491" s="601"/>
      <c r="Q491" s="601"/>
    </row>
    <row r="492" spans="1:17" hidden="1" x14ac:dyDescent="0.25">
      <c r="A492" s="598"/>
      <c r="B492" s="599"/>
      <c r="C492" s="598"/>
      <c r="D492" s="243"/>
      <c r="E492" s="598"/>
      <c r="F492" s="243"/>
      <c r="G492" s="600" t="s">
        <v>199</v>
      </c>
      <c r="H492" s="235"/>
      <c r="I492" s="600" t="s">
        <v>200</v>
      </c>
      <c r="J492" s="601"/>
      <c r="K492" s="601"/>
      <c r="L492" s="601"/>
      <c r="M492" s="601"/>
      <c r="N492" s="601"/>
      <c r="O492" s="600" t="s">
        <v>7</v>
      </c>
      <c r="P492" s="235"/>
      <c r="Q492" s="600" t="s">
        <v>8</v>
      </c>
    </row>
    <row r="493" spans="1:17" ht="39" hidden="1" x14ac:dyDescent="0.25">
      <c r="A493" s="598"/>
      <c r="B493" s="599"/>
      <c r="C493" s="598"/>
      <c r="D493" s="243"/>
      <c r="E493" s="598"/>
      <c r="F493" s="243"/>
      <c r="G493" s="601"/>
      <c r="H493" s="245"/>
      <c r="I493" s="235" t="s">
        <v>201</v>
      </c>
      <c r="J493" s="235" t="s">
        <v>10</v>
      </c>
      <c r="K493" s="235"/>
      <c r="L493" s="235" t="s">
        <v>11</v>
      </c>
      <c r="M493" s="235"/>
      <c r="N493" s="235" t="s">
        <v>12</v>
      </c>
      <c r="O493" s="601"/>
      <c r="P493" s="245"/>
      <c r="Q493" s="601"/>
    </row>
    <row r="494" spans="1:17" ht="26.25" hidden="1" x14ac:dyDescent="0.25">
      <c r="A494" s="242" t="s">
        <v>18</v>
      </c>
      <c r="B494" s="242" t="s">
        <v>19</v>
      </c>
      <c r="C494" s="242" t="s">
        <v>20</v>
      </c>
      <c r="D494" s="242"/>
      <c r="E494" s="242" t="s">
        <v>21</v>
      </c>
      <c r="F494" s="242"/>
      <c r="G494" s="242" t="s">
        <v>22</v>
      </c>
      <c r="H494" s="242"/>
      <c r="I494" s="242" t="s">
        <v>23</v>
      </c>
      <c r="J494" s="242" t="s">
        <v>24</v>
      </c>
      <c r="K494" s="242"/>
      <c r="L494" s="242" t="s">
        <v>25</v>
      </c>
      <c r="M494" s="242"/>
      <c r="N494" s="242" t="s">
        <v>26</v>
      </c>
      <c r="O494" s="242" t="s">
        <v>27</v>
      </c>
      <c r="P494" s="242"/>
      <c r="Q494" s="242" t="s">
        <v>28</v>
      </c>
    </row>
    <row r="495" spans="1:17" ht="26.25" hidden="1" x14ac:dyDescent="0.25">
      <c r="A495" s="202">
        <v>5393</v>
      </c>
      <c r="B495" s="165">
        <v>611400</v>
      </c>
      <c r="C495" s="166" t="s">
        <v>422</v>
      </c>
      <c r="D495" s="166"/>
      <c r="E495" s="182"/>
      <c r="F495" s="182"/>
      <c r="G495" s="183">
        <f t="shared" si="141"/>
        <v>0</v>
      </c>
      <c r="H495" s="183"/>
      <c r="I495" s="182"/>
      <c r="J495" s="182"/>
      <c r="K495" s="182"/>
      <c r="L495" s="182"/>
      <c r="M495" s="182"/>
      <c r="N495" s="182"/>
      <c r="O495" s="182"/>
      <c r="P495" s="182"/>
      <c r="Q495" s="182"/>
    </row>
    <row r="496" spans="1:17" ht="26.25" hidden="1" x14ac:dyDescent="0.25">
      <c r="A496" s="202">
        <v>5394</v>
      </c>
      <c r="B496" s="165">
        <v>611500</v>
      </c>
      <c r="C496" s="166" t="s">
        <v>423</v>
      </c>
      <c r="D496" s="166"/>
      <c r="E496" s="182"/>
      <c r="F496" s="182"/>
      <c r="G496" s="183">
        <f t="shared" si="141"/>
        <v>0</v>
      </c>
      <c r="H496" s="183"/>
      <c r="I496" s="182"/>
      <c r="J496" s="182"/>
      <c r="K496" s="182"/>
      <c r="L496" s="182"/>
      <c r="M496" s="182"/>
      <c r="N496" s="182"/>
      <c r="O496" s="182"/>
      <c r="P496" s="182"/>
      <c r="Q496" s="182"/>
    </row>
    <row r="497" spans="1:17" ht="26.25" hidden="1" x14ac:dyDescent="0.25">
      <c r="A497" s="202">
        <v>5395</v>
      </c>
      <c r="B497" s="165">
        <v>611600</v>
      </c>
      <c r="C497" s="166" t="s">
        <v>424</v>
      </c>
      <c r="D497" s="166"/>
      <c r="E497" s="182"/>
      <c r="F497" s="182"/>
      <c r="G497" s="183">
        <f t="shared" si="141"/>
        <v>0</v>
      </c>
      <c r="H497" s="183"/>
      <c r="I497" s="182"/>
      <c r="J497" s="182"/>
      <c r="K497" s="182"/>
      <c r="L497" s="182"/>
      <c r="M497" s="182"/>
      <c r="N497" s="182"/>
      <c r="O497" s="182"/>
      <c r="P497" s="182"/>
      <c r="Q497" s="182"/>
    </row>
    <row r="498" spans="1:17" ht="26.25" hidden="1" x14ac:dyDescent="0.25">
      <c r="A498" s="202">
        <v>5396</v>
      </c>
      <c r="B498" s="165">
        <v>611700</v>
      </c>
      <c r="C498" s="166" t="s">
        <v>425</v>
      </c>
      <c r="D498" s="166"/>
      <c r="E498" s="182"/>
      <c r="F498" s="182"/>
      <c r="G498" s="183">
        <f t="shared" si="141"/>
        <v>0</v>
      </c>
      <c r="H498" s="183"/>
      <c r="I498" s="182"/>
      <c r="J498" s="182"/>
      <c r="K498" s="182"/>
      <c r="L498" s="182"/>
      <c r="M498" s="182"/>
      <c r="N498" s="182"/>
      <c r="O498" s="182"/>
      <c r="P498" s="182"/>
      <c r="Q498" s="182"/>
    </row>
    <row r="499" spans="1:17" hidden="1" x14ac:dyDescent="0.25">
      <c r="A499" s="202">
        <v>5397</v>
      </c>
      <c r="B499" s="165">
        <v>611800</v>
      </c>
      <c r="C499" s="166" t="s">
        <v>426</v>
      </c>
      <c r="D499" s="166"/>
      <c r="E499" s="182"/>
      <c r="F499" s="182"/>
      <c r="G499" s="183">
        <f t="shared" si="141"/>
        <v>0</v>
      </c>
      <c r="H499" s="183"/>
      <c r="I499" s="182"/>
      <c r="J499" s="182"/>
      <c r="K499" s="182"/>
      <c r="L499" s="182"/>
      <c r="M499" s="182"/>
      <c r="N499" s="182"/>
      <c r="O499" s="182"/>
      <c r="P499" s="182"/>
      <c r="Q499" s="182"/>
    </row>
    <row r="500" spans="1:17" hidden="1" x14ac:dyDescent="0.25">
      <c r="A500" s="202">
        <v>5398</v>
      </c>
      <c r="B500" s="165">
        <v>611900</v>
      </c>
      <c r="C500" s="166" t="s">
        <v>165</v>
      </c>
      <c r="D500" s="166"/>
      <c r="E500" s="182"/>
      <c r="F500" s="182"/>
      <c r="G500" s="183">
        <f t="shared" si="141"/>
        <v>0</v>
      </c>
      <c r="H500" s="183"/>
      <c r="I500" s="182"/>
      <c r="J500" s="182"/>
      <c r="K500" s="182"/>
      <c r="L500" s="182"/>
      <c r="M500" s="182"/>
      <c r="N500" s="182"/>
      <c r="O500" s="182"/>
      <c r="P500" s="182"/>
      <c r="Q500" s="182"/>
    </row>
    <row r="501" spans="1:17" ht="39" hidden="1" x14ac:dyDescent="0.25">
      <c r="A501" s="244">
        <v>5399</v>
      </c>
      <c r="B501" s="235">
        <v>612000</v>
      </c>
      <c r="C501" s="158" t="s">
        <v>427</v>
      </c>
      <c r="D501" s="158"/>
      <c r="E501" s="159">
        <f>SUM(E502:E508)</f>
        <v>0</v>
      </c>
      <c r="F501" s="159"/>
      <c r="G501" s="159">
        <f t="shared" si="141"/>
        <v>0</v>
      </c>
      <c r="H501" s="159"/>
      <c r="I501" s="159">
        <f t="shared" ref="I501:Q501" si="155">SUM(I502:I508)</f>
        <v>0</v>
      </c>
      <c r="J501" s="159">
        <f t="shared" si="155"/>
        <v>0</v>
      </c>
      <c r="K501" s="159"/>
      <c r="L501" s="159">
        <f t="shared" si="155"/>
        <v>0</v>
      </c>
      <c r="M501" s="159"/>
      <c r="N501" s="159">
        <f t="shared" si="155"/>
        <v>0</v>
      </c>
      <c r="O501" s="159">
        <f t="shared" si="155"/>
        <v>0</v>
      </c>
      <c r="P501" s="159"/>
      <c r="Q501" s="159">
        <f t="shared" si="155"/>
        <v>0</v>
      </c>
    </row>
    <row r="502" spans="1:17" ht="51.75" hidden="1" x14ac:dyDescent="0.25">
      <c r="A502" s="202">
        <v>5400</v>
      </c>
      <c r="B502" s="165">
        <v>612100</v>
      </c>
      <c r="C502" s="166" t="s">
        <v>428</v>
      </c>
      <c r="D502" s="166"/>
      <c r="E502" s="182"/>
      <c r="F502" s="182"/>
      <c r="G502" s="183">
        <f t="shared" si="141"/>
        <v>0</v>
      </c>
      <c r="H502" s="183"/>
      <c r="I502" s="182"/>
      <c r="J502" s="182"/>
      <c r="K502" s="182"/>
      <c r="L502" s="182"/>
      <c r="M502" s="182"/>
      <c r="N502" s="182"/>
      <c r="O502" s="182"/>
      <c r="P502" s="182"/>
      <c r="Q502" s="182"/>
    </row>
    <row r="503" spans="1:17" ht="26.25" hidden="1" x14ac:dyDescent="0.25">
      <c r="A503" s="202">
        <v>5401</v>
      </c>
      <c r="B503" s="165">
        <v>612200</v>
      </c>
      <c r="C503" s="166" t="s">
        <v>429</v>
      </c>
      <c r="D503" s="166"/>
      <c r="E503" s="182"/>
      <c r="F503" s="182"/>
      <c r="G503" s="183">
        <f t="shared" si="141"/>
        <v>0</v>
      </c>
      <c r="H503" s="183"/>
      <c r="I503" s="182"/>
      <c r="J503" s="182"/>
      <c r="K503" s="182"/>
      <c r="L503" s="182"/>
      <c r="M503" s="182"/>
      <c r="N503" s="182"/>
      <c r="O503" s="182"/>
      <c r="P503" s="182"/>
      <c r="Q503" s="182"/>
    </row>
    <row r="504" spans="1:17" ht="26.25" hidden="1" x14ac:dyDescent="0.25">
      <c r="A504" s="202">
        <v>5402</v>
      </c>
      <c r="B504" s="165">
        <v>612300</v>
      </c>
      <c r="C504" s="166" t="s">
        <v>430</v>
      </c>
      <c r="D504" s="166"/>
      <c r="E504" s="182"/>
      <c r="F504" s="182"/>
      <c r="G504" s="183">
        <f t="shared" si="141"/>
        <v>0</v>
      </c>
      <c r="H504" s="183"/>
      <c r="I504" s="182"/>
      <c r="J504" s="182"/>
      <c r="K504" s="182"/>
      <c r="L504" s="182"/>
      <c r="M504" s="182"/>
      <c r="N504" s="182"/>
      <c r="O504" s="182"/>
      <c r="P504" s="182"/>
      <c r="Q504" s="182"/>
    </row>
    <row r="505" spans="1:17" ht="26.25" hidden="1" x14ac:dyDescent="0.25">
      <c r="A505" s="202">
        <v>5403</v>
      </c>
      <c r="B505" s="165">
        <v>612400</v>
      </c>
      <c r="C505" s="166" t="s">
        <v>431</v>
      </c>
      <c r="D505" s="166"/>
      <c r="E505" s="182"/>
      <c r="F505" s="182"/>
      <c r="G505" s="183">
        <f t="shared" si="141"/>
        <v>0</v>
      </c>
      <c r="H505" s="183"/>
      <c r="I505" s="182"/>
      <c r="J505" s="182"/>
      <c r="K505" s="182"/>
      <c r="L505" s="182"/>
      <c r="M505" s="182"/>
      <c r="N505" s="182"/>
      <c r="O505" s="182"/>
      <c r="P505" s="182"/>
      <c r="Q505" s="182"/>
    </row>
    <row r="506" spans="1:17" ht="26.25" hidden="1" x14ac:dyDescent="0.25">
      <c r="A506" s="202">
        <v>5404</v>
      </c>
      <c r="B506" s="165">
        <v>612500</v>
      </c>
      <c r="C506" s="166" t="s">
        <v>432</v>
      </c>
      <c r="D506" s="166"/>
      <c r="E506" s="182"/>
      <c r="F506" s="182"/>
      <c r="G506" s="183">
        <f t="shared" si="141"/>
        <v>0</v>
      </c>
      <c r="H506" s="183"/>
      <c r="I506" s="182"/>
      <c r="J506" s="182"/>
      <c r="K506" s="182"/>
      <c r="L506" s="182"/>
      <c r="M506" s="182"/>
      <c r="N506" s="182"/>
      <c r="O506" s="182"/>
      <c r="P506" s="182"/>
      <c r="Q506" s="182"/>
    </row>
    <row r="507" spans="1:17" ht="26.25" hidden="1" x14ac:dyDescent="0.25">
      <c r="A507" s="202">
        <v>5405</v>
      </c>
      <c r="B507" s="165">
        <v>612600</v>
      </c>
      <c r="C507" s="166" t="s">
        <v>433</v>
      </c>
      <c r="D507" s="166"/>
      <c r="E507" s="182"/>
      <c r="F507" s="182"/>
      <c r="G507" s="183">
        <f t="shared" si="141"/>
        <v>0</v>
      </c>
      <c r="H507" s="183"/>
      <c r="I507" s="182"/>
      <c r="J507" s="182"/>
      <c r="K507" s="182"/>
      <c r="L507" s="182"/>
      <c r="M507" s="182"/>
      <c r="N507" s="182"/>
      <c r="O507" s="182"/>
      <c r="P507" s="182"/>
      <c r="Q507" s="182"/>
    </row>
    <row r="508" spans="1:17" hidden="1" x14ac:dyDescent="0.25">
      <c r="A508" s="202">
        <v>5406</v>
      </c>
      <c r="B508" s="165">
        <v>612900</v>
      </c>
      <c r="C508" s="166" t="s">
        <v>173</v>
      </c>
      <c r="D508" s="166"/>
      <c r="E508" s="182"/>
      <c r="F508" s="182"/>
      <c r="G508" s="183">
        <f t="shared" si="141"/>
        <v>0</v>
      </c>
      <c r="H508" s="183"/>
      <c r="I508" s="182"/>
      <c r="J508" s="182"/>
      <c r="K508" s="182"/>
      <c r="L508" s="182"/>
      <c r="M508" s="182"/>
      <c r="N508" s="182"/>
      <c r="O508" s="182"/>
      <c r="P508" s="182"/>
      <c r="Q508" s="182"/>
    </row>
    <row r="509" spans="1:17" ht="26.25" hidden="1" x14ac:dyDescent="0.25">
      <c r="A509" s="244">
        <v>5407</v>
      </c>
      <c r="B509" s="235">
        <v>613000</v>
      </c>
      <c r="C509" s="158" t="s">
        <v>434</v>
      </c>
      <c r="D509" s="158"/>
      <c r="E509" s="159">
        <f>E510</f>
        <v>0</v>
      </c>
      <c r="F509" s="159"/>
      <c r="G509" s="159">
        <f t="shared" si="141"/>
        <v>0</v>
      </c>
      <c r="H509" s="159"/>
      <c r="I509" s="159">
        <f t="shared" ref="I509:Q509" si="156">I510</f>
        <v>0</v>
      </c>
      <c r="J509" s="159">
        <f t="shared" si="156"/>
        <v>0</v>
      </c>
      <c r="K509" s="159"/>
      <c r="L509" s="159">
        <f t="shared" si="156"/>
        <v>0</v>
      </c>
      <c r="M509" s="159"/>
      <c r="N509" s="159">
        <f t="shared" si="156"/>
        <v>0</v>
      </c>
      <c r="O509" s="159">
        <f t="shared" si="156"/>
        <v>0</v>
      </c>
      <c r="P509" s="159"/>
      <c r="Q509" s="159">
        <f t="shared" si="156"/>
        <v>0</v>
      </c>
    </row>
    <row r="510" spans="1:17" hidden="1" x14ac:dyDescent="0.25">
      <c r="A510" s="202">
        <v>5408</v>
      </c>
      <c r="B510" s="165">
        <v>613100</v>
      </c>
      <c r="C510" s="166" t="s">
        <v>435</v>
      </c>
      <c r="D510" s="166"/>
      <c r="E510" s="182"/>
      <c r="F510" s="182"/>
      <c r="G510" s="183">
        <f t="shared" si="141"/>
        <v>0</v>
      </c>
      <c r="H510" s="183"/>
      <c r="I510" s="182"/>
      <c r="J510" s="182"/>
      <c r="K510" s="182"/>
      <c r="L510" s="182"/>
      <c r="M510" s="182"/>
      <c r="N510" s="182"/>
      <c r="O510" s="182"/>
      <c r="P510" s="182"/>
      <c r="Q510" s="182"/>
    </row>
    <row r="511" spans="1:17" ht="39" hidden="1" x14ac:dyDescent="0.25">
      <c r="A511" s="244">
        <v>5409</v>
      </c>
      <c r="B511" s="235">
        <v>614000</v>
      </c>
      <c r="C511" s="158" t="s">
        <v>436</v>
      </c>
      <c r="D511" s="158"/>
      <c r="E511" s="159">
        <f>E512</f>
        <v>0</v>
      </c>
      <c r="F511" s="159"/>
      <c r="G511" s="159">
        <f t="shared" si="141"/>
        <v>0</v>
      </c>
      <c r="H511" s="159"/>
      <c r="I511" s="159">
        <f t="shared" ref="I511:Q513" si="157">I512</f>
        <v>0</v>
      </c>
      <c r="J511" s="159">
        <f t="shared" si="157"/>
        <v>0</v>
      </c>
      <c r="K511" s="159"/>
      <c r="L511" s="159">
        <f t="shared" si="157"/>
        <v>0</v>
      </c>
      <c r="M511" s="159"/>
      <c r="N511" s="159">
        <f t="shared" si="157"/>
        <v>0</v>
      </c>
      <c r="O511" s="159">
        <f t="shared" si="157"/>
        <v>0</v>
      </c>
      <c r="P511" s="159"/>
      <c r="Q511" s="159">
        <f t="shared" si="157"/>
        <v>0</v>
      </c>
    </row>
    <row r="512" spans="1:17" ht="26.25" hidden="1" x14ac:dyDescent="0.25">
      <c r="A512" s="202">
        <v>5410</v>
      </c>
      <c r="B512" s="165">
        <v>614100</v>
      </c>
      <c r="C512" s="166" t="s">
        <v>437</v>
      </c>
      <c r="D512" s="166"/>
      <c r="E512" s="182"/>
      <c r="F512" s="182"/>
      <c r="G512" s="183">
        <f t="shared" si="141"/>
        <v>0</v>
      </c>
      <c r="H512" s="183"/>
      <c r="I512" s="182"/>
      <c r="J512" s="182"/>
      <c r="K512" s="182"/>
      <c r="L512" s="182"/>
      <c r="M512" s="182"/>
      <c r="N512" s="182"/>
      <c r="O512" s="182"/>
      <c r="P512" s="182"/>
      <c r="Q512" s="182"/>
    </row>
    <row r="513" spans="1:17" ht="39" hidden="1" x14ac:dyDescent="0.25">
      <c r="A513" s="244">
        <v>5411</v>
      </c>
      <c r="B513" s="235">
        <v>615000</v>
      </c>
      <c r="C513" s="158" t="s">
        <v>438</v>
      </c>
      <c r="D513" s="158"/>
      <c r="E513" s="159">
        <f>E514</f>
        <v>0</v>
      </c>
      <c r="F513" s="159"/>
      <c r="G513" s="159">
        <f t="shared" si="141"/>
        <v>0</v>
      </c>
      <c r="H513" s="159"/>
      <c r="I513" s="159">
        <f t="shared" si="157"/>
        <v>0</v>
      </c>
      <c r="J513" s="159">
        <f t="shared" si="157"/>
        <v>0</v>
      </c>
      <c r="K513" s="159"/>
      <c r="L513" s="159">
        <f t="shared" si="157"/>
        <v>0</v>
      </c>
      <c r="M513" s="159"/>
      <c r="N513" s="159">
        <f t="shared" si="157"/>
        <v>0</v>
      </c>
      <c r="O513" s="159">
        <f t="shared" si="157"/>
        <v>0</v>
      </c>
      <c r="P513" s="159"/>
      <c r="Q513" s="159">
        <f t="shared" si="157"/>
        <v>0</v>
      </c>
    </row>
    <row r="514" spans="1:17" ht="26.25" hidden="1" x14ac:dyDescent="0.25">
      <c r="A514" s="202">
        <v>5412</v>
      </c>
      <c r="B514" s="165">
        <v>615100</v>
      </c>
      <c r="C514" s="166" t="s">
        <v>439</v>
      </c>
      <c r="D514" s="166"/>
      <c r="E514" s="182"/>
      <c r="F514" s="182"/>
      <c r="G514" s="183">
        <f t="shared" si="141"/>
        <v>0</v>
      </c>
      <c r="H514" s="183"/>
      <c r="I514" s="182"/>
      <c r="J514" s="182"/>
      <c r="K514" s="182"/>
      <c r="L514" s="182"/>
      <c r="M514" s="182"/>
      <c r="N514" s="182"/>
      <c r="O514" s="182"/>
      <c r="P514" s="182"/>
      <c r="Q514" s="182"/>
    </row>
    <row r="515" spans="1:17" ht="26.25" hidden="1" x14ac:dyDescent="0.25">
      <c r="A515" s="244">
        <v>5413</v>
      </c>
      <c r="B515" s="235">
        <v>620000</v>
      </c>
      <c r="C515" s="158" t="s">
        <v>440</v>
      </c>
      <c r="D515" s="158"/>
      <c r="E515" s="159">
        <f>E516+E530+E539</f>
        <v>0</v>
      </c>
      <c r="F515" s="159"/>
      <c r="G515" s="159">
        <f t="shared" si="141"/>
        <v>0</v>
      </c>
      <c r="H515" s="159"/>
      <c r="I515" s="159">
        <f t="shared" ref="I515:Q515" si="158">I516+I530+I539</f>
        <v>0</v>
      </c>
      <c r="J515" s="159">
        <f t="shared" si="158"/>
        <v>0</v>
      </c>
      <c r="K515" s="159"/>
      <c r="L515" s="159">
        <f t="shared" si="158"/>
        <v>0</v>
      </c>
      <c r="M515" s="159"/>
      <c r="N515" s="159">
        <f t="shared" si="158"/>
        <v>0</v>
      </c>
      <c r="O515" s="159">
        <f t="shared" si="158"/>
        <v>0</v>
      </c>
      <c r="P515" s="159"/>
      <c r="Q515" s="159">
        <f t="shared" si="158"/>
        <v>0</v>
      </c>
    </row>
    <row r="516" spans="1:17" ht="39" hidden="1" x14ac:dyDescent="0.25">
      <c r="A516" s="244">
        <v>5414</v>
      </c>
      <c r="B516" s="235">
        <v>621000</v>
      </c>
      <c r="C516" s="158" t="s">
        <v>441</v>
      </c>
      <c r="D516" s="158"/>
      <c r="E516" s="159">
        <f>SUM(E517:E529)</f>
        <v>0</v>
      </c>
      <c r="F516" s="159"/>
      <c r="G516" s="159">
        <f t="shared" si="141"/>
        <v>0</v>
      </c>
      <c r="H516" s="159"/>
      <c r="I516" s="159">
        <f t="shared" ref="I516:Q516" si="159">SUM(I517:I529)</f>
        <v>0</v>
      </c>
      <c r="J516" s="159">
        <f t="shared" si="159"/>
        <v>0</v>
      </c>
      <c r="K516" s="159"/>
      <c r="L516" s="159">
        <f t="shared" si="159"/>
        <v>0</v>
      </c>
      <c r="M516" s="159"/>
      <c r="N516" s="159">
        <f t="shared" si="159"/>
        <v>0</v>
      </c>
      <c r="O516" s="159">
        <f t="shared" si="159"/>
        <v>0</v>
      </c>
      <c r="P516" s="159"/>
      <c r="Q516" s="159">
        <f t="shared" si="159"/>
        <v>0</v>
      </c>
    </row>
    <row r="517" spans="1:17" ht="26.25" hidden="1" x14ac:dyDescent="0.25">
      <c r="A517" s="202">
        <v>5415</v>
      </c>
      <c r="B517" s="165">
        <v>621100</v>
      </c>
      <c r="C517" s="166" t="s">
        <v>442</v>
      </c>
      <c r="D517" s="166"/>
      <c r="E517" s="182"/>
      <c r="F517" s="182"/>
      <c r="G517" s="183">
        <f t="shared" si="141"/>
        <v>0</v>
      </c>
      <c r="H517" s="183"/>
      <c r="I517" s="182"/>
      <c r="J517" s="182"/>
      <c r="K517" s="182"/>
      <c r="L517" s="182"/>
      <c r="M517" s="182"/>
      <c r="N517" s="182"/>
      <c r="O517" s="182"/>
      <c r="P517" s="182"/>
      <c r="Q517" s="182"/>
    </row>
    <row r="518" spans="1:17" hidden="1" x14ac:dyDescent="0.25">
      <c r="A518" s="598" t="s">
        <v>0</v>
      </c>
      <c r="B518" s="599" t="s">
        <v>1</v>
      </c>
      <c r="C518" s="598" t="s">
        <v>2</v>
      </c>
      <c r="D518" s="243"/>
      <c r="E518" s="598" t="s">
        <v>217</v>
      </c>
      <c r="F518" s="243"/>
      <c r="G518" s="600" t="s">
        <v>198</v>
      </c>
      <c r="H518" s="600"/>
      <c r="I518" s="601"/>
      <c r="J518" s="601"/>
      <c r="K518" s="601"/>
      <c r="L518" s="601"/>
      <c r="M518" s="601"/>
      <c r="N518" s="601"/>
      <c r="O518" s="601"/>
      <c r="P518" s="601"/>
      <c r="Q518" s="601"/>
    </row>
    <row r="519" spans="1:17" hidden="1" x14ac:dyDescent="0.25">
      <c r="A519" s="598"/>
      <c r="B519" s="599"/>
      <c r="C519" s="598"/>
      <c r="D519" s="243"/>
      <c r="E519" s="598"/>
      <c r="F519" s="243"/>
      <c r="G519" s="600" t="s">
        <v>199</v>
      </c>
      <c r="H519" s="235"/>
      <c r="I519" s="600" t="s">
        <v>200</v>
      </c>
      <c r="J519" s="601"/>
      <c r="K519" s="601"/>
      <c r="L519" s="601"/>
      <c r="M519" s="601"/>
      <c r="N519" s="601"/>
      <c r="O519" s="600" t="s">
        <v>7</v>
      </c>
      <c r="P519" s="235"/>
      <c r="Q519" s="600" t="s">
        <v>8</v>
      </c>
    </row>
    <row r="520" spans="1:17" ht="39" hidden="1" x14ac:dyDescent="0.25">
      <c r="A520" s="598"/>
      <c r="B520" s="599"/>
      <c r="C520" s="598"/>
      <c r="D520" s="243"/>
      <c r="E520" s="598"/>
      <c r="F520" s="243"/>
      <c r="G520" s="601"/>
      <c r="H520" s="245"/>
      <c r="I520" s="235" t="s">
        <v>201</v>
      </c>
      <c r="J520" s="235" t="s">
        <v>10</v>
      </c>
      <c r="K520" s="235"/>
      <c r="L520" s="235" t="s">
        <v>11</v>
      </c>
      <c r="M520" s="235"/>
      <c r="N520" s="235" t="s">
        <v>12</v>
      </c>
      <c r="O520" s="601"/>
      <c r="P520" s="245"/>
      <c r="Q520" s="601"/>
    </row>
    <row r="521" spans="1:17" ht="26.25" hidden="1" x14ac:dyDescent="0.25">
      <c r="A521" s="242" t="s">
        <v>18</v>
      </c>
      <c r="B521" s="242" t="s">
        <v>19</v>
      </c>
      <c r="C521" s="242" t="s">
        <v>20</v>
      </c>
      <c r="D521" s="242"/>
      <c r="E521" s="242" t="s">
        <v>21</v>
      </c>
      <c r="F521" s="242"/>
      <c r="G521" s="242" t="s">
        <v>22</v>
      </c>
      <c r="H521" s="242"/>
      <c r="I521" s="242" t="s">
        <v>23</v>
      </c>
      <c r="J521" s="242" t="s">
        <v>24</v>
      </c>
      <c r="K521" s="242"/>
      <c r="L521" s="242" t="s">
        <v>25</v>
      </c>
      <c r="M521" s="242"/>
      <c r="N521" s="242" t="s">
        <v>26</v>
      </c>
      <c r="O521" s="242" t="s">
        <v>27</v>
      </c>
      <c r="P521" s="242"/>
      <c r="Q521" s="242" t="s">
        <v>28</v>
      </c>
    </row>
    <row r="522" spans="1:17" hidden="1" x14ac:dyDescent="0.25">
      <c r="A522" s="202">
        <v>5416</v>
      </c>
      <c r="B522" s="165">
        <v>621200</v>
      </c>
      <c r="C522" s="166" t="s">
        <v>443</v>
      </c>
      <c r="D522" s="166"/>
      <c r="E522" s="182"/>
      <c r="F522" s="182"/>
      <c r="G522" s="183">
        <f t="shared" si="141"/>
        <v>0</v>
      </c>
      <c r="H522" s="183"/>
      <c r="I522" s="182"/>
      <c r="J522" s="182"/>
      <c r="K522" s="182"/>
      <c r="L522" s="182"/>
      <c r="M522" s="182"/>
      <c r="N522" s="182"/>
      <c r="O522" s="182"/>
      <c r="P522" s="182"/>
      <c r="Q522" s="182"/>
    </row>
    <row r="523" spans="1:17" ht="26.25" hidden="1" x14ac:dyDescent="0.25">
      <c r="A523" s="202">
        <v>5417</v>
      </c>
      <c r="B523" s="165">
        <v>621300</v>
      </c>
      <c r="C523" s="166" t="s">
        <v>444</v>
      </c>
      <c r="D523" s="166"/>
      <c r="E523" s="182"/>
      <c r="F523" s="182"/>
      <c r="G523" s="183">
        <f t="shared" si="141"/>
        <v>0</v>
      </c>
      <c r="H523" s="183"/>
      <c r="I523" s="182"/>
      <c r="J523" s="182"/>
      <c r="K523" s="182"/>
      <c r="L523" s="182"/>
      <c r="M523" s="182"/>
      <c r="N523" s="182"/>
      <c r="O523" s="182"/>
      <c r="P523" s="182"/>
      <c r="Q523" s="182"/>
    </row>
    <row r="524" spans="1:17" ht="26.25" hidden="1" x14ac:dyDescent="0.25">
      <c r="A524" s="202">
        <v>5418</v>
      </c>
      <c r="B524" s="165">
        <v>621400</v>
      </c>
      <c r="C524" s="166" t="s">
        <v>445</v>
      </c>
      <c r="D524" s="166"/>
      <c r="E524" s="182"/>
      <c r="F524" s="182"/>
      <c r="G524" s="183">
        <f t="shared" si="141"/>
        <v>0</v>
      </c>
      <c r="H524" s="183"/>
      <c r="I524" s="182"/>
      <c r="J524" s="182"/>
      <c r="K524" s="182"/>
      <c r="L524" s="182"/>
      <c r="M524" s="182"/>
      <c r="N524" s="182"/>
      <c r="O524" s="182"/>
      <c r="P524" s="182"/>
      <c r="Q524" s="182"/>
    </row>
    <row r="525" spans="1:17" ht="39" hidden="1" x14ac:dyDescent="0.25">
      <c r="A525" s="202">
        <v>5419</v>
      </c>
      <c r="B525" s="165">
        <v>621500</v>
      </c>
      <c r="C525" s="166" t="s">
        <v>446</v>
      </c>
      <c r="D525" s="166"/>
      <c r="E525" s="182"/>
      <c r="F525" s="182"/>
      <c r="G525" s="183">
        <f t="shared" si="141"/>
        <v>0</v>
      </c>
      <c r="H525" s="183"/>
      <c r="I525" s="182"/>
      <c r="J525" s="182"/>
      <c r="K525" s="182"/>
      <c r="L525" s="182"/>
      <c r="M525" s="182"/>
      <c r="N525" s="182"/>
      <c r="O525" s="182"/>
      <c r="P525" s="182"/>
      <c r="Q525" s="182"/>
    </row>
    <row r="526" spans="1:17" ht="26.25" hidden="1" x14ac:dyDescent="0.25">
      <c r="A526" s="202">
        <v>5420</v>
      </c>
      <c r="B526" s="165">
        <v>621600</v>
      </c>
      <c r="C526" s="166" t="s">
        <v>447</v>
      </c>
      <c r="D526" s="166"/>
      <c r="E526" s="182"/>
      <c r="F526" s="182"/>
      <c r="G526" s="183">
        <f t="shared" si="141"/>
        <v>0</v>
      </c>
      <c r="H526" s="183"/>
      <c r="I526" s="182"/>
      <c r="J526" s="182"/>
      <c r="K526" s="182"/>
      <c r="L526" s="182"/>
      <c r="M526" s="182"/>
      <c r="N526" s="182"/>
      <c r="O526" s="182"/>
      <c r="P526" s="182"/>
      <c r="Q526" s="182"/>
    </row>
    <row r="527" spans="1:17" ht="26.25" hidden="1" x14ac:dyDescent="0.25">
      <c r="A527" s="202">
        <v>5421</v>
      </c>
      <c r="B527" s="165">
        <v>621700</v>
      </c>
      <c r="C527" s="166" t="s">
        <v>448</v>
      </c>
      <c r="D527" s="166"/>
      <c r="E527" s="182"/>
      <c r="F527" s="182"/>
      <c r="G527" s="183">
        <f t="shared" si="141"/>
        <v>0</v>
      </c>
      <c r="H527" s="183"/>
      <c r="I527" s="182"/>
      <c r="J527" s="182"/>
      <c r="K527" s="182"/>
      <c r="L527" s="182"/>
      <c r="M527" s="182"/>
      <c r="N527" s="182"/>
      <c r="O527" s="182"/>
      <c r="P527" s="182"/>
      <c r="Q527" s="182"/>
    </row>
    <row r="528" spans="1:17" ht="39" hidden="1" x14ac:dyDescent="0.25">
      <c r="A528" s="202">
        <v>5422</v>
      </c>
      <c r="B528" s="165">
        <v>621800</v>
      </c>
      <c r="C528" s="166" t="s">
        <v>449</v>
      </c>
      <c r="D528" s="166"/>
      <c r="E528" s="182"/>
      <c r="F528" s="182"/>
      <c r="G528" s="183">
        <f t="shared" si="141"/>
        <v>0</v>
      </c>
      <c r="H528" s="183"/>
      <c r="I528" s="182"/>
      <c r="J528" s="182"/>
      <c r="K528" s="182"/>
      <c r="L528" s="182"/>
      <c r="M528" s="182"/>
      <c r="N528" s="182"/>
      <c r="O528" s="182"/>
      <c r="P528" s="182"/>
      <c r="Q528" s="182"/>
    </row>
    <row r="529" spans="1:17" ht="26.25" hidden="1" x14ac:dyDescent="0.25">
      <c r="A529" s="202">
        <v>5423</v>
      </c>
      <c r="B529" s="165">
        <v>621900</v>
      </c>
      <c r="C529" s="166" t="s">
        <v>450</v>
      </c>
      <c r="D529" s="166"/>
      <c r="E529" s="182"/>
      <c r="F529" s="182"/>
      <c r="G529" s="183">
        <f t="shared" si="141"/>
        <v>0</v>
      </c>
      <c r="H529" s="183"/>
      <c r="I529" s="182"/>
      <c r="J529" s="182"/>
      <c r="K529" s="182"/>
      <c r="L529" s="182"/>
      <c r="M529" s="182"/>
      <c r="N529" s="182"/>
      <c r="O529" s="182"/>
      <c r="P529" s="182"/>
      <c r="Q529" s="182"/>
    </row>
    <row r="530" spans="1:17" ht="39" hidden="1" x14ac:dyDescent="0.25">
      <c r="A530" s="244">
        <v>5424</v>
      </c>
      <c r="B530" s="235">
        <v>622000</v>
      </c>
      <c r="C530" s="158" t="s">
        <v>451</v>
      </c>
      <c r="D530" s="158"/>
      <c r="E530" s="159">
        <f>SUM(E531:E538)</f>
        <v>0</v>
      </c>
      <c r="F530" s="159"/>
      <c r="G530" s="159">
        <f t="shared" si="141"/>
        <v>0</v>
      </c>
      <c r="H530" s="159"/>
      <c r="I530" s="159">
        <f t="shared" ref="I530:Q530" si="160">SUM(I531:I538)</f>
        <v>0</v>
      </c>
      <c r="J530" s="159">
        <f t="shared" si="160"/>
        <v>0</v>
      </c>
      <c r="K530" s="159"/>
      <c r="L530" s="159">
        <f t="shared" si="160"/>
        <v>0</v>
      </c>
      <c r="M530" s="159"/>
      <c r="N530" s="159">
        <f t="shared" si="160"/>
        <v>0</v>
      </c>
      <c r="O530" s="159">
        <f t="shared" si="160"/>
        <v>0</v>
      </c>
      <c r="P530" s="159"/>
      <c r="Q530" s="159">
        <f t="shared" si="160"/>
        <v>0</v>
      </c>
    </row>
    <row r="531" spans="1:17" ht="26.25" hidden="1" x14ac:dyDescent="0.25">
      <c r="A531" s="202">
        <v>5425</v>
      </c>
      <c r="B531" s="165">
        <v>622100</v>
      </c>
      <c r="C531" s="166" t="s">
        <v>452</v>
      </c>
      <c r="D531" s="166"/>
      <c r="E531" s="182"/>
      <c r="F531" s="182"/>
      <c r="G531" s="183">
        <f t="shared" si="141"/>
        <v>0</v>
      </c>
      <c r="H531" s="183"/>
      <c r="I531" s="182"/>
      <c r="J531" s="182"/>
      <c r="K531" s="182"/>
      <c r="L531" s="182"/>
      <c r="M531" s="182"/>
      <c r="N531" s="182"/>
      <c r="O531" s="182"/>
      <c r="P531" s="182"/>
      <c r="Q531" s="182"/>
    </row>
    <row r="532" spans="1:17" hidden="1" x14ac:dyDescent="0.25">
      <c r="A532" s="202">
        <v>5426</v>
      </c>
      <c r="B532" s="165">
        <v>622200</v>
      </c>
      <c r="C532" s="166" t="s">
        <v>453</v>
      </c>
      <c r="D532" s="166"/>
      <c r="E532" s="182"/>
      <c r="F532" s="182"/>
      <c r="G532" s="183">
        <f t="shared" si="141"/>
        <v>0</v>
      </c>
      <c r="H532" s="183"/>
      <c r="I532" s="182"/>
      <c r="J532" s="182"/>
      <c r="K532" s="182"/>
      <c r="L532" s="182"/>
      <c r="M532" s="182"/>
      <c r="N532" s="182"/>
      <c r="O532" s="182"/>
      <c r="P532" s="182"/>
      <c r="Q532" s="182"/>
    </row>
    <row r="533" spans="1:17" ht="26.25" hidden="1" x14ac:dyDescent="0.25">
      <c r="A533" s="202">
        <v>5427</v>
      </c>
      <c r="B533" s="165">
        <v>622300</v>
      </c>
      <c r="C533" s="166" t="s">
        <v>454</v>
      </c>
      <c r="D533" s="166"/>
      <c r="E533" s="182"/>
      <c r="F533" s="182"/>
      <c r="G533" s="183">
        <f t="shared" si="141"/>
        <v>0</v>
      </c>
      <c r="H533" s="183"/>
      <c r="I533" s="182"/>
      <c r="J533" s="182"/>
      <c r="K533" s="182"/>
      <c r="L533" s="182"/>
      <c r="M533" s="182"/>
      <c r="N533" s="182"/>
      <c r="O533" s="182"/>
      <c r="P533" s="182"/>
      <c r="Q533" s="182"/>
    </row>
    <row r="534" spans="1:17" ht="26.25" hidden="1" x14ac:dyDescent="0.25">
      <c r="A534" s="202">
        <v>5428</v>
      </c>
      <c r="B534" s="165">
        <v>622400</v>
      </c>
      <c r="C534" s="166" t="s">
        <v>455</v>
      </c>
      <c r="D534" s="166"/>
      <c r="E534" s="182"/>
      <c r="F534" s="182"/>
      <c r="G534" s="183">
        <f t="shared" si="141"/>
        <v>0</v>
      </c>
      <c r="H534" s="183"/>
      <c r="I534" s="182"/>
      <c r="J534" s="182"/>
      <c r="K534" s="182"/>
      <c r="L534" s="182"/>
      <c r="M534" s="182"/>
      <c r="N534" s="182"/>
      <c r="O534" s="182"/>
      <c r="P534" s="182"/>
      <c r="Q534" s="182"/>
    </row>
    <row r="535" spans="1:17" ht="26.25" hidden="1" x14ac:dyDescent="0.25">
      <c r="A535" s="202">
        <v>5429</v>
      </c>
      <c r="B535" s="165">
        <v>622500</v>
      </c>
      <c r="C535" s="166" t="s">
        <v>456</v>
      </c>
      <c r="D535" s="166"/>
      <c r="E535" s="182"/>
      <c r="F535" s="182"/>
      <c r="G535" s="183">
        <f t="shared" si="141"/>
        <v>0</v>
      </c>
      <c r="H535" s="183"/>
      <c r="I535" s="182"/>
      <c r="J535" s="182"/>
      <c r="K535" s="182"/>
      <c r="L535" s="182"/>
      <c r="M535" s="182"/>
      <c r="N535" s="182"/>
      <c r="O535" s="182"/>
      <c r="P535" s="182"/>
      <c r="Q535" s="182"/>
    </row>
    <row r="536" spans="1:17" ht="26.25" hidden="1" x14ac:dyDescent="0.25">
      <c r="A536" s="202">
        <v>5430</v>
      </c>
      <c r="B536" s="165">
        <v>622600</v>
      </c>
      <c r="C536" s="166" t="s">
        <v>457</v>
      </c>
      <c r="D536" s="166"/>
      <c r="E536" s="182"/>
      <c r="F536" s="182"/>
      <c r="G536" s="183">
        <f t="shared" ref="G536:G540" si="161">SUM(I536:Q536)</f>
        <v>0</v>
      </c>
      <c r="H536" s="183"/>
      <c r="I536" s="182"/>
      <c r="J536" s="182"/>
      <c r="K536" s="182"/>
      <c r="L536" s="182"/>
      <c r="M536" s="182"/>
      <c r="N536" s="182"/>
      <c r="O536" s="182"/>
      <c r="P536" s="182"/>
      <c r="Q536" s="182"/>
    </row>
    <row r="537" spans="1:17" ht="26.25" hidden="1" x14ac:dyDescent="0.25">
      <c r="A537" s="202">
        <v>5431</v>
      </c>
      <c r="B537" s="165">
        <v>622700</v>
      </c>
      <c r="C537" s="166" t="s">
        <v>458</v>
      </c>
      <c r="D537" s="166"/>
      <c r="E537" s="182"/>
      <c r="F537" s="182"/>
      <c r="G537" s="183">
        <f t="shared" si="161"/>
        <v>0</v>
      </c>
      <c r="H537" s="183"/>
      <c r="I537" s="182"/>
      <c r="J537" s="182"/>
      <c r="K537" s="182"/>
      <c r="L537" s="182"/>
      <c r="M537" s="182"/>
      <c r="N537" s="182"/>
      <c r="O537" s="182"/>
      <c r="P537" s="182"/>
      <c r="Q537" s="182"/>
    </row>
    <row r="538" spans="1:17" hidden="1" x14ac:dyDescent="0.25">
      <c r="A538" s="202">
        <v>5432</v>
      </c>
      <c r="B538" s="165">
        <v>622800</v>
      </c>
      <c r="C538" s="166" t="s">
        <v>459</v>
      </c>
      <c r="D538" s="166"/>
      <c r="E538" s="182"/>
      <c r="F538" s="182"/>
      <c r="G538" s="183">
        <f t="shared" si="161"/>
        <v>0</v>
      </c>
      <c r="H538" s="183"/>
      <c r="I538" s="182"/>
      <c r="J538" s="182"/>
      <c r="K538" s="182"/>
      <c r="L538" s="182"/>
      <c r="M538" s="182"/>
      <c r="N538" s="182"/>
      <c r="O538" s="182"/>
      <c r="P538" s="182"/>
      <c r="Q538" s="182"/>
    </row>
    <row r="539" spans="1:17" ht="90" hidden="1" x14ac:dyDescent="0.25">
      <c r="A539" s="244">
        <v>5433</v>
      </c>
      <c r="B539" s="235">
        <v>623000</v>
      </c>
      <c r="C539" s="158" t="s">
        <v>460</v>
      </c>
      <c r="D539" s="158"/>
      <c r="E539" s="159">
        <f>E540</f>
        <v>0</v>
      </c>
      <c r="F539" s="159"/>
      <c r="G539" s="159">
        <f t="shared" si="161"/>
        <v>0</v>
      </c>
      <c r="H539" s="159"/>
      <c r="I539" s="159">
        <f t="shared" ref="I539:Q539" si="162">I540</f>
        <v>0</v>
      </c>
      <c r="J539" s="159">
        <f t="shared" si="162"/>
        <v>0</v>
      </c>
      <c r="K539" s="159"/>
      <c r="L539" s="159">
        <f t="shared" si="162"/>
        <v>0</v>
      </c>
      <c r="M539" s="159"/>
      <c r="N539" s="159">
        <f t="shared" si="162"/>
        <v>0</v>
      </c>
      <c r="O539" s="159">
        <f t="shared" si="162"/>
        <v>0</v>
      </c>
      <c r="P539" s="159"/>
      <c r="Q539" s="159">
        <f t="shared" si="162"/>
        <v>0</v>
      </c>
    </row>
    <row r="540" spans="1:17" ht="51.75" hidden="1" x14ac:dyDescent="0.25">
      <c r="A540" s="202">
        <v>5434</v>
      </c>
      <c r="B540" s="165">
        <v>623100</v>
      </c>
      <c r="C540" s="166" t="s">
        <v>461</v>
      </c>
      <c r="D540" s="166"/>
      <c r="E540" s="182"/>
      <c r="F540" s="182"/>
      <c r="G540" s="183">
        <f t="shared" si="161"/>
        <v>0</v>
      </c>
      <c r="H540" s="183"/>
      <c r="I540" s="182"/>
      <c r="J540" s="182"/>
      <c r="K540" s="182"/>
      <c r="L540" s="182"/>
      <c r="M540" s="182"/>
      <c r="N540" s="182"/>
      <c r="O540" s="182"/>
      <c r="P540" s="182"/>
      <c r="Q540" s="182"/>
    </row>
    <row r="541" spans="1:17" ht="26.25" x14ac:dyDescent="0.25">
      <c r="A541" s="244">
        <v>5435</v>
      </c>
      <c r="B541" s="165"/>
      <c r="C541" s="158" t="s">
        <v>462</v>
      </c>
      <c r="D541" s="158"/>
      <c r="E541" s="159">
        <f t="shared" ref="E541:Q541" si="163">E219+E485</f>
        <v>1500538</v>
      </c>
      <c r="F541" s="159">
        <f t="shared" si="163"/>
        <v>1536037</v>
      </c>
      <c r="G541" s="159">
        <f t="shared" si="163"/>
        <v>1428186</v>
      </c>
      <c r="H541" s="159">
        <f t="shared" si="163"/>
        <v>25518</v>
      </c>
      <c r="I541" s="159">
        <f t="shared" si="163"/>
        <v>17657</v>
      </c>
      <c r="J541" s="159">
        <f t="shared" si="163"/>
        <v>0</v>
      </c>
      <c r="K541" s="159">
        <f t="shared" si="163"/>
        <v>8447</v>
      </c>
      <c r="L541" s="159">
        <f t="shared" si="163"/>
        <v>1273</v>
      </c>
      <c r="M541" s="159">
        <f t="shared" si="163"/>
        <v>1484026</v>
      </c>
      <c r="N541" s="159">
        <f t="shared" si="163"/>
        <v>1398024</v>
      </c>
      <c r="O541" s="159">
        <f t="shared" si="163"/>
        <v>0</v>
      </c>
      <c r="P541" s="159">
        <f t="shared" si="163"/>
        <v>18046</v>
      </c>
      <c r="Q541" s="159">
        <f t="shared" si="163"/>
        <v>11162</v>
      </c>
    </row>
    <row r="543" spans="1:17" hidden="1" x14ac:dyDescent="0.25">
      <c r="F543" s="201">
        <f>F210-F541</f>
        <v>-6335</v>
      </c>
      <c r="G543" s="201"/>
      <c r="H543" s="201">
        <f>H210-H541</f>
        <v>-1038</v>
      </c>
      <c r="I543" s="201"/>
      <c r="J543" s="201">
        <f>J210-J541</f>
        <v>0</v>
      </c>
      <c r="K543" s="201">
        <f>K210-K541</f>
        <v>0</v>
      </c>
      <c r="L543" s="201"/>
      <c r="M543" s="201">
        <f>M210-M541</f>
        <v>-106</v>
      </c>
      <c r="N543" s="201"/>
      <c r="O543" s="201">
        <f>O210-O541</f>
        <v>0</v>
      </c>
      <c r="P543" s="218">
        <f>P210-P541</f>
        <v>-5191</v>
      </c>
      <c r="Q543" s="201" t="s">
        <v>469</v>
      </c>
    </row>
    <row r="544" spans="1:17" hidden="1" x14ac:dyDescent="0.25"/>
    <row r="545" spans="1:16" hidden="1" x14ac:dyDescent="0.25"/>
    <row r="546" spans="1:16" hidden="1" x14ac:dyDescent="0.25">
      <c r="K546" s="152" t="s">
        <v>463</v>
      </c>
      <c r="L546" s="201">
        <v>50421</v>
      </c>
      <c r="M546" s="201">
        <f>M249+M251+M252+M253+M257+M264+M265+M266+M267+M269+M274+M278+M281+M282+M284+M285+M287+M289+M312+M313</f>
        <v>51515</v>
      </c>
      <c r="N546" s="201">
        <f>L546-M546</f>
        <v>-1094</v>
      </c>
    </row>
    <row r="547" spans="1:16" s="222" customFormat="1" ht="24.75" hidden="1" customHeight="1" x14ac:dyDescent="0.25">
      <c r="A547" s="595" t="s">
        <v>509</v>
      </c>
      <c r="B547" s="596"/>
      <c r="C547" s="597"/>
      <c r="D547" s="219"/>
      <c r="E547" s="220"/>
      <c r="F547" s="220">
        <f>F210-F541</f>
        <v>-6335</v>
      </c>
      <c r="G547" s="220"/>
      <c r="H547" s="220">
        <f>H210-H541</f>
        <v>-1038</v>
      </c>
      <c r="I547" s="220">
        <f t="shared" ref="I547:P547" si="164">I210-I541</f>
        <v>1081</v>
      </c>
      <c r="J547" s="220">
        <f t="shared" si="164"/>
        <v>0</v>
      </c>
      <c r="K547" s="221">
        <f t="shared" si="164"/>
        <v>0</v>
      </c>
      <c r="L547" s="221">
        <f t="shared" si="164"/>
        <v>-768</v>
      </c>
      <c r="M547" s="221">
        <f t="shared" si="164"/>
        <v>-106</v>
      </c>
      <c r="N547" s="220">
        <f t="shared" si="164"/>
        <v>168</v>
      </c>
      <c r="O547" s="220">
        <f t="shared" si="164"/>
        <v>0</v>
      </c>
      <c r="P547" s="220">
        <f t="shared" si="164"/>
        <v>-5191</v>
      </c>
    </row>
    <row r="548" spans="1:16" hidden="1" x14ac:dyDescent="0.25"/>
    <row r="549" spans="1:16" hidden="1" x14ac:dyDescent="0.25">
      <c r="F549" s="201">
        <f>F210-F541</f>
        <v>-6335</v>
      </c>
      <c r="M549" s="201">
        <f>M249+M251+M252+M253+M257+M264+M265+M266+M267+M269+M274+M278+M281+M282+M284+M285+M287+M289+M312+M313</f>
        <v>51515</v>
      </c>
    </row>
  </sheetData>
  <mergeCells count="187">
    <mergeCell ref="A547:C547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</mergeCells>
  <dataValidations count="1">
    <dataValidation type="whole" allowBlank="1" showErrorMessage="1" errorTitle="Upozorenje" error="Niste uneli korektnu vrednost!_x000a_Ponovite unos." sqref="E495:Q517 F74:F154 E15:Q42 E47:Q69 E159:Q180 E185:Q202 E207:Q211 E6:Q10 E74:E99 G74:Q99 G122:Q127 G132:Q154 E132:E154 E274:Q318 E238:Q269 E219:Q233 E522:Q541 E404:Q427 E323:Q348 E353:Q374 E379:Q399 E467:Q490 G104:Q119 G120:M121 E104:E127 E432:G462 I432:Q462 H432:H443 H445:H462">
      <formula1>0</formula1>
      <formula2>999999999</formula2>
    </dataValidation>
  </dataValidations>
  <pageMargins left="0.16" right="0.21" top="0.72" bottom="0.75" header="0.24" footer="0.56999999999999995"/>
  <pageSetup paperSize="9" orientation="portrait" verticalDpi="4294967295" r:id="rId1"/>
  <headerFooter>
    <oddHeader>&amp;CФИНАНСИЈСКИ ПЛАН ОПШТЕ БОЛНИЦЕ ПИРОТ ЗА 2022. ГОДИНУ</oddHead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W541"/>
  <sheetViews>
    <sheetView topLeftCell="B434" workbookViewId="0">
      <selection activeCell="B543" sqref="A543:XFD551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9" style="12" customWidth="1"/>
    <col min="7" max="7" width="0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7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2" width="0" style="12" hidden="1" customWidth="1"/>
    <col min="23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1529922</v>
      </c>
      <c r="G6" s="19">
        <f t="shared" ref="G6:Q6" si="0">G7+G133</f>
        <v>2912893</v>
      </c>
      <c r="H6" s="19">
        <f t="shared" si="0"/>
        <v>24480</v>
      </c>
      <c r="I6" s="19">
        <f t="shared" si="0"/>
        <v>18738</v>
      </c>
      <c r="J6" s="19">
        <f t="shared" si="0"/>
        <v>0</v>
      </c>
      <c r="K6" s="19">
        <f t="shared" si="0"/>
        <v>8447</v>
      </c>
      <c r="L6" s="19">
        <f t="shared" si="0"/>
        <v>505</v>
      </c>
      <c r="M6" s="19">
        <f t="shared" si="0"/>
        <v>1483920</v>
      </c>
      <c r="N6" s="19">
        <f t="shared" si="0"/>
        <v>1398192</v>
      </c>
      <c r="O6" s="19">
        <f t="shared" si="0"/>
        <v>0</v>
      </c>
      <c r="P6" s="19">
        <f t="shared" si="0"/>
        <v>13075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1529667</v>
      </c>
      <c r="G7" s="19">
        <f>G8+G60+G74+G86+G115+G122+G126</f>
        <v>2912709</v>
      </c>
      <c r="H7" s="19">
        <f t="shared" ref="H7:Q7" si="1">H8+H60+H74+H86+H115+H122+H126</f>
        <v>24480</v>
      </c>
      <c r="I7" s="19">
        <f t="shared" si="1"/>
        <v>18738</v>
      </c>
      <c r="J7" s="19">
        <f t="shared" si="1"/>
        <v>0</v>
      </c>
      <c r="K7" s="19">
        <f t="shared" si="1"/>
        <v>8447</v>
      </c>
      <c r="L7" s="19">
        <f t="shared" si="1"/>
        <v>505</v>
      </c>
      <c r="M7" s="19">
        <f t="shared" si="1"/>
        <v>1483920</v>
      </c>
      <c r="N7" s="19">
        <f t="shared" si="1"/>
        <v>1398192</v>
      </c>
      <c r="O7" s="19">
        <f t="shared" si="1"/>
        <v>0</v>
      </c>
      <c r="P7" s="19">
        <f t="shared" si="1"/>
        <v>12820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15151</v>
      </c>
      <c r="G86" s="19">
        <f t="shared" ref="G86:Q86" si="21">G87+G94+G99+G110+G113</f>
        <v>14780</v>
      </c>
      <c r="H86" s="19">
        <f>H87+H94+H99+H110+H113</f>
        <v>1200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v>1131</v>
      </c>
      <c r="N86" s="19">
        <f t="shared" si="21"/>
        <v>1130</v>
      </c>
      <c r="O86" s="19">
        <f t="shared" si="21"/>
        <v>0</v>
      </c>
      <c r="P86" s="19">
        <f>P87+P94+P99+P110+P113+P120</f>
        <v>12820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1131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1131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1131</v>
      </c>
      <c r="G91" s="37">
        <f>SUM(I91:Q91)-K91-M91-P91</f>
        <v>1130</v>
      </c>
      <c r="H91" s="37"/>
      <c r="I91" s="38"/>
      <c r="J91" s="38"/>
      <c r="K91" s="38"/>
      <c r="L91" s="38"/>
      <c r="M91" s="38">
        <v>1131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1200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12500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1200</v>
      </c>
      <c r="I97" s="36">
        <v>1165</v>
      </c>
      <c r="J97" s="36"/>
      <c r="K97" s="36"/>
      <c r="L97" s="36"/>
      <c r="M97" s="36"/>
      <c r="N97" s="36"/>
      <c r="O97" s="36"/>
      <c r="P97" s="36">
        <v>7500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22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22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22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22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22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22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22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22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320</v>
      </c>
      <c r="G120" s="19">
        <f t="shared" ref="G120:L120" si="32">G121+G122</f>
        <v>2879851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320</v>
      </c>
    </row>
    <row r="121" spans="1:22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320</v>
      </c>
      <c r="G121" s="36"/>
      <c r="H121" s="36"/>
      <c r="I121" s="36"/>
      <c r="J121" s="36"/>
      <c r="K121" s="36"/>
      <c r="L121" s="36"/>
      <c r="M121" s="36"/>
      <c r="P121" s="352">
        <f>100+220</f>
        <v>320</v>
      </c>
    </row>
    <row r="122" spans="1:22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1482789</v>
      </c>
      <c r="G122" s="19">
        <f t="shared" ref="G122:Q122" si="33">G123</f>
        <v>2879851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1482789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22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1482789</v>
      </c>
      <c r="G123" s="19">
        <f t="shared" ref="G123:Q123" si="34">G124+G125</f>
        <v>2879851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1482789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22" ht="28.5" x14ac:dyDescent="0.4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1482789</v>
      </c>
      <c r="G124" s="37">
        <f>SUM(I124:Q124)</f>
        <v>2879851</v>
      </c>
      <c r="H124" s="37"/>
      <c r="I124" s="36"/>
      <c r="J124" s="36"/>
      <c r="K124" s="36"/>
      <c r="L124" s="36"/>
      <c r="M124" s="36">
        <f>1377997+1583+12500+4800+200+7710+600+37400+315+8072+399+274+18289+2813+2586+7251</f>
        <v>1482789</v>
      </c>
      <c r="N124" s="36">
        <v>1397062</v>
      </c>
      <c r="O124" s="36"/>
      <c r="P124" s="36"/>
      <c r="Q124" s="72"/>
      <c r="V124" s="388" t="s">
        <v>538</v>
      </c>
    </row>
    <row r="125" spans="1:22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22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31727</v>
      </c>
      <c r="G126" s="19">
        <f t="shared" ref="G126:Q126" si="36">G127</f>
        <v>18078</v>
      </c>
      <c r="H126" s="19">
        <f>H127</f>
        <v>23280</v>
      </c>
      <c r="I126" s="19">
        <f t="shared" si="36"/>
        <v>17573</v>
      </c>
      <c r="J126" s="19">
        <f t="shared" si="36"/>
        <v>0</v>
      </c>
      <c r="K126" s="19">
        <f t="shared" si="36"/>
        <v>8447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22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31727</v>
      </c>
      <c r="G127" s="19">
        <f t="shared" ref="G127:Q127" si="37">G132</f>
        <v>18078</v>
      </c>
      <c r="H127" s="19">
        <f t="shared" si="37"/>
        <v>23280</v>
      </c>
      <c r="I127" s="19">
        <f t="shared" si="37"/>
        <v>17573</v>
      </c>
      <c r="J127" s="19">
        <f t="shared" si="37"/>
        <v>0</v>
      </c>
      <c r="K127" s="19">
        <f t="shared" si="37"/>
        <v>8447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22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22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22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22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22" ht="26.25" x14ac:dyDescent="0.4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31727</v>
      </c>
      <c r="G132" s="389">
        <f>SUM(I132:Q132)-K132-M132-P132</f>
        <v>18078</v>
      </c>
      <c r="H132" s="389">
        <f>20000+42-42+3280</f>
        <v>23280</v>
      </c>
      <c r="I132" s="36">
        <v>17573</v>
      </c>
      <c r="J132" s="36"/>
      <c r="K132" s="36">
        <f>1000+7447</f>
        <v>8447</v>
      </c>
      <c r="L132" s="36">
        <v>505</v>
      </c>
      <c r="M132" s="36"/>
      <c r="N132" s="36"/>
      <c r="O132" s="36"/>
      <c r="P132" s="36"/>
      <c r="Q132" s="72"/>
      <c r="V132" s="388" t="s">
        <v>538</v>
      </c>
    </row>
    <row r="133" spans="1:22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255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255</v>
      </c>
      <c r="Q133" s="67">
        <f t="shared" si="38"/>
        <v>184</v>
      </c>
    </row>
    <row r="134" spans="1:22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255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>K135+K137+K139</f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255</v>
      </c>
      <c r="Q134" s="67">
        <f t="shared" si="39"/>
        <v>184</v>
      </c>
    </row>
    <row r="135" spans="1:22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22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22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255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255</v>
      </c>
      <c r="Q137" s="67">
        <f t="shared" si="41"/>
        <v>184</v>
      </c>
    </row>
    <row r="138" spans="1:22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255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f>200+55</f>
        <v>255</v>
      </c>
      <c r="Q138" s="72">
        <v>184</v>
      </c>
    </row>
    <row r="139" spans="1:22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22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22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22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22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22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1529922</v>
      </c>
      <c r="G210" s="42">
        <f t="shared" si="61"/>
        <v>2912893</v>
      </c>
      <c r="H210" s="42">
        <f t="shared" si="61"/>
        <v>24480</v>
      </c>
      <c r="I210" s="42">
        <f t="shared" si="61"/>
        <v>18738</v>
      </c>
      <c r="J210" s="42">
        <f t="shared" si="61"/>
        <v>0</v>
      </c>
      <c r="K210" s="42">
        <f t="shared" si="61"/>
        <v>8447</v>
      </c>
      <c r="L210" s="42">
        <f t="shared" si="61"/>
        <v>505</v>
      </c>
      <c r="M210" s="42">
        <f t="shared" si="61"/>
        <v>1483920</v>
      </c>
      <c r="N210" s="42">
        <f t="shared" si="61"/>
        <v>1398192</v>
      </c>
      <c r="O210" s="42">
        <f t="shared" si="61"/>
        <v>0</v>
      </c>
      <c r="P210" s="42">
        <f t="shared" si="61"/>
        <v>13075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1536257</v>
      </c>
      <c r="G219" s="19">
        <f t="shared" si="62"/>
        <v>1428126</v>
      </c>
      <c r="H219" s="19">
        <f t="shared" si="62"/>
        <v>25518</v>
      </c>
      <c r="I219" s="19">
        <f t="shared" si="62"/>
        <v>17657</v>
      </c>
      <c r="J219" s="19">
        <f t="shared" si="62"/>
        <v>0</v>
      </c>
      <c r="K219" s="19">
        <f t="shared" si="62"/>
        <v>8447</v>
      </c>
      <c r="L219" s="19">
        <f t="shared" si="62"/>
        <v>1273</v>
      </c>
      <c r="M219" s="19">
        <f t="shared" si="62"/>
        <v>1484026</v>
      </c>
      <c r="N219" s="19">
        <f t="shared" si="62"/>
        <v>1398024</v>
      </c>
      <c r="O219" s="19">
        <f t="shared" si="62"/>
        <v>0</v>
      </c>
      <c r="P219" s="19">
        <f t="shared" si="62"/>
        <v>18266</v>
      </c>
      <c r="Q219" s="19">
        <f t="shared" si="62"/>
        <v>11162</v>
      </c>
      <c r="R219" s="44">
        <f>H219+K219+M219+P219</f>
        <v>1536257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1508514</v>
      </c>
      <c r="G220" s="19">
        <f t="shared" ref="G220:Q220" si="63">G221+G247+G314+G333+G361+G374+G394+G413</f>
        <v>1411063</v>
      </c>
      <c r="H220" s="19">
        <f t="shared" si="63"/>
        <v>5518</v>
      </c>
      <c r="I220" s="19">
        <f t="shared" si="63"/>
        <v>2407</v>
      </c>
      <c r="J220" s="19">
        <f t="shared" si="63"/>
        <v>0</v>
      </c>
      <c r="K220" s="19">
        <f t="shared" si="63"/>
        <v>6429</v>
      </c>
      <c r="L220" s="19">
        <f t="shared" si="63"/>
        <v>1273</v>
      </c>
      <c r="M220" s="19">
        <f t="shared" si="63"/>
        <v>1484026</v>
      </c>
      <c r="N220" s="19">
        <f t="shared" si="63"/>
        <v>1398024</v>
      </c>
      <c r="O220" s="19">
        <f t="shared" si="63"/>
        <v>0</v>
      </c>
      <c r="P220" s="19">
        <f t="shared" si="63"/>
        <v>12541</v>
      </c>
      <c r="Q220" s="19">
        <f t="shared" si="63"/>
        <v>9349</v>
      </c>
      <c r="R220" s="44">
        <f>F220+F434</f>
        <v>1536257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1069524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1066319</v>
      </c>
      <c r="N221" s="19">
        <f t="shared" si="64"/>
        <v>1025065</v>
      </c>
      <c r="O221" s="19">
        <f t="shared" si="64"/>
        <v>0</v>
      </c>
      <c r="P221" s="19">
        <f t="shared" si="64"/>
        <v>3205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875010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872510</v>
      </c>
      <c r="N222" s="19">
        <f t="shared" si="65"/>
        <v>849796</v>
      </c>
      <c r="O222" s="19">
        <f t="shared" si="65"/>
        <v>0</v>
      </c>
      <c r="P222" s="19">
        <f t="shared" si="65"/>
        <v>2500</v>
      </c>
      <c r="Q222" s="19">
        <f t="shared" si="65"/>
        <v>1989</v>
      </c>
    </row>
    <row r="223" spans="1:18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875010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872510</v>
      </c>
      <c r="N223" s="36">
        <f>851785-1989</f>
        <v>849796</v>
      </c>
      <c r="O223" s="36"/>
      <c r="P223" s="36">
        <v>2500</v>
      </c>
      <c r="Q223" s="36">
        <v>1989</v>
      </c>
      <c r="R223" s="44">
        <f>M223+P223</f>
        <v>875010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141315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140910</v>
      </c>
      <c r="N224" s="19">
        <f t="shared" si="66"/>
        <v>141535</v>
      </c>
      <c r="O224" s="19">
        <f t="shared" si="66"/>
        <v>0</v>
      </c>
      <c r="P224" s="19">
        <f t="shared" si="66"/>
        <v>405</v>
      </c>
      <c r="Q224" s="19">
        <f t="shared" si="66"/>
        <v>331</v>
      </c>
    </row>
    <row r="225" spans="1:22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96251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95976</v>
      </c>
      <c r="N225" s="36">
        <f>97986-229</f>
        <v>97757</v>
      </c>
      <c r="O225" s="36"/>
      <c r="P225" s="36">
        <v>275</v>
      </c>
      <c r="Q225" s="36">
        <v>229</v>
      </c>
    </row>
    <row r="226" spans="1:22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45064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44934</v>
      </c>
      <c r="N226" s="36">
        <f>43880-102</f>
        <v>43778</v>
      </c>
      <c r="O226" s="36"/>
      <c r="P226" s="36">
        <v>130</v>
      </c>
      <c r="Q226" s="36">
        <v>102</v>
      </c>
    </row>
    <row r="227" spans="1:22" hidden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22" hidden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22" hidden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22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18472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18172</v>
      </c>
      <c r="N230" s="19">
        <f t="shared" si="69"/>
        <v>4959</v>
      </c>
      <c r="O230" s="19">
        <f t="shared" si="69"/>
        <v>0</v>
      </c>
      <c r="P230" s="19">
        <f t="shared" si="69"/>
        <v>300</v>
      </c>
      <c r="Q230" s="19">
        <f t="shared" si="69"/>
        <v>280</v>
      </c>
    </row>
    <row r="231" spans="1:22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22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22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9500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f>4800+200+4200</f>
        <v>9200</v>
      </c>
      <c r="N233" s="36">
        <v>3654</v>
      </c>
      <c r="O233" s="36"/>
      <c r="P233" s="36">
        <v>300</v>
      </c>
      <c r="Q233" s="36">
        <v>280</v>
      </c>
    </row>
    <row r="234" spans="1:22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22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22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22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22" ht="54" x14ac:dyDescent="0.4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8972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f>600+8072+300</f>
        <v>8972</v>
      </c>
      <c r="N238" s="36">
        <v>1305</v>
      </c>
      <c r="O238" s="36"/>
      <c r="P238" s="36"/>
      <c r="Q238" s="36"/>
      <c r="V238" s="388" t="s">
        <v>538</v>
      </c>
    </row>
    <row r="239" spans="1:22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20976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20976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22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20976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20976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13751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13751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13751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f>12500+1251</f>
        <v>13751</v>
      </c>
      <c r="N242" s="36">
        <v>9143</v>
      </c>
      <c r="O242" s="36"/>
      <c r="P242" s="36"/>
      <c r="Q242" s="36"/>
    </row>
    <row r="243" spans="1:18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427974</v>
      </c>
      <c r="G247" s="19">
        <f t="shared" si="74"/>
        <v>375619</v>
      </c>
      <c r="H247" s="19">
        <f t="shared" si="74"/>
        <v>5518</v>
      </c>
      <c r="I247" s="19">
        <f t="shared" si="74"/>
        <v>2407</v>
      </c>
      <c r="J247" s="19">
        <f t="shared" si="74"/>
        <v>0</v>
      </c>
      <c r="K247" s="19">
        <f t="shared" si="74"/>
        <v>6429</v>
      </c>
      <c r="L247" s="19">
        <f t="shared" si="74"/>
        <v>1273</v>
      </c>
      <c r="M247" s="19">
        <f t="shared" si="74"/>
        <v>408497</v>
      </c>
      <c r="N247" s="19">
        <f t="shared" si="74"/>
        <v>365541</v>
      </c>
      <c r="O247" s="19">
        <f t="shared" si="74"/>
        <v>0</v>
      </c>
      <c r="P247" s="19">
        <f t="shared" si="74"/>
        <v>7530</v>
      </c>
      <c r="Q247" s="19">
        <f t="shared" si="74"/>
        <v>6398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108649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107844</v>
      </c>
      <c r="N248" s="19">
        <f t="shared" si="75"/>
        <v>80545</v>
      </c>
      <c r="O248" s="19">
        <f t="shared" si="75"/>
        <v>0</v>
      </c>
      <c r="P248" s="19">
        <f t="shared" si="75"/>
        <v>805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1413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f>1433-100</f>
        <v>1333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91889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f>73200+50+18289</f>
        <v>91539</v>
      </c>
      <c r="N250" s="36">
        <v>65188</v>
      </c>
      <c r="O250" s="36"/>
      <c r="P250" s="36">
        <v>350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10447</v>
      </c>
      <c r="G251" s="37">
        <f t="shared" si="76"/>
        <v>9465</v>
      </c>
      <c r="H251" s="37"/>
      <c r="I251" s="36"/>
      <c r="J251" s="36"/>
      <c r="K251" s="36"/>
      <c r="L251" s="36"/>
      <c r="M251" s="36">
        <f>11064-400-300-180</f>
        <v>10184</v>
      </c>
      <c r="N251" s="36">
        <v>9410</v>
      </c>
      <c r="O251" s="36"/>
      <c r="P251" s="36">
        <f>85+178</f>
        <v>263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2008</v>
      </c>
      <c r="G252" s="37">
        <f t="shared" si="76"/>
        <v>2113</v>
      </c>
      <c r="H252" s="37"/>
      <c r="I252" s="36"/>
      <c r="J252" s="36"/>
      <c r="K252" s="36"/>
      <c r="L252" s="36"/>
      <c r="M252" s="36">
        <f>3000-1092+300-200</f>
        <v>2008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2892</v>
      </c>
      <c r="G253" s="37">
        <f t="shared" si="76"/>
        <v>2612</v>
      </c>
      <c r="H253" s="37"/>
      <c r="I253" s="36"/>
      <c r="J253" s="36"/>
      <c r="K253" s="36"/>
      <c r="L253" s="36"/>
      <c r="M253" s="36">
        <f>1131+2500-851</f>
        <v>2780</v>
      </c>
      <c r="N253" s="36">
        <v>2591</v>
      </c>
      <c r="O253" s="36"/>
      <c r="P253" s="36">
        <v>112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650</v>
      </c>
      <c r="G256" s="19">
        <f t="shared" si="77"/>
        <v>571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150</v>
      </c>
      <c r="N256" s="19">
        <f t="shared" si="77"/>
        <v>120</v>
      </c>
      <c r="O256" s="19">
        <f t="shared" si="77"/>
        <v>0</v>
      </c>
      <c r="P256" s="19">
        <f t="shared" si="77"/>
        <v>500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650</v>
      </c>
      <c r="G257" s="37">
        <f t="shared" ref="G257" si="78">SUM(I257:Q257)-K257-M257-P257</f>
        <v>571</v>
      </c>
      <c r="H257" s="37"/>
      <c r="I257" s="36"/>
      <c r="J257" s="36"/>
      <c r="K257" s="36"/>
      <c r="L257" s="36"/>
      <c r="M257" s="36">
        <v>150</v>
      </c>
      <c r="N257" s="36">
        <v>120</v>
      </c>
      <c r="O257" s="36"/>
      <c r="P257" s="36">
        <v>500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8361</v>
      </c>
      <c r="G262" s="19">
        <f t="shared" si="79"/>
        <v>6375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6150</v>
      </c>
      <c r="N262" s="19">
        <f t="shared" si="79"/>
        <v>4811</v>
      </c>
      <c r="O262" s="19">
        <f t="shared" si="79"/>
        <v>0</v>
      </c>
      <c r="P262" s="19">
        <f t="shared" si="79"/>
        <v>2211</v>
      </c>
      <c r="Q262" s="19">
        <f t="shared" si="79"/>
        <v>1564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3556</v>
      </c>
      <c r="G264" s="37">
        <f t="shared" ref="G264:G269" si="80">SUM(I264:Q264)-K264-M264-P264</f>
        <v>2262</v>
      </c>
      <c r="H264" s="37"/>
      <c r="I264" s="36"/>
      <c r="J264" s="36"/>
      <c r="K264" s="36"/>
      <c r="L264" s="36"/>
      <c r="M264" s="36">
        <f>3000+540-50</f>
        <v>3490</v>
      </c>
      <c r="N264" s="36">
        <v>2192</v>
      </c>
      <c r="O264" s="36"/>
      <c r="P264" s="36">
        <v>66</v>
      </c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3060</v>
      </c>
      <c r="G265" s="37">
        <f t="shared" si="80"/>
        <v>2522</v>
      </c>
      <c r="H265" s="37"/>
      <c r="I265" s="36"/>
      <c r="J265" s="36"/>
      <c r="K265" s="36"/>
      <c r="L265" s="36"/>
      <c r="M265" s="36">
        <v>2500</v>
      </c>
      <c r="N265" s="36">
        <v>2374</v>
      </c>
      <c r="O265" s="36"/>
      <c r="P265" s="36">
        <f>200+360</f>
        <v>560</v>
      </c>
      <c r="Q265" s="36">
        <v>148</v>
      </c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160</v>
      </c>
      <c r="G266" s="37">
        <f t="shared" si="80"/>
        <v>259</v>
      </c>
      <c r="H266" s="37"/>
      <c r="I266" s="36"/>
      <c r="J266" s="36"/>
      <c r="K266" s="36"/>
      <c r="L266" s="36"/>
      <c r="M266" s="36">
        <f>260-100</f>
        <v>160</v>
      </c>
      <c r="N266" s="36">
        <v>245</v>
      </c>
      <c r="O266" s="36"/>
      <c r="P266" s="36"/>
      <c r="Q266" s="36">
        <v>14</v>
      </c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1125</v>
      </c>
      <c r="G267" s="37">
        <f t="shared" si="80"/>
        <v>1132</v>
      </c>
      <c r="H267" s="37"/>
      <c r="I267" s="36"/>
      <c r="J267" s="36"/>
      <c r="K267" s="36"/>
      <c r="L267" s="36"/>
      <c r="M267" s="36"/>
      <c r="N267" s="36"/>
      <c r="O267" s="36"/>
      <c r="P267" s="36">
        <v>1125</v>
      </c>
      <c r="Q267" s="36">
        <v>1132</v>
      </c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>
        <f t="shared" si="67"/>
        <v>0</v>
      </c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>
        <f t="shared" si="80"/>
        <v>114</v>
      </c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>
        <v>114</v>
      </c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 t="s">
        <v>198</v>
      </c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 t="s">
        <v>199</v>
      </c>
      <c r="H271" s="476"/>
      <c r="I271" s="544" t="s">
        <v>200</v>
      </c>
      <c r="J271" s="545"/>
      <c r="K271" s="545"/>
      <c r="L271" s="545"/>
      <c r="M271" s="545"/>
      <c r="N271" s="545"/>
      <c r="O271" s="544" t="s">
        <v>7</v>
      </c>
      <c r="P271" s="476"/>
      <c r="Q271" s="544" t="s">
        <v>8</v>
      </c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 t="s">
        <v>201</v>
      </c>
      <c r="J272" s="476" t="s">
        <v>10</v>
      </c>
      <c r="K272" s="476"/>
      <c r="L272" s="476" t="s">
        <v>11</v>
      </c>
      <c r="M272" s="476"/>
      <c r="N272" s="476" t="s">
        <v>12</v>
      </c>
      <c r="O272" s="545"/>
      <c r="P272" s="477"/>
      <c r="Q272" s="545"/>
    </row>
    <row r="273" spans="1:23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 t="s">
        <v>22</v>
      </c>
      <c r="H273" s="475"/>
      <c r="I273" s="475" t="s">
        <v>23</v>
      </c>
      <c r="J273" s="475" t="s">
        <v>24</v>
      </c>
      <c r="K273" s="475"/>
      <c r="L273" s="475" t="s">
        <v>25</v>
      </c>
      <c r="M273" s="475"/>
      <c r="N273" s="475" t="s">
        <v>26</v>
      </c>
      <c r="O273" s="475" t="s">
        <v>27</v>
      </c>
      <c r="P273" s="475"/>
      <c r="Q273" s="475" t="s">
        <v>28</v>
      </c>
    </row>
    <row r="274" spans="1:23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260</v>
      </c>
      <c r="G274" s="37">
        <f t="shared" ref="G274" si="81">SUM(I274:Q274)-K274-M274-P274</f>
        <v>86</v>
      </c>
      <c r="H274" s="37"/>
      <c r="I274" s="36"/>
      <c r="J274" s="36"/>
      <c r="K274" s="36"/>
      <c r="L274" s="36"/>
      <c r="M274" s="36"/>
      <c r="N274" s="36"/>
      <c r="O274" s="36"/>
      <c r="P274" s="36">
        <v>260</v>
      </c>
      <c r="Q274" s="36">
        <v>86</v>
      </c>
    </row>
    <row r="275" spans="1:23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2">SUM(F276:F282)</f>
        <v>6095</v>
      </c>
      <c r="G275" s="19">
        <f t="shared" si="82"/>
        <v>3707</v>
      </c>
      <c r="H275" s="19">
        <f t="shared" si="82"/>
        <v>3280</v>
      </c>
      <c r="I275" s="19">
        <f t="shared" si="82"/>
        <v>2280</v>
      </c>
      <c r="J275" s="19">
        <f t="shared" si="82"/>
        <v>0</v>
      </c>
      <c r="K275" s="19">
        <f t="shared" si="82"/>
        <v>0</v>
      </c>
      <c r="L275" s="19">
        <f t="shared" si="82"/>
        <v>0</v>
      </c>
      <c r="M275" s="19">
        <f t="shared" si="82"/>
        <v>1180</v>
      </c>
      <c r="N275" s="19">
        <f t="shared" si="82"/>
        <v>977</v>
      </c>
      <c r="O275" s="19">
        <f t="shared" si="82"/>
        <v>0</v>
      </c>
      <c r="P275" s="19">
        <f t="shared" si="82"/>
        <v>1635</v>
      </c>
      <c r="Q275" s="19">
        <f t="shared" si="82"/>
        <v>450</v>
      </c>
    </row>
    <row r="276" spans="1:23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3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3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1380</v>
      </c>
      <c r="G278" s="37">
        <f t="shared" ref="G278" si="83">SUM(I278:Q278)-K278-M278-P278</f>
        <v>1086</v>
      </c>
      <c r="H278" s="37"/>
      <c r="I278" s="36"/>
      <c r="J278" s="36"/>
      <c r="K278" s="36"/>
      <c r="L278" s="36"/>
      <c r="M278" s="36">
        <f>1000+280-100</f>
        <v>1180</v>
      </c>
      <c r="N278" s="36">
        <v>977</v>
      </c>
      <c r="O278" s="36"/>
      <c r="P278" s="36">
        <v>200</v>
      </c>
      <c r="Q278" s="36">
        <v>109</v>
      </c>
      <c r="R278" s="47"/>
      <c r="T278" s="47"/>
    </row>
    <row r="279" spans="1:23" hidden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3" ht="26.25" hidden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3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300</v>
      </c>
      <c r="G281" s="37">
        <f t="shared" ref="G281:G282" si="84">SUM(I281:Q281)-K281-M281-P281</f>
        <v>51</v>
      </c>
      <c r="H281" s="37"/>
      <c r="I281" s="36"/>
      <c r="J281" s="36"/>
      <c r="K281" s="36"/>
      <c r="L281" s="36"/>
      <c r="M281" s="36"/>
      <c r="N281" s="36"/>
      <c r="O281" s="36"/>
      <c r="P281" s="36">
        <f>150+150</f>
        <v>300</v>
      </c>
      <c r="Q281" s="36">
        <v>51</v>
      </c>
    </row>
    <row r="282" spans="1:23" ht="23.25" x14ac:dyDescent="0.3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4415</v>
      </c>
      <c r="G282" s="37">
        <f t="shared" si="84"/>
        <v>2570</v>
      </c>
      <c r="H282" s="37">
        <f>1054+2226</f>
        <v>3280</v>
      </c>
      <c r="I282" s="36">
        <v>2280</v>
      </c>
      <c r="J282" s="36"/>
      <c r="K282" s="36"/>
      <c r="L282" s="36"/>
      <c r="M282" s="36"/>
      <c r="N282" s="36"/>
      <c r="O282" s="36"/>
      <c r="P282" s="36">
        <f>400-150-178+1059+96-192+40+60</f>
        <v>1135</v>
      </c>
      <c r="Q282" s="36">
        <v>290</v>
      </c>
      <c r="R282" s="12">
        <v>1059</v>
      </c>
      <c r="S282" s="12" t="s">
        <v>504</v>
      </c>
      <c r="V282" s="393" t="s">
        <v>540</v>
      </c>
      <c r="W282" s="12" t="s">
        <v>542</v>
      </c>
    </row>
    <row r="283" spans="1:23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5">F284+F285</f>
        <v>13775</v>
      </c>
      <c r="G283" s="19">
        <f t="shared" si="85"/>
        <v>8828</v>
      </c>
      <c r="H283" s="19">
        <f t="shared" si="85"/>
        <v>0</v>
      </c>
      <c r="I283" s="19">
        <f t="shared" si="85"/>
        <v>0</v>
      </c>
      <c r="J283" s="19">
        <f t="shared" si="85"/>
        <v>0</v>
      </c>
      <c r="K283" s="19">
        <f t="shared" si="85"/>
        <v>0</v>
      </c>
      <c r="L283" s="19">
        <f t="shared" si="85"/>
        <v>0</v>
      </c>
      <c r="M283" s="19">
        <f t="shared" si="85"/>
        <v>13614</v>
      </c>
      <c r="N283" s="19">
        <f t="shared" si="85"/>
        <v>8173</v>
      </c>
      <c r="O283" s="19">
        <f t="shared" si="85"/>
        <v>0</v>
      </c>
      <c r="P283" s="19">
        <f t="shared" si="85"/>
        <v>161</v>
      </c>
      <c r="Q283" s="19">
        <f t="shared" si="85"/>
        <v>655</v>
      </c>
    </row>
    <row r="284" spans="1:23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720</v>
      </c>
      <c r="G284" s="37">
        <f t="shared" ref="G284:G285" si="86">SUM(I284:Q284)-K284-M284-P284</f>
        <v>100</v>
      </c>
      <c r="H284" s="37"/>
      <c r="I284" s="36"/>
      <c r="J284" s="36"/>
      <c r="K284" s="36"/>
      <c r="L284" s="36"/>
      <c r="M284" s="36">
        <v>720</v>
      </c>
      <c r="N284" s="36">
        <v>100</v>
      </c>
      <c r="O284" s="36"/>
      <c r="P284" s="36"/>
      <c r="Q284" s="36"/>
    </row>
    <row r="285" spans="1:23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13055</v>
      </c>
      <c r="G285" s="37">
        <f t="shared" si="86"/>
        <v>8728</v>
      </c>
      <c r="H285" s="37"/>
      <c r="I285" s="36"/>
      <c r="J285" s="36"/>
      <c r="K285" s="36"/>
      <c r="L285" s="36"/>
      <c r="M285" s="36">
        <f>11147-580+1059-60+840+68+420</f>
        <v>12894</v>
      </c>
      <c r="N285" s="36">
        <f>8055+18</f>
        <v>8073</v>
      </c>
      <c r="O285" s="36"/>
      <c r="P285" s="36">
        <f>84-60+100+37</f>
        <v>161</v>
      </c>
      <c r="Q285" s="36">
        <v>655</v>
      </c>
      <c r="R285" s="12" t="s">
        <v>505</v>
      </c>
      <c r="W285" s="12" t="s">
        <v>542</v>
      </c>
    </row>
    <row r="286" spans="1:23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290444</v>
      </c>
      <c r="G286" s="19">
        <f>SUM(G287:G313)</f>
        <v>275140</v>
      </c>
      <c r="H286" s="19">
        <f t="shared" ref="H286:Q286" si="87">SUM(H287:H313)</f>
        <v>2238</v>
      </c>
      <c r="I286" s="19">
        <f t="shared" si="87"/>
        <v>127</v>
      </c>
      <c r="J286" s="19">
        <f t="shared" si="87"/>
        <v>0</v>
      </c>
      <c r="K286" s="19">
        <f t="shared" si="87"/>
        <v>6429</v>
      </c>
      <c r="L286" s="19">
        <f t="shared" si="87"/>
        <v>1273</v>
      </c>
      <c r="M286" s="19">
        <f>M287+M289+M290+M293+M311+M312+M313</f>
        <v>279559</v>
      </c>
      <c r="N286" s="19">
        <f t="shared" si="87"/>
        <v>270915</v>
      </c>
      <c r="O286" s="19">
        <f t="shared" si="87"/>
        <v>0</v>
      </c>
      <c r="P286" s="19">
        <f>P287+P289+P290+P293+P311+P312+P313</f>
        <v>2218</v>
      </c>
      <c r="Q286" s="19">
        <f t="shared" si="87"/>
        <v>2825</v>
      </c>
      <c r="R286" s="44">
        <f>H286+K286+M286+P286</f>
        <v>290444</v>
      </c>
    </row>
    <row r="287" spans="1:23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5619</v>
      </c>
      <c r="G287" s="37">
        <f t="shared" ref="G287" si="88">SUM(I287:Q287)-K287-M287-P287</f>
        <v>3119</v>
      </c>
      <c r="H287" s="37"/>
      <c r="I287" s="36"/>
      <c r="J287" s="36"/>
      <c r="K287" s="36"/>
      <c r="L287" s="36"/>
      <c r="M287" s="36">
        <f>4200+106+315+399+274+280+45</f>
        <v>5619</v>
      </c>
      <c r="N287" s="36">
        <v>3119</v>
      </c>
      <c r="O287" s="36"/>
      <c r="P287" s="36"/>
      <c r="Q287" s="36"/>
      <c r="R287" s="12" t="s">
        <v>506</v>
      </c>
    </row>
    <row r="288" spans="1:23" hidden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200</v>
      </c>
      <c r="G289" s="37">
        <f t="shared" ref="G289:G290" si="89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v>200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1950</v>
      </c>
      <c r="G290" s="37">
        <f t="shared" si="89"/>
        <v>1580</v>
      </c>
      <c r="H290" s="37"/>
      <c r="I290" s="38"/>
      <c r="J290" s="38"/>
      <c r="K290" s="38"/>
      <c r="L290" s="38"/>
      <c r="M290" s="38">
        <f>2000-50</f>
        <v>1950</v>
      </c>
      <c r="N290" s="38">
        <f>1534+39</f>
        <v>1573</v>
      </c>
      <c r="O290" s="38"/>
      <c r="P290" s="38"/>
      <c r="Q290" s="38">
        <v>7</v>
      </c>
    </row>
    <row r="291" spans="1:19" ht="26.25" hidden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90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90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253193</v>
      </c>
      <c r="G293" s="37">
        <f t="shared" ref="G293:G313" si="91">SUM(I293:Q293)-K293-M293-P293</f>
        <v>252600</v>
      </c>
      <c r="H293" s="37"/>
      <c r="I293" s="36">
        <v>127</v>
      </c>
      <c r="J293" s="36"/>
      <c r="K293" s="36"/>
      <c r="L293" s="36"/>
      <c r="M293" s="48">
        <f>94103+2685+42117+2586+11786+25692+37400+19065+15859</f>
        <v>251293</v>
      </c>
      <c r="N293" s="36">
        <v>250683</v>
      </c>
      <c r="O293" s="36"/>
      <c r="P293" s="48">
        <v>1900</v>
      </c>
      <c r="Q293" s="36">
        <v>1790</v>
      </c>
      <c r="R293" s="44">
        <f>M294+M299+M300+M303+M309+M310</f>
        <v>251293</v>
      </c>
      <c r="S293" s="44">
        <f>R293+P293</f>
        <v>253193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113168</v>
      </c>
      <c r="G294" s="37"/>
      <c r="H294" s="37"/>
      <c r="I294" s="36"/>
      <c r="J294" s="36"/>
      <c r="K294" s="36"/>
      <c r="L294" s="36"/>
      <c r="M294" s="48">
        <f>M295+M296+M297+M298</f>
        <v>113168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70695</v>
      </c>
      <c r="G295" s="37"/>
      <c r="H295" s="37"/>
      <c r="I295" s="36"/>
      <c r="J295" s="36"/>
      <c r="K295" s="36"/>
      <c r="L295" s="36"/>
      <c r="M295" s="38">
        <f>50630+19065+1000</f>
        <v>70695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14745</v>
      </c>
      <c r="G296" s="37"/>
      <c r="H296" s="37"/>
      <c r="I296" s="36"/>
      <c r="J296" s="36"/>
      <c r="K296" s="36"/>
      <c r="L296" s="36"/>
      <c r="M296" s="38">
        <f>15745-1000</f>
        <v>14745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60562</v>
      </c>
      <c r="G300" s="54"/>
      <c r="H300" s="54"/>
      <c r="I300" s="48"/>
      <c r="J300" s="48"/>
      <c r="K300" s="48"/>
      <c r="L300" s="48"/>
      <c r="M300" s="48">
        <f>M301+M302</f>
        <v>60562</v>
      </c>
      <c r="N300" s="48"/>
      <c r="O300" s="48"/>
      <c r="P300" s="48"/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36195</v>
      </c>
      <c r="G301" s="37"/>
      <c r="H301" s="37"/>
      <c r="I301" s="36"/>
      <c r="J301" s="36"/>
      <c r="K301" s="36"/>
      <c r="L301" s="36"/>
      <c r="M301" s="38">
        <f>36195</f>
        <v>36195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24367</v>
      </c>
      <c r="G302" s="37"/>
      <c r="H302" s="37"/>
      <c r="I302" s="36"/>
      <c r="J302" s="36"/>
      <c r="K302" s="36"/>
      <c r="L302" s="36"/>
      <c r="M302" s="38">
        <f>5922+15859+2586</f>
        <v>24367</v>
      </c>
      <c r="N302" s="36"/>
      <c r="O302" s="36"/>
      <c r="P302" s="36">
        <v>1900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</row>
    <row r="305" spans="1:23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</row>
    <row r="306" spans="1:23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</row>
    <row r="307" spans="1:23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</row>
    <row r="308" spans="1:23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</row>
    <row r="309" spans="1:23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23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37400</v>
      </c>
      <c r="G310" s="54"/>
      <c r="H310" s="54"/>
      <c r="I310" s="48"/>
      <c r="J310" s="48"/>
      <c r="K310" s="48"/>
      <c r="L310" s="48"/>
      <c r="M310" s="48">
        <v>37400</v>
      </c>
      <c r="N310" s="48"/>
      <c r="O310" s="48"/>
      <c r="P310" s="48"/>
      <c r="Q310" s="48"/>
    </row>
    <row r="311" spans="1:23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12200</v>
      </c>
      <c r="G311" s="37">
        <f t="shared" si="91"/>
        <v>9570</v>
      </c>
      <c r="H311" s="37"/>
      <c r="I311" s="36"/>
      <c r="J311" s="36"/>
      <c r="K311" s="36"/>
      <c r="L311" s="36"/>
      <c r="M311" s="36">
        <f>9387+2813</f>
        <v>12200</v>
      </c>
      <c r="N311" s="36">
        <v>9570</v>
      </c>
      <c r="O311" s="36"/>
      <c r="P311" s="36"/>
      <c r="Q311" s="36"/>
    </row>
    <row r="312" spans="1:23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3900</v>
      </c>
      <c r="G312" s="37">
        <f t="shared" si="91"/>
        <v>2940</v>
      </c>
      <c r="H312" s="37"/>
      <c r="I312" s="36"/>
      <c r="J312" s="36"/>
      <c r="K312" s="36"/>
      <c r="L312" s="36"/>
      <c r="M312" s="36">
        <v>3900</v>
      </c>
      <c r="N312" s="36">
        <f>12522-12-9570</f>
        <v>2940</v>
      </c>
      <c r="O312" s="36"/>
      <c r="P312" s="36"/>
      <c r="Q312" s="36"/>
    </row>
    <row r="313" spans="1:23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6">
        <f>H313+K313+M313+P313</f>
        <v>13382</v>
      </c>
      <c r="G313" s="37">
        <f t="shared" si="91"/>
        <v>5184</v>
      </c>
      <c r="H313" s="37">
        <f>1038+1200</f>
        <v>2238</v>
      </c>
      <c r="I313" s="36"/>
      <c r="J313" s="36"/>
      <c r="K313" s="36">
        <f>1000+5428+1</f>
        <v>6429</v>
      </c>
      <c r="L313" s="36">
        <v>1273</v>
      </c>
      <c r="M313" s="36">
        <f>4700+400+360+240-840-68-150-45</f>
        <v>4597</v>
      </c>
      <c r="N313" s="36">
        <f>3076-46</f>
        <v>3030</v>
      </c>
      <c r="O313" s="36"/>
      <c r="P313" s="352">
        <f>100+20-2</f>
        <v>118</v>
      </c>
      <c r="Q313" s="36">
        <v>881</v>
      </c>
      <c r="W313" s="12" t="s">
        <v>543</v>
      </c>
    </row>
    <row r="314" spans="1:23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90"/>
        <v>0</v>
      </c>
      <c r="H314" s="19"/>
      <c r="I314" s="19">
        <f t="shared" ref="I314:Q314" si="93">I315+I323+I325+I327+I331</f>
        <v>0</v>
      </c>
      <c r="J314" s="19">
        <f t="shared" si="93"/>
        <v>0</v>
      </c>
      <c r="K314" s="19"/>
      <c r="L314" s="19">
        <f t="shared" si="93"/>
        <v>0</v>
      </c>
      <c r="M314" s="19"/>
      <c r="N314" s="19">
        <f t="shared" si="93"/>
        <v>0</v>
      </c>
      <c r="O314" s="19">
        <f t="shared" si="93"/>
        <v>0</v>
      </c>
      <c r="P314" s="19"/>
      <c r="Q314" s="19">
        <f t="shared" si="93"/>
        <v>0</v>
      </c>
    </row>
    <row r="315" spans="1:23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90"/>
        <v>0</v>
      </c>
      <c r="H315" s="19"/>
      <c r="I315" s="19">
        <f t="shared" ref="I315:Q315" si="94">SUM(I316:I318)</f>
        <v>0</v>
      </c>
      <c r="J315" s="19">
        <f t="shared" si="94"/>
        <v>0</v>
      </c>
      <c r="K315" s="19"/>
      <c r="L315" s="19">
        <f t="shared" si="94"/>
        <v>0</v>
      </c>
      <c r="M315" s="19"/>
      <c r="N315" s="19">
        <f t="shared" si="94"/>
        <v>0</v>
      </c>
      <c r="O315" s="19">
        <f t="shared" si="94"/>
        <v>0</v>
      </c>
      <c r="P315" s="19"/>
      <c r="Q315" s="19">
        <f t="shared" si="94"/>
        <v>0</v>
      </c>
    </row>
    <row r="316" spans="1:23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90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23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90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23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90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23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23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90"/>
        <v>0</v>
      </c>
      <c r="H323" s="19"/>
      <c r="I323" s="19">
        <f t="shared" ref="I323:Q323" si="95">I324</f>
        <v>0</v>
      </c>
      <c r="J323" s="19">
        <f t="shared" si="95"/>
        <v>0</v>
      </c>
      <c r="K323" s="19"/>
      <c r="L323" s="19">
        <f t="shared" si="95"/>
        <v>0</v>
      </c>
      <c r="M323" s="19"/>
      <c r="N323" s="19">
        <f t="shared" si="95"/>
        <v>0</v>
      </c>
      <c r="O323" s="19">
        <f t="shared" si="95"/>
        <v>0</v>
      </c>
      <c r="P323" s="19"/>
      <c r="Q323" s="19">
        <f t="shared" si="95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90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90"/>
        <v>0</v>
      </c>
      <c r="H325" s="19"/>
      <c r="I325" s="19">
        <f t="shared" ref="I325:Q325" si="96">I326</f>
        <v>0</v>
      </c>
      <c r="J325" s="19">
        <f t="shared" si="96"/>
        <v>0</v>
      </c>
      <c r="K325" s="19"/>
      <c r="L325" s="19">
        <f t="shared" si="96"/>
        <v>0</v>
      </c>
      <c r="M325" s="19"/>
      <c r="N325" s="19">
        <f t="shared" si="96"/>
        <v>0</v>
      </c>
      <c r="O325" s="19">
        <f t="shared" si="96"/>
        <v>0</v>
      </c>
      <c r="P325" s="19"/>
      <c r="Q325" s="19">
        <f t="shared" si="96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90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90"/>
        <v>0</v>
      </c>
      <c r="H327" s="19"/>
      <c r="I327" s="19">
        <f t="shared" ref="I327:Q327" si="97">SUM(I328:I330)</f>
        <v>0</v>
      </c>
      <c r="J327" s="19">
        <f t="shared" si="97"/>
        <v>0</v>
      </c>
      <c r="K327" s="19"/>
      <c r="L327" s="19">
        <f t="shared" si="97"/>
        <v>0</v>
      </c>
      <c r="M327" s="19"/>
      <c r="N327" s="19">
        <f t="shared" si="97"/>
        <v>0</v>
      </c>
      <c r="O327" s="19">
        <f t="shared" si="97"/>
        <v>0</v>
      </c>
      <c r="P327" s="19"/>
      <c r="Q327" s="19">
        <f t="shared" si="97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90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90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90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90"/>
        <v>0</v>
      </c>
      <c r="H331" s="19"/>
      <c r="I331" s="19">
        <f t="shared" ref="I331:Q331" si="98">I332</f>
        <v>0</v>
      </c>
      <c r="J331" s="19">
        <f t="shared" si="98"/>
        <v>0</v>
      </c>
      <c r="K331" s="19"/>
      <c r="L331" s="19">
        <f t="shared" si="98"/>
        <v>0</v>
      </c>
      <c r="M331" s="19"/>
      <c r="N331" s="19">
        <f t="shared" si="98"/>
        <v>0</v>
      </c>
      <c r="O331" s="19">
        <f t="shared" si="98"/>
        <v>0</v>
      </c>
      <c r="P331" s="19"/>
      <c r="Q331" s="19">
        <f t="shared" si="98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90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99">F334+F344+F355+F357</f>
        <v>1631</v>
      </c>
      <c r="G333" s="19">
        <f t="shared" si="99"/>
        <v>251</v>
      </c>
      <c r="H333" s="19">
        <f t="shared" si="99"/>
        <v>0</v>
      </c>
      <c r="I333" s="19">
        <f t="shared" si="99"/>
        <v>0</v>
      </c>
      <c r="J333" s="19">
        <f t="shared" si="99"/>
        <v>0</v>
      </c>
      <c r="K333" s="19">
        <f t="shared" si="99"/>
        <v>0</v>
      </c>
      <c r="L333" s="19">
        <f t="shared" si="99"/>
        <v>0</v>
      </c>
      <c r="M333" s="19">
        <f t="shared" si="99"/>
        <v>0</v>
      </c>
      <c r="N333" s="19">
        <f t="shared" si="99"/>
        <v>0</v>
      </c>
      <c r="O333" s="19">
        <f t="shared" si="99"/>
        <v>0</v>
      </c>
      <c r="P333" s="19">
        <f t="shared" si="99"/>
        <v>1631</v>
      </c>
      <c r="Q333" s="19">
        <f t="shared" si="99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0">SUM(F335:F343)</f>
        <v>1631</v>
      </c>
      <c r="G334" s="19">
        <f t="shared" si="100"/>
        <v>251</v>
      </c>
      <c r="H334" s="19">
        <f t="shared" si="100"/>
        <v>0</v>
      </c>
      <c r="I334" s="19">
        <f t="shared" si="100"/>
        <v>0</v>
      </c>
      <c r="J334" s="19">
        <f t="shared" si="100"/>
        <v>0</v>
      </c>
      <c r="K334" s="19">
        <f t="shared" si="100"/>
        <v>0</v>
      </c>
      <c r="L334" s="19">
        <f t="shared" si="100"/>
        <v>0</v>
      </c>
      <c r="M334" s="19">
        <f t="shared" si="100"/>
        <v>0</v>
      </c>
      <c r="N334" s="19">
        <f t="shared" si="100"/>
        <v>0</v>
      </c>
      <c r="O334" s="19">
        <f t="shared" si="100"/>
        <v>0</v>
      </c>
      <c r="P334" s="19">
        <f t="shared" si="100"/>
        <v>1631</v>
      </c>
      <c r="Q334" s="19">
        <f t="shared" si="100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90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90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90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90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1631</v>
      </c>
      <c r="G339" s="37">
        <f t="shared" ref="G339" si="101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f>681+950</f>
        <v>1631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90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90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90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90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90"/>
        <v>0</v>
      </c>
      <c r="H344" s="19"/>
      <c r="I344" s="19">
        <f t="shared" ref="I344:Q344" si="102">SUM(I345:I354)</f>
        <v>0</v>
      </c>
      <c r="J344" s="19">
        <f t="shared" si="102"/>
        <v>0</v>
      </c>
      <c r="K344" s="19"/>
      <c r="L344" s="19">
        <f t="shared" si="102"/>
        <v>0</v>
      </c>
      <c r="M344" s="19"/>
      <c r="N344" s="19">
        <f t="shared" si="102"/>
        <v>0</v>
      </c>
      <c r="O344" s="19">
        <f t="shared" si="102"/>
        <v>0</v>
      </c>
      <c r="P344" s="19"/>
      <c r="Q344" s="19">
        <f t="shared" si="102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90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90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90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90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90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90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90"/>
        <v>0</v>
      </c>
      <c r="H355" s="19"/>
      <c r="I355" s="19">
        <f t="shared" ref="I355:Q355" si="103">I356</f>
        <v>0</v>
      </c>
      <c r="J355" s="19">
        <f t="shared" si="103"/>
        <v>0</v>
      </c>
      <c r="K355" s="19"/>
      <c r="L355" s="19">
        <f t="shared" si="103"/>
        <v>0</v>
      </c>
      <c r="M355" s="19"/>
      <c r="N355" s="19">
        <f t="shared" si="103"/>
        <v>0</v>
      </c>
      <c r="O355" s="19">
        <f t="shared" si="103"/>
        <v>0</v>
      </c>
      <c r="P355" s="19"/>
      <c r="Q355" s="19">
        <f t="shared" si="103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90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90"/>
        <v>0</v>
      </c>
      <c r="H357" s="19"/>
      <c r="I357" s="19">
        <f t="shared" ref="I357:Q357" si="104">SUM(I358:I360)</f>
        <v>0</v>
      </c>
      <c r="J357" s="19">
        <f t="shared" si="104"/>
        <v>0</v>
      </c>
      <c r="K357" s="19"/>
      <c r="L357" s="19">
        <f t="shared" si="104"/>
        <v>0</v>
      </c>
      <c r="M357" s="19"/>
      <c r="N357" s="19">
        <f t="shared" si="104"/>
        <v>0</v>
      </c>
      <c r="O357" s="19">
        <f t="shared" si="104"/>
        <v>0</v>
      </c>
      <c r="P357" s="19"/>
      <c r="Q357" s="19">
        <f t="shared" si="104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90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90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90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90"/>
        <v>0</v>
      </c>
      <c r="H361" s="19"/>
      <c r="I361" s="19">
        <f t="shared" ref="I361:Q361" si="105">I362+I365+I368+I371</f>
        <v>0</v>
      </c>
      <c r="J361" s="19">
        <f t="shared" si="105"/>
        <v>0</v>
      </c>
      <c r="K361" s="19"/>
      <c r="L361" s="19">
        <f t="shared" si="105"/>
        <v>0</v>
      </c>
      <c r="M361" s="19"/>
      <c r="N361" s="19">
        <f t="shared" si="105"/>
        <v>0</v>
      </c>
      <c r="O361" s="19">
        <f t="shared" si="105"/>
        <v>0</v>
      </c>
      <c r="P361" s="19"/>
      <c r="Q361" s="19">
        <f t="shared" si="105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90"/>
        <v>0</v>
      </c>
      <c r="H362" s="19"/>
      <c r="I362" s="19">
        <f t="shared" ref="I362:Q362" si="106">I363+I364</f>
        <v>0</v>
      </c>
      <c r="J362" s="19">
        <f t="shared" si="106"/>
        <v>0</v>
      </c>
      <c r="K362" s="19"/>
      <c r="L362" s="19">
        <f t="shared" si="106"/>
        <v>0</v>
      </c>
      <c r="M362" s="19"/>
      <c r="N362" s="19">
        <f t="shared" si="106"/>
        <v>0</v>
      </c>
      <c r="O362" s="19">
        <f t="shared" si="106"/>
        <v>0</v>
      </c>
      <c r="P362" s="19"/>
      <c r="Q362" s="19">
        <f t="shared" si="106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90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90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90"/>
        <v>0</v>
      </c>
      <c r="H365" s="19"/>
      <c r="I365" s="19">
        <f t="shared" ref="I365:Q365" si="107">I366+I367</f>
        <v>0</v>
      </c>
      <c r="J365" s="19">
        <f t="shared" si="107"/>
        <v>0</v>
      </c>
      <c r="K365" s="19"/>
      <c r="L365" s="19">
        <f t="shared" si="107"/>
        <v>0</v>
      </c>
      <c r="M365" s="19"/>
      <c r="N365" s="19">
        <f t="shared" si="107"/>
        <v>0</v>
      </c>
      <c r="O365" s="19">
        <f t="shared" si="107"/>
        <v>0</v>
      </c>
      <c r="P365" s="19"/>
      <c r="Q365" s="19">
        <f t="shared" si="107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90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90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90"/>
        <v>0</v>
      </c>
      <c r="H368" s="19"/>
      <c r="I368" s="19">
        <f t="shared" ref="I368:Q368" si="108">I369+I370</f>
        <v>0</v>
      </c>
      <c r="J368" s="19">
        <f t="shared" si="108"/>
        <v>0</v>
      </c>
      <c r="K368" s="19"/>
      <c r="L368" s="19">
        <f t="shared" si="108"/>
        <v>0</v>
      </c>
      <c r="M368" s="19"/>
      <c r="N368" s="19">
        <f t="shared" si="108"/>
        <v>0</v>
      </c>
      <c r="O368" s="19">
        <f t="shared" si="108"/>
        <v>0</v>
      </c>
      <c r="P368" s="19"/>
      <c r="Q368" s="19">
        <f t="shared" si="108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90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90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90"/>
        <v>0</v>
      </c>
      <c r="H371" s="19"/>
      <c r="I371" s="19">
        <f t="shared" ref="I371:Q371" si="109">I372+I373</f>
        <v>0</v>
      </c>
      <c r="J371" s="19">
        <f t="shared" si="109"/>
        <v>0</v>
      </c>
      <c r="K371" s="19"/>
      <c r="L371" s="19">
        <f t="shared" si="109"/>
        <v>0</v>
      </c>
      <c r="M371" s="19"/>
      <c r="N371" s="19">
        <f t="shared" si="109"/>
        <v>0</v>
      </c>
      <c r="O371" s="19">
        <f t="shared" si="109"/>
        <v>0</v>
      </c>
      <c r="P371" s="19"/>
      <c r="Q371" s="19">
        <f t="shared" si="109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90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90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0">F379+F382+F385+F388+F391</f>
        <v>9210</v>
      </c>
      <c r="G374" s="19">
        <f t="shared" si="110"/>
        <v>7410</v>
      </c>
      <c r="H374" s="37">
        <f t="shared" si="110"/>
        <v>0</v>
      </c>
      <c r="I374" s="19">
        <f t="shared" si="110"/>
        <v>0</v>
      </c>
      <c r="J374" s="19">
        <f t="shared" si="110"/>
        <v>0</v>
      </c>
      <c r="K374" s="19">
        <f t="shared" si="110"/>
        <v>0</v>
      </c>
      <c r="L374" s="19">
        <f t="shared" si="110"/>
        <v>0</v>
      </c>
      <c r="M374" s="19">
        <f t="shared" si="110"/>
        <v>9210</v>
      </c>
      <c r="N374" s="19">
        <f t="shared" si="110"/>
        <v>7410</v>
      </c>
      <c r="O374" s="19">
        <f t="shared" si="110"/>
        <v>0</v>
      </c>
      <c r="P374" s="19">
        <f t="shared" si="110"/>
        <v>0</v>
      </c>
      <c r="Q374" s="19">
        <f t="shared" si="110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90"/>
        <v>0</v>
      </c>
      <c r="H379" s="19"/>
      <c r="I379" s="19">
        <f t="shared" ref="I379:Q379" si="111">I380+I381</f>
        <v>0</v>
      </c>
      <c r="J379" s="19">
        <f t="shared" si="111"/>
        <v>0</v>
      </c>
      <c r="K379" s="19"/>
      <c r="L379" s="19">
        <f t="shared" si="111"/>
        <v>0</v>
      </c>
      <c r="M379" s="19"/>
      <c r="N379" s="19">
        <f t="shared" si="111"/>
        <v>0</v>
      </c>
      <c r="O379" s="19">
        <f t="shared" si="111"/>
        <v>0</v>
      </c>
      <c r="P379" s="19"/>
      <c r="Q379" s="19">
        <f t="shared" si="111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90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90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90"/>
        <v>0</v>
      </c>
      <c r="H382" s="19"/>
      <c r="I382" s="19">
        <f t="shared" ref="I382:Q382" si="112">I383+I384</f>
        <v>0</v>
      </c>
      <c r="J382" s="19">
        <f t="shared" si="112"/>
        <v>0</v>
      </c>
      <c r="K382" s="19"/>
      <c r="L382" s="19">
        <f t="shared" si="112"/>
        <v>0</v>
      </c>
      <c r="M382" s="19"/>
      <c r="N382" s="19">
        <f t="shared" si="112"/>
        <v>0</v>
      </c>
      <c r="O382" s="19">
        <f t="shared" si="112"/>
        <v>0</v>
      </c>
      <c r="P382" s="19"/>
      <c r="Q382" s="19">
        <f t="shared" si="112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90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90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3">SUM(I385:Q385)</f>
        <v>0</v>
      </c>
      <c r="H385" s="19"/>
      <c r="I385" s="19">
        <f t="shared" ref="I385:Q385" si="114">I386+I387</f>
        <v>0</v>
      </c>
      <c r="J385" s="19">
        <f t="shared" si="114"/>
        <v>0</v>
      </c>
      <c r="K385" s="19"/>
      <c r="L385" s="19">
        <f t="shared" si="114"/>
        <v>0</v>
      </c>
      <c r="M385" s="19"/>
      <c r="N385" s="19">
        <f t="shared" si="114"/>
        <v>0</v>
      </c>
      <c r="O385" s="19">
        <f t="shared" si="114"/>
        <v>0</v>
      </c>
      <c r="P385" s="19"/>
      <c r="Q385" s="19">
        <f t="shared" si="114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3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3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3"/>
        <v>0</v>
      </c>
      <c r="H388" s="19"/>
      <c r="I388" s="19">
        <f t="shared" ref="I388:Q388" si="115">I389+I390</f>
        <v>0</v>
      </c>
      <c r="J388" s="19">
        <f t="shared" si="115"/>
        <v>0</v>
      </c>
      <c r="K388" s="19"/>
      <c r="L388" s="19">
        <f t="shared" si="115"/>
        <v>0</v>
      </c>
      <c r="M388" s="19"/>
      <c r="N388" s="19">
        <f t="shared" si="115"/>
        <v>0</v>
      </c>
      <c r="O388" s="19">
        <f t="shared" si="115"/>
        <v>0</v>
      </c>
      <c r="P388" s="19"/>
      <c r="Q388" s="19">
        <f t="shared" si="115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3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3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6">F392+F393</f>
        <v>9210</v>
      </c>
      <c r="G391" s="19">
        <f t="shared" si="116"/>
        <v>7410</v>
      </c>
      <c r="H391" s="19">
        <f t="shared" si="116"/>
        <v>0</v>
      </c>
      <c r="I391" s="19">
        <f t="shared" si="116"/>
        <v>0</v>
      </c>
      <c r="J391" s="19">
        <f t="shared" si="116"/>
        <v>0</v>
      </c>
      <c r="K391" s="19">
        <f t="shared" si="116"/>
        <v>0</v>
      </c>
      <c r="L391" s="19">
        <f t="shared" si="116"/>
        <v>0</v>
      </c>
      <c r="M391" s="19">
        <f t="shared" si="116"/>
        <v>9210</v>
      </c>
      <c r="N391" s="19">
        <f t="shared" si="116"/>
        <v>7410</v>
      </c>
      <c r="O391" s="19">
        <f t="shared" si="116"/>
        <v>0</v>
      </c>
      <c r="P391" s="19">
        <f t="shared" si="116"/>
        <v>0</v>
      </c>
      <c r="Q391" s="19">
        <f t="shared" si="116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9210</v>
      </c>
      <c r="G392" s="37">
        <f t="shared" ref="G392" si="117">SUM(I392:Q392)-K392-M392-P392</f>
        <v>7410</v>
      </c>
      <c r="H392" s="37"/>
      <c r="I392" s="36"/>
      <c r="J392" s="36"/>
      <c r="K392" s="36"/>
      <c r="L392" s="36"/>
      <c r="M392" s="36">
        <f>7710+1500</f>
        <v>9210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3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3"/>
        <v>0</v>
      </c>
      <c r="H394" s="19"/>
      <c r="I394" s="19">
        <f t="shared" ref="I394:Q394" si="118">I395+I399</f>
        <v>0</v>
      </c>
      <c r="J394" s="19">
        <f t="shared" si="118"/>
        <v>0</v>
      </c>
      <c r="K394" s="19"/>
      <c r="L394" s="19">
        <f t="shared" si="118"/>
        <v>0</v>
      </c>
      <c r="M394" s="19"/>
      <c r="N394" s="19">
        <f t="shared" si="118"/>
        <v>0</v>
      </c>
      <c r="O394" s="19">
        <f t="shared" si="118"/>
        <v>0</v>
      </c>
      <c r="P394" s="19"/>
      <c r="Q394" s="19">
        <f t="shared" si="118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3"/>
        <v>0</v>
      </c>
      <c r="H395" s="19"/>
      <c r="I395" s="19">
        <f t="shared" ref="I395:Q395" si="119">SUM(I396:I398)</f>
        <v>0</v>
      </c>
      <c r="J395" s="19">
        <f t="shared" si="119"/>
        <v>0</v>
      </c>
      <c r="K395" s="19"/>
      <c r="L395" s="19">
        <f t="shared" si="119"/>
        <v>0</v>
      </c>
      <c r="M395" s="19"/>
      <c r="N395" s="19">
        <f t="shared" si="119"/>
        <v>0</v>
      </c>
      <c r="O395" s="19">
        <f t="shared" si="119"/>
        <v>0</v>
      </c>
      <c r="P395" s="19"/>
      <c r="Q395" s="19">
        <f t="shared" si="119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3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3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3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3"/>
        <v>0</v>
      </c>
      <c r="H399" s="19"/>
      <c r="I399" s="19">
        <f t="shared" ref="I399:Q399" si="120">SUM(I404:I412)</f>
        <v>0</v>
      </c>
      <c r="J399" s="19">
        <f t="shared" si="120"/>
        <v>0</v>
      </c>
      <c r="K399" s="19"/>
      <c r="L399" s="19">
        <f t="shared" si="120"/>
        <v>0</v>
      </c>
      <c r="M399" s="19"/>
      <c r="N399" s="19">
        <f t="shared" si="120"/>
        <v>0</v>
      </c>
      <c r="O399" s="19">
        <f t="shared" si="120"/>
        <v>0</v>
      </c>
      <c r="P399" s="19"/>
      <c r="Q399" s="19">
        <f t="shared" si="120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3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3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3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3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3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3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3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3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3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1">F414+F417+F421+F423+F426+F432</f>
        <v>175</v>
      </c>
      <c r="G413" s="19">
        <f t="shared" si="121"/>
        <v>118</v>
      </c>
      <c r="H413" s="19">
        <f t="shared" si="121"/>
        <v>0</v>
      </c>
      <c r="I413" s="19">
        <f t="shared" si="121"/>
        <v>0</v>
      </c>
      <c r="J413" s="19">
        <f t="shared" si="121"/>
        <v>0</v>
      </c>
      <c r="K413" s="19">
        <f t="shared" si="121"/>
        <v>0</v>
      </c>
      <c r="L413" s="19">
        <f t="shared" si="121"/>
        <v>0</v>
      </c>
      <c r="M413" s="19">
        <f t="shared" si="121"/>
        <v>0</v>
      </c>
      <c r="N413" s="19">
        <f t="shared" si="121"/>
        <v>8</v>
      </c>
      <c r="O413" s="19">
        <f t="shared" si="121"/>
        <v>0</v>
      </c>
      <c r="P413" s="19">
        <f t="shared" si="121"/>
        <v>175</v>
      </c>
      <c r="Q413" s="19">
        <f t="shared" si="121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2">F415+F416</f>
        <v>35</v>
      </c>
      <c r="G414" s="19">
        <f t="shared" si="122"/>
        <v>35</v>
      </c>
      <c r="H414" s="19">
        <f t="shared" si="122"/>
        <v>0</v>
      </c>
      <c r="I414" s="19">
        <f t="shared" si="122"/>
        <v>0</v>
      </c>
      <c r="J414" s="19">
        <f t="shared" si="122"/>
        <v>0</v>
      </c>
      <c r="K414" s="19">
        <f t="shared" si="122"/>
        <v>0</v>
      </c>
      <c r="L414" s="19">
        <f t="shared" si="122"/>
        <v>0</v>
      </c>
      <c r="M414" s="19">
        <f t="shared" si="122"/>
        <v>0</v>
      </c>
      <c r="N414" s="19">
        <f t="shared" si="122"/>
        <v>0</v>
      </c>
      <c r="O414" s="19">
        <f t="shared" si="122"/>
        <v>0</v>
      </c>
      <c r="P414" s="19">
        <f t="shared" si="122"/>
        <v>35</v>
      </c>
      <c r="Q414" s="19">
        <f t="shared" si="122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3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3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22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4">SUM(F418:F420)</f>
        <v>90</v>
      </c>
      <c r="G417" s="19">
        <f t="shared" si="124"/>
        <v>68</v>
      </c>
      <c r="H417" s="19">
        <f t="shared" si="124"/>
        <v>0</v>
      </c>
      <c r="I417" s="19">
        <f t="shared" si="124"/>
        <v>0</v>
      </c>
      <c r="J417" s="19">
        <f t="shared" si="124"/>
        <v>0</v>
      </c>
      <c r="K417" s="19">
        <f t="shared" si="124"/>
        <v>0</v>
      </c>
      <c r="L417" s="19">
        <f t="shared" si="124"/>
        <v>0</v>
      </c>
      <c r="M417" s="19">
        <f t="shared" si="124"/>
        <v>0</v>
      </c>
      <c r="N417" s="19">
        <f t="shared" si="124"/>
        <v>8</v>
      </c>
      <c r="O417" s="19">
        <f t="shared" si="124"/>
        <v>0</v>
      </c>
      <c r="P417" s="19">
        <f t="shared" si="124"/>
        <v>90</v>
      </c>
      <c r="Q417" s="19">
        <f t="shared" si="124"/>
        <v>50</v>
      </c>
    </row>
    <row r="418" spans="1:22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60</v>
      </c>
      <c r="G418" s="37">
        <f t="shared" ref="G418:G419" si="125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f>20+40</f>
        <v>60</v>
      </c>
      <c r="Q418" s="36">
        <v>9</v>
      </c>
    </row>
    <row r="419" spans="1:22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20</v>
      </c>
      <c r="G419" s="37">
        <f t="shared" si="125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20</v>
      </c>
      <c r="Q419" s="36">
        <v>41</v>
      </c>
      <c r="V419" s="12" t="s">
        <v>539</v>
      </c>
    </row>
    <row r="420" spans="1:22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3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22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6">F422</f>
        <v>50</v>
      </c>
      <c r="G421" s="19">
        <f t="shared" si="126"/>
        <v>15</v>
      </c>
      <c r="H421" s="19">
        <f t="shared" si="126"/>
        <v>0</v>
      </c>
      <c r="I421" s="19">
        <f t="shared" si="126"/>
        <v>0</v>
      </c>
      <c r="J421" s="19">
        <f t="shared" si="126"/>
        <v>0</v>
      </c>
      <c r="K421" s="19">
        <f t="shared" si="126"/>
        <v>0</v>
      </c>
      <c r="L421" s="19">
        <f t="shared" si="126"/>
        <v>0</v>
      </c>
      <c r="M421" s="19">
        <f t="shared" si="126"/>
        <v>0</v>
      </c>
      <c r="N421" s="19">
        <f t="shared" si="126"/>
        <v>0</v>
      </c>
      <c r="O421" s="19">
        <f t="shared" si="126"/>
        <v>0</v>
      </c>
      <c r="P421" s="19">
        <f t="shared" si="126"/>
        <v>50</v>
      </c>
      <c r="Q421" s="19">
        <f t="shared" si="126"/>
        <v>15</v>
      </c>
    </row>
    <row r="422" spans="1:22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50</v>
      </c>
      <c r="G422" s="37">
        <f t="shared" ref="G422" si="127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50</v>
      </c>
      <c r="Q422" s="36">
        <v>15</v>
      </c>
    </row>
    <row r="423" spans="1:22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3"/>
        <v>0</v>
      </c>
      <c r="H423" s="19"/>
      <c r="I423" s="19">
        <f t="shared" ref="I423:Q423" si="128">I424+I425</f>
        <v>0</v>
      </c>
      <c r="J423" s="19">
        <f t="shared" si="128"/>
        <v>0</v>
      </c>
      <c r="K423" s="19"/>
      <c r="L423" s="19">
        <f t="shared" si="128"/>
        <v>0</v>
      </c>
      <c r="M423" s="19"/>
      <c r="N423" s="19">
        <f t="shared" si="128"/>
        <v>0</v>
      </c>
      <c r="O423" s="19">
        <f t="shared" si="128"/>
        <v>0</v>
      </c>
      <c r="P423" s="19"/>
      <c r="Q423" s="19">
        <f t="shared" si="128"/>
        <v>0</v>
      </c>
    </row>
    <row r="424" spans="1:22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3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22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3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22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3"/>
        <v>0</v>
      </c>
      <c r="H426" s="19"/>
      <c r="I426" s="19">
        <f t="shared" ref="I426:Q426" si="129">I427</f>
        <v>0</v>
      </c>
      <c r="J426" s="19">
        <f t="shared" si="129"/>
        <v>0</v>
      </c>
      <c r="K426" s="19"/>
      <c r="L426" s="19">
        <f t="shared" si="129"/>
        <v>0</v>
      </c>
      <c r="M426" s="19"/>
      <c r="N426" s="19">
        <f t="shared" si="129"/>
        <v>0</v>
      </c>
      <c r="O426" s="19">
        <f t="shared" si="129"/>
        <v>0</v>
      </c>
      <c r="P426" s="19"/>
      <c r="Q426" s="19">
        <f t="shared" si="129"/>
        <v>0</v>
      </c>
    </row>
    <row r="427" spans="1:22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3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22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22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22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22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22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3"/>
        <v>0</v>
      </c>
      <c r="H432" s="19"/>
      <c r="I432" s="19">
        <f t="shared" ref="I432:Q432" si="130">I433</f>
        <v>0</v>
      </c>
      <c r="J432" s="19">
        <f t="shared" si="130"/>
        <v>0</v>
      </c>
      <c r="K432" s="19"/>
      <c r="L432" s="19">
        <f t="shared" si="130"/>
        <v>0</v>
      </c>
      <c r="M432" s="19"/>
      <c r="N432" s="19">
        <f t="shared" si="130"/>
        <v>0</v>
      </c>
      <c r="O432" s="19">
        <f t="shared" si="130"/>
        <v>0</v>
      </c>
      <c r="P432" s="19"/>
      <c r="Q432" s="19">
        <f t="shared" si="130"/>
        <v>0</v>
      </c>
    </row>
    <row r="433" spans="1:22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3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1">F435+F458+F471+F474+F482</f>
        <v>27743</v>
      </c>
      <c r="G434" s="19">
        <f t="shared" si="131"/>
        <v>17063</v>
      </c>
      <c r="H434" s="19">
        <f t="shared" si="131"/>
        <v>20000</v>
      </c>
      <c r="I434" s="19">
        <f t="shared" si="131"/>
        <v>15250</v>
      </c>
      <c r="J434" s="19">
        <f t="shared" si="131"/>
        <v>0</v>
      </c>
      <c r="K434" s="19">
        <f t="shared" si="131"/>
        <v>2018</v>
      </c>
      <c r="L434" s="19">
        <f t="shared" si="131"/>
        <v>0</v>
      </c>
      <c r="M434" s="19">
        <f t="shared" si="131"/>
        <v>0</v>
      </c>
      <c r="N434" s="19">
        <f t="shared" si="131"/>
        <v>0</v>
      </c>
      <c r="O434" s="19">
        <f t="shared" si="131"/>
        <v>0</v>
      </c>
      <c r="P434" s="19">
        <f t="shared" si="131"/>
        <v>5725</v>
      </c>
      <c r="Q434" s="19">
        <f t="shared" si="131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2">F436+F441+F452+F454+F456</f>
        <v>27743</v>
      </c>
      <c r="G435" s="19">
        <f t="shared" si="132"/>
        <v>17063</v>
      </c>
      <c r="H435" s="19">
        <f t="shared" si="132"/>
        <v>20000</v>
      </c>
      <c r="I435" s="19">
        <f t="shared" si="132"/>
        <v>15250</v>
      </c>
      <c r="J435" s="19">
        <f t="shared" si="132"/>
        <v>0</v>
      </c>
      <c r="K435" s="19">
        <f t="shared" si="132"/>
        <v>2018</v>
      </c>
      <c r="L435" s="19">
        <f t="shared" si="132"/>
        <v>0</v>
      </c>
      <c r="M435" s="19">
        <f t="shared" si="132"/>
        <v>0</v>
      </c>
      <c r="N435" s="19">
        <f t="shared" si="132"/>
        <v>0</v>
      </c>
      <c r="O435" s="19">
        <f t="shared" si="132"/>
        <v>0</v>
      </c>
      <c r="P435" s="19">
        <f t="shared" si="132"/>
        <v>5725</v>
      </c>
      <c r="Q435" s="19">
        <f t="shared" si="132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3">SUM(F437:F440)</f>
        <v>2124</v>
      </c>
      <c r="G436" s="19">
        <f t="shared" si="133"/>
        <v>1450</v>
      </c>
      <c r="H436" s="19">
        <f t="shared" si="133"/>
        <v>2000</v>
      </c>
      <c r="I436" s="19">
        <f t="shared" si="133"/>
        <v>1450</v>
      </c>
      <c r="J436" s="19">
        <f t="shared" si="133"/>
        <v>0</v>
      </c>
      <c r="K436" s="19">
        <f t="shared" si="133"/>
        <v>0</v>
      </c>
      <c r="L436" s="19">
        <f t="shared" si="133"/>
        <v>0</v>
      </c>
      <c r="M436" s="19">
        <f t="shared" si="133"/>
        <v>0</v>
      </c>
      <c r="N436" s="19">
        <f t="shared" si="133"/>
        <v>0</v>
      </c>
      <c r="O436" s="19">
        <f t="shared" si="133"/>
        <v>0</v>
      </c>
      <c r="P436" s="19">
        <f t="shared" si="133"/>
        <v>124</v>
      </c>
      <c r="Q436" s="19">
        <f t="shared" si="133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3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3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2124</v>
      </c>
      <c r="G439" s="37">
        <f t="shared" ref="G439" si="134">SUM(I439:Q439)-K439-M439-P439</f>
        <v>1450</v>
      </c>
      <c r="H439" s="37">
        <v>2000</v>
      </c>
      <c r="I439" s="36">
        <v>1450</v>
      </c>
      <c r="J439" s="36"/>
      <c r="K439" s="36"/>
      <c r="L439" s="36"/>
      <c r="M439" s="36"/>
      <c r="N439" s="36"/>
      <c r="O439" s="36"/>
      <c r="P439" s="36">
        <v>124</v>
      </c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3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5">SUM(F442:F451)</f>
        <v>25619</v>
      </c>
      <c r="G441" s="19">
        <f t="shared" si="135"/>
        <v>15613</v>
      </c>
      <c r="H441" s="19">
        <f t="shared" si="135"/>
        <v>18000</v>
      </c>
      <c r="I441" s="19">
        <f t="shared" si="135"/>
        <v>13800</v>
      </c>
      <c r="J441" s="19">
        <f t="shared" si="135"/>
        <v>0</v>
      </c>
      <c r="K441" s="19">
        <f t="shared" si="135"/>
        <v>2018</v>
      </c>
      <c r="L441" s="19">
        <f t="shared" si="135"/>
        <v>0</v>
      </c>
      <c r="M441" s="19">
        <f t="shared" si="135"/>
        <v>0</v>
      </c>
      <c r="N441" s="19">
        <f t="shared" si="135"/>
        <v>0</v>
      </c>
      <c r="O441" s="19">
        <f t="shared" si="135"/>
        <v>0</v>
      </c>
      <c r="P441" s="19">
        <f t="shared" si="135"/>
        <v>5601</v>
      </c>
      <c r="Q441" s="19">
        <f t="shared" si="135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3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3848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>
        <f>3960-112</f>
        <v>3848</v>
      </c>
      <c r="Q443" s="36"/>
    </row>
    <row r="444" spans="1:22" ht="28.5" x14ac:dyDescent="0.4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1376</v>
      </c>
      <c r="G444" s="37">
        <f t="shared" ref="G444" si="136">SUM(I444:Q444)-K444-M444-P444</f>
        <v>1258</v>
      </c>
      <c r="H444" s="388"/>
      <c r="I444" s="36"/>
      <c r="J444" s="36"/>
      <c r="K444" s="36"/>
      <c r="L444" s="36"/>
      <c r="M444" s="36"/>
      <c r="N444" s="36"/>
      <c r="O444" s="36"/>
      <c r="P444" s="36">
        <f>2000-221-559-96+252</f>
        <v>1376</v>
      </c>
      <c r="Q444" s="36">
        <v>1258</v>
      </c>
      <c r="R444" s="12">
        <v>809</v>
      </c>
      <c r="S444" s="12">
        <v>1124</v>
      </c>
      <c r="T444" s="12">
        <f>S444-R444</f>
        <v>315</v>
      </c>
      <c r="V444" s="400" t="s">
        <v>538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3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3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20395</v>
      </c>
      <c r="G447" s="37">
        <f t="shared" ref="G447" si="137">SUM(I447:Q447)-K447-M447-P447</f>
        <v>14355</v>
      </c>
      <c r="H447" s="37">
        <f>20000-2000</f>
        <v>18000</v>
      </c>
      <c r="I447" s="36">
        <v>13800</v>
      </c>
      <c r="J447" s="36"/>
      <c r="K447" s="36">
        <v>2018</v>
      </c>
      <c r="L447" s="36"/>
      <c r="M447" s="36"/>
      <c r="N447" s="36"/>
      <c r="O447" s="36"/>
      <c r="P447" s="38">
        <f>157+220</f>
        <v>377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3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3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3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3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3"/>
        <v>0</v>
      </c>
      <c r="H452" s="19"/>
      <c r="I452" s="19">
        <f t="shared" ref="I452:Q452" si="138">I453</f>
        <v>0</v>
      </c>
      <c r="J452" s="19">
        <f t="shared" si="138"/>
        <v>0</v>
      </c>
      <c r="K452" s="19"/>
      <c r="L452" s="19">
        <f t="shared" si="138"/>
        <v>0</v>
      </c>
      <c r="M452" s="19"/>
      <c r="N452" s="19">
        <f t="shared" si="138"/>
        <v>0</v>
      </c>
      <c r="O452" s="19">
        <f t="shared" si="138"/>
        <v>0</v>
      </c>
      <c r="P452" s="19"/>
      <c r="Q452" s="19">
        <f t="shared" si="138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3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3"/>
        <v>0</v>
      </c>
      <c r="H454" s="19"/>
      <c r="I454" s="19">
        <f t="shared" ref="I454:Q454" si="139">I455</f>
        <v>0</v>
      </c>
      <c r="J454" s="19">
        <f t="shared" si="139"/>
        <v>0</v>
      </c>
      <c r="K454" s="19"/>
      <c r="L454" s="19">
        <f t="shared" si="139"/>
        <v>0</v>
      </c>
      <c r="M454" s="19"/>
      <c r="N454" s="19">
        <f t="shared" si="139"/>
        <v>0</v>
      </c>
      <c r="O454" s="19">
        <f t="shared" si="139"/>
        <v>0</v>
      </c>
      <c r="P454" s="19"/>
      <c r="Q454" s="19">
        <f t="shared" si="139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3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0">F457</f>
        <v>0</v>
      </c>
      <c r="G456" s="19">
        <f t="shared" si="140"/>
        <v>0</v>
      </c>
      <c r="H456" s="19">
        <f t="shared" si="140"/>
        <v>0</v>
      </c>
      <c r="I456" s="19">
        <f t="shared" si="140"/>
        <v>0</v>
      </c>
      <c r="J456" s="19">
        <f t="shared" si="140"/>
        <v>0</v>
      </c>
      <c r="K456" s="19">
        <f t="shared" si="140"/>
        <v>0</v>
      </c>
      <c r="L456" s="19">
        <f t="shared" si="140"/>
        <v>0</v>
      </c>
      <c r="M456" s="19">
        <f t="shared" si="140"/>
        <v>0</v>
      </c>
      <c r="N456" s="19">
        <f t="shared" si="140"/>
        <v>0</v>
      </c>
      <c r="O456" s="19">
        <f t="shared" si="140"/>
        <v>0</v>
      </c>
      <c r="P456" s="19">
        <f t="shared" si="140"/>
        <v>0</v>
      </c>
      <c r="Q456" s="19">
        <f t="shared" si="140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0</v>
      </c>
      <c r="G457" s="37">
        <f t="shared" si="113"/>
        <v>0</v>
      </c>
      <c r="H457" s="37"/>
      <c r="I457" s="36"/>
      <c r="J457" s="36"/>
      <c r="K457" s="36"/>
      <c r="L457" s="36"/>
      <c r="M457" s="36"/>
      <c r="N457" s="36"/>
      <c r="O457" s="36"/>
      <c r="P457" s="36">
        <v>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1">SUM(I458:Q458)</f>
        <v>0</v>
      </c>
      <c r="H458" s="19"/>
      <c r="I458" s="19">
        <f t="shared" ref="I458:Q458" si="142">I459+I461+I469</f>
        <v>0</v>
      </c>
      <c r="J458" s="19">
        <f t="shared" si="142"/>
        <v>0</v>
      </c>
      <c r="K458" s="19"/>
      <c r="L458" s="19">
        <f t="shared" si="142"/>
        <v>0</v>
      </c>
      <c r="M458" s="19"/>
      <c r="N458" s="19">
        <f t="shared" si="142"/>
        <v>0</v>
      </c>
      <c r="O458" s="19">
        <f t="shared" si="142"/>
        <v>0</v>
      </c>
      <c r="P458" s="19"/>
      <c r="Q458" s="19">
        <f t="shared" si="142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1"/>
        <v>0</v>
      </c>
      <c r="H459" s="19"/>
      <c r="I459" s="19">
        <f t="shared" ref="I459:Q459" si="143">I460</f>
        <v>0</v>
      </c>
      <c r="J459" s="19">
        <f t="shared" si="143"/>
        <v>0</v>
      </c>
      <c r="K459" s="19"/>
      <c r="L459" s="19">
        <f t="shared" si="143"/>
        <v>0</v>
      </c>
      <c r="M459" s="19"/>
      <c r="N459" s="19">
        <f t="shared" si="143"/>
        <v>0</v>
      </c>
      <c r="O459" s="19">
        <f t="shared" si="143"/>
        <v>0</v>
      </c>
      <c r="P459" s="19"/>
      <c r="Q459" s="19">
        <f t="shared" si="143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1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1"/>
        <v>0</v>
      </c>
      <c r="H461" s="19"/>
      <c r="I461" s="19">
        <f t="shared" ref="I461:Q461" si="144">SUM(I462:I468)</f>
        <v>0</v>
      </c>
      <c r="J461" s="19">
        <f t="shared" si="144"/>
        <v>0</v>
      </c>
      <c r="K461" s="19"/>
      <c r="L461" s="19">
        <f t="shared" si="144"/>
        <v>0</v>
      </c>
      <c r="M461" s="19"/>
      <c r="N461" s="19">
        <f t="shared" si="144"/>
        <v>0</v>
      </c>
      <c r="O461" s="19">
        <f t="shared" si="144"/>
        <v>0</v>
      </c>
      <c r="P461" s="19"/>
      <c r="Q461" s="19">
        <f t="shared" si="144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1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1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1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1"/>
        <v>0</v>
      </c>
      <c r="H469" s="19"/>
      <c r="I469" s="19">
        <f t="shared" ref="I469:Q469" si="145">I470</f>
        <v>0</v>
      </c>
      <c r="J469" s="19">
        <f t="shared" si="145"/>
        <v>0</v>
      </c>
      <c r="K469" s="19"/>
      <c r="L469" s="19">
        <f t="shared" si="145"/>
        <v>0</v>
      </c>
      <c r="M469" s="19"/>
      <c r="N469" s="19">
        <f t="shared" si="145"/>
        <v>0</v>
      </c>
      <c r="O469" s="19">
        <f t="shared" si="145"/>
        <v>0</v>
      </c>
      <c r="P469" s="19"/>
      <c r="Q469" s="19">
        <f t="shared" si="145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1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1"/>
        <v>0</v>
      </c>
      <c r="H471" s="19"/>
      <c r="I471" s="19">
        <f t="shared" ref="I471:Q472" si="146">I472</f>
        <v>0</v>
      </c>
      <c r="J471" s="19">
        <f t="shared" si="146"/>
        <v>0</v>
      </c>
      <c r="K471" s="19"/>
      <c r="L471" s="19">
        <f t="shared" si="146"/>
        <v>0</v>
      </c>
      <c r="M471" s="19"/>
      <c r="N471" s="19">
        <f t="shared" si="146"/>
        <v>0</v>
      </c>
      <c r="O471" s="19">
        <f t="shared" si="146"/>
        <v>0</v>
      </c>
      <c r="P471" s="19"/>
      <c r="Q471" s="19">
        <f t="shared" si="146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1"/>
        <v>0</v>
      </c>
      <c r="H472" s="19"/>
      <c r="I472" s="19">
        <f t="shared" si="146"/>
        <v>0</v>
      </c>
      <c r="J472" s="19">
        <f t="shared" si="146"/>
        <v>0</v>
      </c>
      <c r="K472" s="19"/>
      <c r="L472" s="19">
        <f t="shared" si="146"/>
        <v>0</v>
      </c>
      <c r="M472" s="19"/>
      <c r="N472" s="19">
        <f t="shared" si="146"/>
        <v>0</v>
      </c>
      <c r="O472" s="19">
        <f t="shared" si="146"/>
        <v>0</v>
      </c>
      <c r="P472" s="19"/>
      <c r="Q472" s="19">
        <f t="shared" si="146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1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1"/>
        <v>0</v>
      </c>
      <c r="H474" s="19"/>
      <c r="I474" s="19">
        <f t="shared" ref="I474:Q474" si="147">I475+I477+I479</f>
        <v>0</v>
      </c>
      <c r="J474" s="19">
        <f t="shared" si="147"/>
        <v>0</v>
      </c>
      <c r="K474" s="19"/>
      <c r="L474" s="19">
        <f t="shared" si="147"/>
        <v>0</v>
      </c>
      <c r="M474" s="19"/>
      <c r="N474" s="19">
        <f t="shared" si="147"/>
        <v>0</v>
      </c>
      <c r="O474" s="19">
        <f t="shared" si="147"/>
        <v>0</v>
      </c>
      <c r="P474" s="19"/>
      <c r="Q474" s="19">
        <f t="shared" si="147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1"/>
        <v>0</v>
      </c>
      <c r="H475" s="19"/>
      <c r="I475" s="19">
        <f t="shared" ref="I475:Q475" si="148">I476</f>
        <v>0</v>
      </c>
      <c r="J475" s="19">
        <f t="shared" si="148"/>
        <v>0</v>
      </c>
      <c r="K475" s="19"/>
      <c r="L475" s="19">
        <f t="shared" si="148"/>
        <v>0</v>
      </c>
      <c r="M475" s="19"/>
      <c r="N475" s="19">
        <f t="shared" si="148"/>
        <v>0</v>
      </c>
      <c r="O475" s="19">
        <f t="shared" si="148"/>
        <v>0</v>
      </c>
      <c r="P475" s="19"/>
      <c r="Q475" s="19">
        <f t="shared" si="148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1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1"/>
        <v>0</v>
      </c>
      <c r="H477" s="19"/>
      <c r="I477" s="19">
        <f t="shared" ref="I477:Q477" si="149">I478</f>
        <v>0</v>
      </c>
      <c r="J477" s="19">
        <f t="shared" si="149"/>
        <v>0</v>
      </c>
      <c r="K477" s="19"/>
      <c r="L477" s="19">
        <f t="shared" si="149"/>
        <v>0</v>
      </c>
      <c r="M477" s="19"/>
      <c r="N477" s="19">
        <f t="shared" si="149"/>
        <v>0</v>
      </c>
      <c r="O477" s="19">
        <f t="shared" si="149"/>
        <v>0</v>
      </c>
      <c r="P477" s="19"/>
      <c r="Q477" s="19">
        <f t="shared" si="149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1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1"/>
        <v>0</v>
      </c>
      <c r="H479" s="19"/>
      <c r="I479" s="19">
        <f t="shared" ref="I479:Q479" si="150">I480+I481</f>
        <v>0</v>
      </c>
      <c r="J479" s="19">
        <f t="shared" si="150"/>
        <v>0</v>
      </c>
      <c r="K479" s="19"/>
      <c r="L479" s="19">
        <f t="shared" si="150"/>
        <v>0</v>
      </c>
      <c r="M479" s="19"/>
      <c r="N479" s="19">
        <f t="shared" si="150"/>
        <v>0</v>
      </c>
      <c r="O479" s="19">
        <f t="shared" si="150"/>
        <v>0</v>
      </c>
      <c r="P479" s="19"/>
      <c r="Q479" s="19">
        <f t="shared" si="150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1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1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1"/>
        <v>0</v>
      </c>
      <c r="H482" s="19"/>
      <c r="I482" s="19">
        <f t="shared" ref="I482:Q483" si="151">I483</f>
        <v>0</v>
      </c>
      <c r="J482" s="19">
        <f t="shared" si="151"/>
        <v>0</v>
      </c>
      <c r="K482" s="19"/>
      <c r="L482" s="19">
        <f t="shared" si="151"/>
        <v>0</v>
      </c>
      <c r="M482" s="19"/>
      <c r="N482" s="19">
        <f t="shared" si="151"/>
        <v>0</v>
      </c>
      <c r="O482" s="19">
        <f t="shared" si="151"/>
        <v>0</v>
      </c>
      <c r="P482" s="19"/>
      <c r="Q482" s="19">
        <f t="shared" si="151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1"/>
        <v>0</v>
      </c>
      <c r="H483" s="19"/>
      <c r="I483" s="19">
        <f t="shared" si="151"/>
        <v>0</v>
      </c>
      <c r="J483" s="19">
        <f t="shared" si="151"/>
        <v>0</v>
      </c>
      <c r="K483" s="19"/>
      <c r="L483" s="19">
        <f t="shared" si="151"/>
        <v>0</v>
      </c>
      <c r="M483" s="19"/>
      <c r="N483" s="19">
        <f t="shared" si="151"/>
        <v>0</v>
      </c>
      <c r="O483" s="19">
        <f t="shared" si="151"/>
        <v>0</v>
      </c>
      <c r="P483" s="19"/>
      <c r="Q483" s="19">
        <f t="shared" si="151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1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1"/>
        <v>0</v>
      </c>
      <c r="H485" s="19"/>
      <c r="I485" s="19">
        <f t="shared" ref="I485:Q485" si="152">I486+I515</f>
        <v>0</v>
      </c>
      <c r="J485" s="19">
        <f t="shared" si="152"/>
        <v>0</v>
      </c>
      <c r="K485" s="19"/>
      <c r="L485" s="19">
        <f t="shared" si="152"/>
        <v>0</v>
      </c>
      <c r="M485" s="19"/>
      <c r="N485" s="19">
        <f t="shared" si="152"/>
        <v>0</v>
      </c>
      <c r="O485" s="19">
        <f t="shared" si="152"/>
        <v>0</v>
      </c>
      <c r="P485" s="19"/>
      <c r="Q485" s="19">
        <f t="shared" si="152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1"/>
        <v>0</v>
      </c>
      <c r="H486" s="19"/>
      <c r="I486" s="19">
        <f t="shared" ref="I486:Q486" si="153">I487+I501+I509+I511+I513</f>
        <v>0</v>
      </c>
      <c r="J486" s="19">
        <f t="shared" si="153"/>
        <v>0</v>
      </c>
      <c r="K486" s="19"/>
      <c r="L486" s="19">
        <f t="shared" si="153"/>
        <v>0</v>
      </c>
      <c r="M486" s="19"/>
      <c r="N486" s="19">
        <f t="shared" si="153"/>
        <v>0</v>
      </c>
      <c r="O486" s="19">
        <f t="shared" si="153"/>
        <v>0</v>
      </c>
      <c r="P486" s="19"/>
      <c r="Q486" s="19">
        <f t="shared" si="153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1"/>
        <v>0</v>
      </c>
      <c r="H487" s="19"/>
      <c r="I487" s="19">
        <f t="shared" ref="I487:Q487" si="154">SUM(I488:I500)</f>
        <v>0</v>
      </c>
      <c r="J487" s="19">
        <f t="shared" si="154"/>
        <v>0</v>
      </c>
      <c r="K487" s="19"/>
      <c r="L487" s="19">
        <f t="shared" si="154"/>
        <v>0</v>
      </c>
      <c r="M487" s="19"/>
      <c r="N487" s="19">
        <f t="shared" si="154"/>
        <v>0</v>
      </c>
      <c r="O487" s="19">
        <f t="shared" si="154"/>
        <v>0</v>
      </c>
      <c r="P487" s="19"/>
      <c r="Q487" s="19">
        <f t="shared" si="154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1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1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1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1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1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1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1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1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1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1"/>
        <v>0</v>
      </c>
      <c r="H501" s="19"/>
      <c r="I501" s="19">
        <f t="shared" ref="I501:Q501" si="155">SUM(I502:I508)</f>
        <v>0</v>
      </c>
      <c r="J501" s="19">
        <f t="shared" si="155"/>
        <v>0</v>
      </c>
      <c r="K501" s="19"/>
      <c r="L501" s="19">
        <f t="shared" si="155"/>
        <v>0</v>
      </c>
      <c r="M501" s="19"/>
      <c r="N501" s="19">
        <f t="shared" si="155"/>
        <v>0</v>
      </c>
      <c r="O501" s="19">
        <f t="shared" si="155"/>
        <v>0</v>
      </c>
      <c r="P501" s="19"/>
      <c r="Q501" s="19">
        <f t="shared" si="155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1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1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1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1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1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1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1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1"/>
        <v>0</v>
      </c>
      <c r="H509" s="19"/>
      <c r="I509" s="19">
        <f t="shared" ref="I509:Q509" si="156">I510</f>
        <v>0</v>
      </c>
      <c r="J509" s="19">
        <f t="shared" si="156"/>
        <v>0</v>
      </c>
      <c r="K509" s="19"/>
      <c r="L509" s="19">
        <f t="shared" si="156"/>
        <v>0</v>
      </c>
      <c r="M509" s="19"/>
      <c r="N509" s="19">
        <f t="shared" si="156"/>
        <v>0</v>
      </c>
      <c r="O509" s="19">
        <f t="shared" si="156"/>
        <v>0</v>
      </c>
      <c r="P509" s="19"/>
      <c r="Q509" s="19">
        <f t="shared" si="156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1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1"/>
        <v>0</v>
      </c>
      <c r="H511" s="19"/>
      <c r="I511" s="19">
        <f t="shared" ref="I511:Q513" si="157">I512</f>
        <v>0</v>
      </c>
      <c r="J511" s="19">
        <f t="shared" si="157"/>
        <v>0</v>
      </c>
      <c r="K511" s="19"/>
      <c r="L511" s="19">
        <f t="shared" si="157"/>
        <v>0</v>
      </c>
      <c r="M511" s="19"/>
      <c r="N511" s="19">
        <f t="shared" si="157"/>
        <v>0</v>
      </c>
      <c r="O511" s="19">
        <f t="shared" si="157"/>
        <v>0</v>
      </c>
      <c r="P511" s="19"/>
      <c r="Q511" s="19">
        <f t="shared" si="157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1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1"/>
        <v>0</v>
      </c>
      <c r="H513" s="19"/>
      <c r="I513" s="19">
        <f t="shared" si="157"/>
        <v>0</v>
      </c>
      <c r="J513" s="19">
        <f t="shared" si="157"/>
        <v>0</v>
      </c>
      <c r="K513" s="19"/>
      <c r="L513" s="19">
        <f t="shared" si="157"/>
        <v>0</v>
      </c>
      <c r="M513" s="19"/>
      <c r="N513" s="19">
        <f t="shared" si="157"/>
        <v>0</v>
      </c>
      <c r="O513" s="19">
        <f t="shared" si="157"/>
        <v>0</v>
      </c>
      <c r="P513" s="19"/>
      <c r="Q513" s="19">
        <f t="shared" si="157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1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1"/>
        <v>0</v>
      </c>
      <c r="H515" s="19"/>
      <c r="I515" s="19">
        <f t="shared" ref="I515:Q515" si="158">I516+I530+I539</f>
        <v>0</v>
      </c>
      <c r="J515" s="19">
        <f t="shared" si="158"/>
        <v>0</v>
      </c>
      <c r="K515" s="19"/>
      <c r="L515" s="19">
        <f t="shared" si="158"/>
        <v>0</v>
      </c>
      <c r="M515" s="19"/>
      <c r="N515" s="19">
        <f t="shared" si="158"/>
        <v>0</v>
      </c>
      <c r="O515" s="19">
        <f t="shared" si="158"/>
        <v>0</v>
      </c>
      <c r="P515" s="19"/>
      <c r="Q515" s="19">
        <f t="shared" si="158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1"/>
        <v>0</v>
      </c>
      <c r="H516" s="19"/>
      <c r="I516" s="19">
        <f t="shared" ref="I516:Q516" si="159">SUM(I517:I529)</f>
        <v>0</v>
      </c>
      <c r="J516" s="19">
        <f t="shared" si="159"/>
        <v>0</v>
      </c>
      <c r="K516" s="19"/>
      <c r="L516" s="19">
        <f t="shared" si="159"/>
        <v>0</v>
      </c>
      <c r="M516" s="19"/>
      <c r="N516" s="19">
        <f t="shared" si="159"/>
        <v>0</v>
      </c>
      <c r="O516" s="19">
        <f t="shared" si="159"/>
        <v>0</v>
      </c>
      <c r="P516" s="19"/>
      <c r="Q516" s="19">
        <f t="shared" si="159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1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1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1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1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1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1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1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1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1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1"/>
        <v>0</v>
      </c>
      <c r="H530" s="19"/>
      <c r="I530" s="19">
        <f t="shared" ref="I530:Q530" si="160">SUM(I531:I538)</f>
        <v>0</v>
      </c>
      <c r="J530" s="19">
        <f t="shared" si="160"/>
        <v>0</v>
      </c>
      <c r="K530" s="19"/>
      <c r="L530" s="19">
        <f t="shared" si="160"/>
        <v>0</v>
      </c>
      <c r="M530" s="19"/>
      <c r="N530" s="19">
        <f t="shared" si="160"/>
        <v>0</v>
      </c>
      <c r="O530" s="19">
        <f t="shared" si="160"/>
        <v>0</v>
      </c>
      <c r="P530" s="19"/>
      <c r="Q530" s="19">
        <f t="shared" si="160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1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1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1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1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1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1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1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1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1"/>
        <v>0</v>
      </c>
      <c r="H539" s="19"/>
      <c r="I539" s="19">
        <f t="shared" ref="I539:Q539" si="162">I540</f>
        <v>0</v>
      </c>
      <c r="J539" s="19">
        <f t="shared" si="162"/>
        <v>0</v>
      </c>
      <c r="K539" s="19"/>
      <c r="L539" s="19">
        <f t="shared" si="162"/>
        <v>0</v>
      </c>
      <c r="M539" s="19"/>
      <c r="N539" s="19">
        <f t="shared" si="162"/>
        <v>0</v>
      </c>
      <c r="O539" s="19">
        <f t="shared" si="162"/>
        <v>0</v>
      </c>
      <c r="P539" s="19"/>
      <c r="Q539" s="19">
        <f t="shared" si="162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1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3">E219+E485</f>
        <v>1500538</v>
      </c>
      <c r="F541" s="19">
        <f t="shared" si="163"/>
        <v>1536257</v>
      </c>
      <c r="G541" s="19">
        <f t="shared" si="163"/>
        <v>1428126</v>
      </c>
      <c r="H541" s="19">
        <f t="shared" si="163"/>
        <v>25518</v>
      </c>
      <c r="I541" s="19">
        <f t="shared" si="163"/>
        <v>17657</v>
      </c>
      <c r="J541" s="19">
        <f t="shared" si="163"/>
        <v>0</v>
      </c>
      <c r="K541" s="19">
        <f t="shared" si="163"/>
        <v>8447</v>
      </c>
      <c r="L541" s="19">
        <f t="shared" si="163"/>
        <v>1273</v>
      </c>
      <c r="M541" s="19">
        <f t="shared" si="163"/>
        <v>1484026</v>
      </c>
      <c r="N541" s="19">
        <f t="shared" si="163"/>
        <v>1398024</v>
      </c>
      <c r="O541" s="19">
        <f t="shared" si="163"/>
        <v>0</v>
      </c>
      <c r="P541" s="19">
        <f t="shared" si="163"/>
        <v>18266</v>
      </c>
      <c r="Q541" s="19">
        <f t="shared" si="163"/>
        <v>11162</v>
      </c>
    </row>
  </sheetData>
  <mergeCells count="186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H445:H462 H432:H443 I432:Q462 E432:G462 E104:E127 G120:M121 G104:Q119 E467:Q490 E379:Q399 E353:Q374 E323:Q348 E404:Q427 E522:Q541 E219:Q233 E238:Q269 E274:Q318 E132:E154 G132:Q154 G122:Q127 G74:Q99 E74:E99 E6:Q10 E207:Q211 E185:Q202 E159:Q180 E47:Q69 E15:Q42 F74:F154">
      <formula1>0</formula1>
      <formula2>999999999</formula2>
    </dataValidation>
  </dataValidations>
  <pageMargins left="0.16" right="0.21" top="0.72" bottom="0.75" header="0.24" footer="0.56999999999999995"/>
  <pageSetup paperSize="9" orientation="portrait" verticalDpi="4294967295" r:id="rId1"/>
  <headerFooter>
    <oddHeader>&amp;CФИНАНСИЈСКИ ПЛАН ОПШТЕ БОЛНИЦЕ ПИРОТ ЗА 2022. ГОДИНУ</oddHead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1"/>
  <sheetViews>
    <sheetView topLeftCell="B426" workbookViewId="0">
      <selection activeCell="O114" sqref="O1:S1048576"/>
    </sheetView>
  </sheetViews>
  <sheetFormatPr defaultRowHeight="12.75" customHeight="1" x14ac:dyDescent="0.25"/>
  <cols>
    <col min="1" max="1" width="5.85546875" style="80" customWidth="1"/>
    <col min="2" max="2" width="6.85546875" style="80" customWidth="1"/>
    <col min="3" max="3" width="52.5703125" style="80" customWidth="1"/>
    <col min="4" max="4" width="10" style="80" customWidth="1"/>
    <col min="5" max="6" width="10.28515625" style="80" customWidth="1"/>
    <col min="7" max="7" width="10" style="80" customWidth="1"/>
    <col min="8" max="8" width="8.5703125" style="80" customWidth="1"/>
    <col min="9" max="9" width="8.7109375" style="80" hidden="1" customWidth="1"/>
    <col min="10" max="11" width="9.140625" style="80"/>
    <col min="12" max="12" width="0" style="80" hidden="1" customWidth="1"/>
    <col min="13" max="13" width="9.140625" style="80"/>
    <col min="14" max="14" width="9" style="115" customWidth="1"/>
    <col min="15" max="16384" width="9.140625" style="80"/>
  </cols>
  <sheetData>
    <row r="1" spans="1:14" ht="12.75" customHeight="1" x14ac:dyDescent="0.25">
      <c r="A1" s="78" t="s">
        <v>513</v>
      </c>
      <c r="B1" s="78"/>
      <c r="C1" s="78"/>
      <c r="D1" s="78"/>
      <c r="E1" s="78"/>
      <c r="F1" s="78"/>
      <c r="G1" s="78"/>
    </row>
    <row r="2" spans="1:14" ht="12.75" customHeight="1" x14ac:dyDescent="0.25">
      <c r="A2" s="116" t="s">
        <v>545</v>
      </c>
      <c r="B2" s="79"/>
      <c r="C2" s="79"/>
      <c r="D2" s="79"/>
      <c r="E2" s="79"/>
      <c r="F2" s="79"/>
      <c r="G2" s="79"/>
    </row>
    <row r="3" spans="1:14" ht="12.75" customHeight="1" x14ac:dyDescent="0.25">
      <c r="A3" s="92" t="s">
        <v>514</v>
      </c>
    </row>
    <row r="4" spans="1:14" ht="12.75" customHeight="1" thickBot="1" x14ac:dyDescent="0.3">
      <c r="A4" s="117"/>
      <c r="M4" s="118" t="s">
        <v>196</v>
      </c>
    </row>
    <row r="5" spans="1:14" ht="12.75" customHeight="1" thickBot="1" x14ac:dyDescent="0.3">
      <c r="A5" s="637" t="s">
        <v>0</v>
      </c>
      <c r="B5" s="572" t="s">
        <v>1</v>
      </c>
      <c r="C5" s="574" t="s">
        <v>2</v>
      </c>
      <c r="D5" s="639" t="s">
        <v>546</v>
      </c>
      <c r="E5" s="639" t="s">
        <v>3</v>
      </c>
      <c r="F5" s="639" t="s">
        <v>547</v>
      </c>
      <c r="G5" s="648" t="s">
        <v>4</v>
      </c>
      <c r="H5" s="648"/>
      <c r="I5" s="648"/>
      <c r="J5" s="648"/>
      <c r="K5" s="648"/>
      <c r="L5" s="648"/>
      <c r="M5" s="648"/>
      <c r="N5" s="649" t="s">
        <v>548</v>
      </c>
    </row>
    <row r="6" spans="1:14" ht="12.75" customHeight="1" thickBot="1" x14ac:dyDescent="0.3">
      <c r="A6" s="638"/>
      <c r="B6" s="573"/>
      <c r="C6" s="576"/>
      <c r="D6" s="640"/>
      <c r="E6" s="640"/>
      <c r="F6" s="640"/>
      <c r="G6" s="651" t="s">
        <v>549</v>
      </c>
      <c r="H6" s="643" t="s">
        <v>6</v>
      </c>
      <c r="I6" s="643"/>
      <c r="J6" s="643"/>
      <c r="K6" s="643"/>
      <c r="L6" s="643" t="s">
        <v>7</v>
      </c>
      <c r="M6" s="652" t="s">
        <v>8</v>
      </c>
      <c r="N6" s="650"/>
    </row>
    <row r="7" spans="1:14" ht="12.75" customHeight="1" x14ac:dyDescent="0.25">
      <c r="A7" s="638"/>
      <c r="B7" s="573"/>
      <c r="C7" s="576"/>
      <c r="D7" s="640"/>
      <c r="E7" s="640"/>
      <c r="F7" s="640"/>
      <c r="G7" s="651"/>
      <c r="H7" s="263" t="s">
        <v>9</v>
      </c>
      <c r="I7" s="263" t="s">
        <v>10</v>
      </c>
      <c r="J7" s="263" t="s">
        <v>550</v>
      </c>
      <c r="K7" s="263" t="s">
        <v>12</v>
      </c>
      <c r="L7" s="643"/>
      <c r="M7" s="652"/>
      <c r="N7" s="650"/>
    </row>
    <row r="8" spans="1:14" ht="12.75" customHeight="1" x14ac:dyDescent="0.25">
      <c r="A8" s="265">
        <v>1</v>
      </c>
      <c r="B8" s="251">
        <v>2</v>
      </c>
      <c r="C8" s="252">
        <v>3</v>
      </c>
      <c r="D8" s="263">
        <v>4</v>
      </c>
      <c r="E8" s="263">
        <v>5</v>
      </c>
      <c r="F8" s="263" t="s">
        <v>551</v>
      </c>
      <c r="G8" s="263">
        <v>7</v>
      </c>
      <c r="H8" s="263">
        <v>8</v>
      </c>
      <c r="I8" s="263">
        <v>7</v>
      </c>
      <c r="J8" s="263">
        <v>9</v>
      </c>
      <c r="K8" s="263">
        <v>10</v>
      </c>
      <c r="L8" s="263">
        <v>10</v>
      </c>
      <c r="M8" s="264">
        <v>11</v>
      </c>
      <c r="N8" s="271" t="s">
        <v>552</v>
      </c>
    </row>
    <row r="9" spans="1:14" ht="12.75" customHeight="1" x14ac:dyDescent="0.25">
      <c r="A9" s="269">
        <v>5001</v>
      </c>
      <c r="B9" s="251"/>
      <c r="C9" s="82" t="s">
        <v>13</v>
      </c>
      <c r="D9" s="100">
        <f>D10+D134</f>
        <v>82990</v>
      </c>
      <c r="E9" s="100">
        <f>E10+E134</f>
        <v>1529922</v>
      </c>
      <c r="F9" s="100">
        <f>F10+F134</f>
        <v>1612912</v>
      </c>
      <c r="G9" s="100">
        <f t="shared" ref="G9:G72" si="0">SUM(H9:M9)</f>
        <v>1588772</v>
      </c>
      <c r="H9" s="100">
        <f t="shared" ref="H9:M9" si="1">H10+H134</f>
        <v>12073</v>
      </c>
      <c r="I9" s="100">
        <f t="shared" si="1"/>
        <v>0</v>
      </c>
      <c r="J9" s="100">
        <f t="shared" si="1"/>
        <v>7566</v>
      </c>
      <c r="K9" s="100">
        <f t="shared" si="1"/>
        <v>1556428</v>
      </c>
      <c r="L9" s="100">
        <f t="shared" si="1"/>
        <v>0</v>
      </c>
      <c r="M9" s="101">
        <f t="shared" si="1"/>
        <v>12705</v>
      </c>
      <c r="N9" s="137">
        <f>G9/F9</f>
        <v>0.98503328141894908</v>
      </c>
    </row>
    <row r="10" spans="1:14" ht="12.75" customHeight="1" x14ac:dyDescent="0.25">
      <c r="A10" s="269">
        <v>5002</v>
      </c>
      <c r="B10" s="251">
        <v>700000</v>
      </c>
      <c r="C10" s="82" t="s">
        <v>532</v>
      </c>
      <c r="D10" s="100">
        <f>D11+D63+D77+D89+D118+D123+D127</f>
        <v>82990</v>
      </c>
      <c r="E10" s="100">
        <f>E11+E63+E77+E89+E118+E123+E127</f>
        <v>1529667</v>
      </c>
      <c r="F10" s="100">
        <f>F11+F63+F77+F89+F118+F123+F127</f>
        <v>1612657</v>
      </c>
      <c r="G10" s="100">
        <f t="shared" si="0"/>
        <v>1588517</v>
      </c>
      <c r="H10" s="100">
        <f t="shared" ref="H10:M10" si="2">H11+H63+H77+H89+H118+H123+H127</f>
        <v>12073</v>
      </c>
      <c r="I10" s="100">
        <f t="shared" si="2"/>
        <v>0</v>
      </c>
      <c r="J10" s="100">
        <f t="shared" si="2"/>
        <v>7566</v>
      </c>
      <c r="K10" s="100">
        <f t="shared" si="2"/>
        <v>1556428</v>
      </c>
      <c r="L10" s="100">
        <f t="shared" si="2"/>
        <v>0</v>
      </c>
      <c r="M10" s="101">
        <f t="shared" si="2"/>
        <v>12450</v>
      </c>
      <c r="N10" s="137">
        <f t="shared" ref="N10:N73" si="3">G10/F10</f>
        <v>0.98503091481945637</v>
      </c>
    </row>
    <row r="11" spans="1:14" ht="16.5" hidden="1" customHeight="1" x14ac:dyDescent="0.25">
      <c r="A11" s="265">
        <v>5003</v>
      </c>
      <c r="B11" s="251">
        <v>710000</v>
      </c>
      <c r="C11" s="82" t="s">
        <v>15</v>
      </c>
      <c r="D11" s="82">
        <f>D12+D20+D22+D29+D35+D42+D45+D56</f>
        <v>0</v>
      </c>
      <c r="E11" s="102">
        <f>E12+E20+E22+E29+E35+E42+E45+E56</f>
        <v>0</v>
      </c>
      <c r="F11" s="102">
        <f>F12+F20+F22+F29+F35+F42+F45+F56</f>
        <v>0</v>
      </c>
      <c r="G11" s="102">
        <f t="shared" si="0"/>
        <v>0</v>
      </c>
      <c r="H11" s="102">
        <f t="shared" ref="H11:M11" si="4">H12+H20+H22+H29+H35+H42+H45+H56</f>
        <v>0</v>
      </c>
      <c r="I11" s="102">
        <f t="shared" si="4"/>
        <v>0</v>
      </c>
      <c r="J11" s="102">
        <f t="shared" si="4"/>
        <v>0</v>
      </c>
      <c r="K11" s="102">
        <f t="shared" si="4"/>
        <v>0</v>
      </c>
      <c r="L11" s="102">
        <f t="shared" si="4"/>
        <v>0</v>
      </c>
      <c r="M11" s="103">
        <f t="shared" si="4"/>
        <v>0</v>
      </c>
      <c r="N11" s="137" t="e">
        <f t="shared" si="3"/>
        <v>#DIV/0!</v>
      </c>
    </row>
    <row r="12" spans="1:14" ht="16.5" hidden="1" customHeight="1" x14ac:dyDescent="0.25">
      <c r="A12" s="265">
        <v>5004</v>
      </c>
      <c r="B12" s="251">
        <v>711000</v>
      </c>
      <c r="C12" s="82" t="s">
        <v>16</v>
      </c>
      <c r="D12" s="82">
        <f>SUM(D13:D19)</f>
        <v>0</v>
      </c>
      <c r="E12" s="102">
        <f>SUM(E13:E19)</f>
        <v>0</v>
      </c>
      <c r="F12" s="102">
        <f>SUM(F13:F19)</f>
        <v>0</v>
      </c>
      <c r="G12" s="102">
        <f t="shared" si="0"/>
        <v>0</v>
      </c>
      <c r="H12" s="102">
        <f t="shared" ref="H12:M12" si="5">SUM(H13:H19)</f>
        <v>0</v>
      </c>
      <c r="I12" s="102">
        <f t="shared" si="5"/>
        <v>0</v>
      </c>
      <c r="J12" s="102">
        <f t="shared" si="5"/>
        <v>0</v>
      </c>
      <c r="K12" s="102">
        <f t="shared" si="5"/>
        <v>0</v>
      </c>
      <c r="L12" s="102">
        <f t="shared" si="5"/>
        <v>0</v>
      </c>
      <c r="M12" s="103">
        <f t="shared" si="5"/>
        <v>0</v>
      </c>
      <c r="N12" s="137" t="e">
        <f t="shared" si="3"/>
        <v>#DIV/0!</v>
      </c>
    </row>
    <row r="13" spans="1:14" ht="16.5" hidden="1" customHeight="1" x14ac:dyDescent="0.25">
      <c r="A13" s="266">
        <v>5005</v>
      </c>
      <c r="B13" s="83">
        <v>711100</v>
      </c>
      <c r="C13" s="84" t="s">
        <v>17</v>
      </c>
      <c r="D13" s="247"/>
      <c r="E13" s="104"/>
      <c r="F13" s="104"/>
      <c r="G13" s="104">
        <f t="shared" si="0"/>
        <v>0</v>
      </c>
      <c r="H13" s="104"/>
      <c r="I13" s="104"/>
      <c r="J13" s="104"/>
      <c r="K13" s="104"/>
      <c r="L13" s="104"/>
      <c r="M13" s="105"/>
      <c r="N13" s="137" t="e">
        <f t="shared" si="3"/>
        <v>#DIV/0!</v>
      </c>
    </row>
    <row r="14" spans="1:14" ht="16.5" hidden="1" customHeight="1" x14ac:dyDescent="0.25">
      <c r="A14" s="645" t="s">
        <v>0</v>
      </c>
      <c r="B14" s="646" t="s">
        <v>1</v>
      </c>
      <c r="C14" s="585" t="s">
        <v>2</v>
      </c>
      <c r="D14" s="254" t="s">
        <v>3</v>
      </c>
      <c r="E14" s="575" t="s">
        <v>3</v>
      </c>
      <c r="F14" s="252" t="s">
        <v>3</v>
      </c>
      <c r="G14" s="575" t="s">
        <v>4</v>
      </c>
      <c r="H14" s="575"/>
      <c r="I14" s="575"/>
      <c r="J14" s="575"/>
      <c r="K14" s="575"/>
      <c r="L14" s="575"/>
      <c r="M14" s="582"/>
      <c r="N14" s="137" t="e">
        <f t="shared" si="3"/>
        <v>#VALUE!</v>
      </c>
    </row>
    <row r="15" spans="1:14" ht="16.5" hidden="1" customHeight="1" x14ac:dyDescent="0.25">
      <c r="A15" s="645"/>
      <c r="B15" s="646"/>
      <c r="C15" s="585"/>
      <c r="D15" s="254"/>
      <c r="E15" s="575"/>
      <c r="F15" s="252"/>
      <c r="G15" s="581" t="s">
        <v>5</v>
      </c>
      <c r="H15" s="575" t="s">
        <v>6</v>
      </c>
      <c r="I15" s="575"/>
      <c r="J15" s="575"/>
      <c r="K15" s="575"/>
      <c r="L15" s="575" t="s">
        <v>7</v>
      </c>
      <c r="M15" s="582" t="s">
        <v>8</v>
      </c>
      <c r="N15" s="137" t="e">
        <f t="shared" si="3"/>
        <v>#VALUE!</v>
      </c>
    </row>
    <row r="16" spans="1:14" ht="16.5" hidden="1" customHeight="1" x14ac:dyDescent="0.25">
      <c r="A16" s="645"/>
      <c r="B16" s="646"/>
      <c r="C16" s="585"/>
      <c r="D16" s="254"/>
      <c r="E16" s="575"/>
      <c r="F16" s="252"/>
      <c r="G16" s="581"/>
      <c r="H16" s="252" t="s">
        <v>9</v>
      </c>
      <c r="I16" s="252" t="s">
        <v>10</v>
      </c>
      <c r="J16" s="252" t="s">
        <v>11</v>
      </c>
      <c r="K16" s="252" t="s">
        <v>12</v>
      </c>
      <c r="L16" s="575"/>
      <c r="M16" s="582"/>
      <c r="N16" s="137" t="e">
        <f t="shared" si="3"/>
        <v>#DIV/0!</v>
      </c>
    </row>
    <row r="17" spans="1:14" ht="16.5" hidden="1" customHeight="1" x14ac:dyDescent="0.25">
      <c r="A17" s="270" t="s">
        <v>18</v>
      </c>
      <c r="B17" s="95" t="s">
        <v>19</v>
      </c>
      <c r="C17" s="253" t="s">
        <v>20</v>
      </c>
      <c r="D17" s="253" t="s">
        <v>21</v>
      </c>
      <c r="E17" s="86" t="s">
        <v>21</v>
      </c>
      <c r="F17" s="86" t="s">
        <v>21</v>
      </c>
      <c r="G17" s="86" t="s">
        <v>22</v>
      </c>
      <c r="H17" s="86" t="s">
        <v>23</v>
      </c>
      <c r="I17" s="86" t="s">
        <v>24</v>
      </c>
      <c r="J17" s="86" t="s">
        <v>25</v>
      </c>
      <c r="K17" s="86" t="s">
        <v>26</v>
      </c>
      <c r="L17" s="86" t="s">
        <v>27</v>
      </c>
      <c r="M17" s="98" t="s">
        <v>28</v>
      </c>
      <c r="N17" s="137">
        <f t="shared" si="3"/>
        <v>1.25</v>
      </c>
    </row>
    <row r="18" spans="1:14" ht="16.5" hidden="1" customHeight="1" x14ac:dyDescent="0.25">
      <c r="A18" s="266">
        <v>5006</v>
      </c>
      <c r="B18" s="83">
        <v>711200</v>
      </c>
      <c r="C18" s="84" t="s">
        <v>29</v>
      </c>
      <c r="D18" s="84"/>
      <c r="E18" s="106"/>
      <c r="F18" s="106"/>
      <c r="G18" s="106">
        <f t="shared" si="0"/>
        <v>0</v>
      </c>
      <c r="H18" s="106"/>
      <c r="I18" s="106"/>
      <c r="J18" s="106"/>
      <c r="K18" s="106"/>
      <c r="L18" s="106"/>
      <c r="M18" s="107"/>
      <c r="N18" s="137" t="e">
        <f t="shared" si="3"/>
        <v>#DIV/0!</v>
      </c>
    </row>
    <row r="19" spans="1:14" ht="16.5" hidden="1" customHeight="1" x14ac:dyDescent="0.25">
      <c r="A19" s="266">
        <v>5007</v>
      </c>
      <c r="B19" s="83">
        <v>711300</v>
      </c>
      <c r="C19" s="84" t="s">
        <v>30</v>
      </c>
      <c r="D19" s="84"/>
      <c r="E19" s="106"/>
      <c r="F19" s="106"/>
      <c r="G19" s="106">
        <f t="shared" si="0"/>
        <v>0</v>
      </c>
      <c r="H19" s="106"/>
      <c r="I19" s="106"/>
      <c r="J19" s="106"/>
      <c r="K19" s="106"/>
      <c r="L19" s="106"/>
      <c r="M19" s="107"/>
      <c r="N19" s="137" t="e">
        <f t="shared" si="3"/>
        <v>#DIV/0!</v>
      </c>
    </row>
    <row r="20" spans="1:14" ht="16.5" hidden="1" customHeight="1" x14ac:dyDescent="0.25">
      <c r="A20" s="265">
        <v>5008</v>
      </c>
      <c r="B20" s="251">
        <v>712000</v>
      </c>
      <c r="C20" s="82" t="s">
        <v>31</v>
      </c>
      <c r="D20" s="82">
        <f>D21</f>
        <v>0</v>
      </c>
      <c r="E20" s="102">
        <f>E21</f>
        <v>0</v>
      </c>
      <c r="F20" s="102">
        <f>F21</f>
        <v>0</v>
      </c>
      <c r="G20" s="102">
        <f t="shared" si="0"/>
        <v>0</v>
      </c>
      <c r="H20" s="102">
        <f t="shared" ref="H20:M20" si="6">H21</f>
        <v>0</v>
      </c>
      <c r="I20" s="102">
        <f t="shared" si="6"/>
        <v>0</v>
      </c>
      <c r="J20" s="102">
        <f t="shared" si="6"/>
        <v>0</v>
      </c>
      <c r="K20" s="102">
        <f t="shared" si="6"/>
        <v>0</v>
      </c>
      <c r="L20" s="102">
        <f t="shared" si="6"/>
        <v>0</v>
      </c>
      <c r="M20" s="103">
        <f t="shared" si="6"/>
        <v>0</v>
      </c>
      <c r="N20" s="137" t="e">
        <f t="shared" si="3"/>
        <v>#DIV/0!</v>
      </c>
    </row>
    <row r="21" spans="1:14" ht="16.5" hidden="1" customHeight="1" x14ac:dyDescent="0.25">
      <c r="A21" s="266">
        <v>5009</v>
      </c>
      <c r="B21" s="83">
        <v>712100</v>
      </c>
      <c r="C21" s="84" t="s">
        <v>32</v>
      </c>
      <c r="D21" s="84"/>
      <c r="E21" s="106"/>
      <c r="F21" s="106"/>
      <c r="G21" s="106">
        <f t="shared" si="0"/>
        <v>0</v>
      </c>
      <c r="H21" s="106"/>
      <c r="I21" s="106"/>
      <c r="J21" s="106"/>
      <c r="K21" s="106"/>
      <c r="L21" s="106"/>
      <c r="M21" s="107"/>
      <c r="N21" s="137" t="e">
        <f t="shared" si="3"/>
        <v>#DIV/0!</v>
      </c>
    </row>
    <row r="22" spans="1:14" ht="16.5" hidden="1" customHeight="1" x14ac:dyDescent="0.25">
      <c r="A22" s="265">
        <v>5010</v>
      </c>
      <c r="B22" s="251">
        <v>713000</v>
      </c>
      <c r="C22" s="82" t="s">
        <v>33</v>
      </c>
      <c r="D22" s="82">
        <f>SUM(D23:D28)</f>
        <v>0</v>
      </c>
      <c r="E22" s="102">
        <f>SUM(E23:E28)</f>
        <v>0</v>
      </c>
      <c r="F22" s="102">
        <f>SUM(F23:F28)</f>
        <v>0</v>
      </c>
      <c r="G22" s="102">
        <f t="shared" si="0"/>
        <v>0</v>
      </c>
      <c r="H22" s="102">
        <f t="shared" ref="H22:M22" si="7">SUM(H23:H28)</f>
        <v>0</v>
      </c>
      <c r="I22" s="102">
        <f t="shared" si="7"/>
        <v>0</v>
      </c>
      <c r="J22" s="102">
        <f t="shared" si="7"/>
        <v>0</v>
      </c>
      <c r="K22" s="102">
        <f t="shared" si="7"/>
        <v>0</v>
      </c>
      <c r="L22" s="102">
        <f t="shared" si="7"/>
        <v>0</v>
      </c>
      <c r="M22" s="103">
        <f t="shared" si="7"/>
        <v>0</v>
      </c>
      <c r="N22" s="137" t="e">
        <f t="shared" si="3"/>
        <v>#DIV/0!</v>
      </c>
    </row>
    <row r="23" spans="1:14" ht="16.5" hidden="1" customHeight="1" x14ac:dyDescent="0.25">
      <c r="A23" s="266">
        <v>5011</v>
      </c>
      <c r="B23" s="83">
        <v>713100</v>
      </c>
      <c r="C23" s="84" t="s">
        <v>34</v>
      </c>
      <c r="D23" s="84"/>
      <c r="E23" s="106"/>
      <c r="F23" s="106"/>
      <c r="G23" s="106">
        <f t="shared" si="0"/>
        <v>0</v>
      </c>
      <c r="H23" s="106"/>
      <c r="I23" s="106"/>
      <c r="J23" s="106"/>
      <c r="K23" s="106"/>
      <c r="L23" s="106"/>
      <c r="M23" s="107"/>
      <c r="N23" s="137" t="e">
        <f t="shared" si="3"/>
        <v>#DIV/0!</v>
      </c>
    </row>
    <row r="24" spans="1:14" ht="16.5" hidden="1" customHeight="1" x14ac:dyDescent="0.25">
      <c r="A24" s="266">
        <v>5012</v>
      </c>
      <c r="B24" s="83">
        <v>713200</v>
      </c>
      <c r="C24" s="84" t="s">
        <v>35</v>
      </c>
      <c r="D24" s="84"/>
      <c r="E24" s="106"/>
      <c r="F24" s="106"/>
      <c r="G24" s="106">
        <f t="shared" si="0"/>
        <v>0</v>
      </c>
      <c r="H24" s="106"/>
      <c r="I24" s="106"/>
      <c r="J24" s="106"/>
      <c r="K24" s="106"/>
      <c r="L24" s="106"/>
      <c r="M24" s="107"/>
      <c r="N24" s="137" t="e">
        <f t="shared" si="3"/>
        <v>#DIV/0!</v>
      </c>
    </row>
    <row r="25" spans="1:14" ht="16.5" hidden="1" customHeight="1" x14ac:dyDescent="0.25">
      <c r="A25" s="266">
        <v>5013</v>
      </c>
      <c r="B25" s="83">
        <v>713300</v>
      </c>
      <c r="C25" s="84" t="s">
        <v>36</v>
      </c>
      <c r="D25" s="84"/>
      <c r="E25" s="106"/>
      <c r="F25" s="106"/>
      <c r="G25" s="106">
        <f t="shared" si="0"/>
        <v>0</v>
      </c>
      <c r="H25" s="106"/>
      <c r="I25" s="106"/>
      <c r="J25" s="106"/>
      <c r="K25" s="106"/>
      <c r="L25" s="106"/>
      <c r="M25" s="107"/>
      <c r="N25" s="137" t="e">
        <f t="shared" si="3"/>
        <v>#DIV/0!</v>
      </c>
    </row>
    <row r="26" spans="1:14" ht="16.5" hidden="1" customHeight="1" x14ac:dyDescent="0.25">
      <c r="A26" s="266">
        <v>5014</v>
      </c>
      <c r="B26" s="83">
        <v>713400</v>
      </c>
      <c r="C26" s="84" t="s">
        <v>37</v>
      </c>
      <c r="D26" s="84"/>
      <c r="E26" s="106"/>
      <c r="F26" s="106"/>
      <c r="G26" s="106">
        <f t="shared" si="0"/>
        <v>0</v>
      </c>
      <c r="H26" s="106"/>
      <c r="I26" s="106"/>
      <c r="J26" s="106"/>
      <c r="K26" s="106"/>
      <c r="L26" s="106"/>
      <c r="M26" s="107"/>
      <c r="N26" s="137" t="e">
        <f t="shared" si="3"/>
        <v>#DIV/0!</v>
      </c>
    </row>
    <row r="27" spans="1:14" ht="16.5" hidden="1" customHeight="1" x14ac:dyDescent="0.25">
      <c r="A27" s="266">
        <v>5015</v>
      </c>
      <c r="B27" s="83">
        <v>713500</v>
      </c>
      <c r="C27" s="84" t="s">
        <v>38</v>
      </c>
      <c r="D27" s="84"/>
      <c r="E27" s="106"/>
      <c r="F27" s="106"/>
      <c r="G27" s="106">
        <f t="shared" si="0"/>
        <v>0</v>
      </c>
      <c r="H27" s="106"/>
      <c r="I27" s="106"/>
      <c r="J27" s="106"/>
      <c r="K27" s="106"/>
      <c r="L27" s="106"/>
      <c r="M27" s="107"/>
      <c r="N27" s="137" t="e">
        <f t="shared" si="3"/>
        <v>#DIV/0!</v>
      </c>
    </row>
    <row r="28" spans="1:14" ht="16.5" hidden="1" customHeight="1" x14ac:dyDescent="0.25">
      <c r="A28" s="266">
        <v>5016</v>
      </c>
      <c r="B28" s="83">
        <v>713600</v>
      </c>
      <c r="C28" s="84" t="s">
        <v>39</v>
      </c>
      <c r="D28" s="84"/>
      <c r="E28" s="102"/>
      <c r="F28" s="102"/>
      <c r="G28" s="106">
        <f t="shared" si="0"/>
        <v>0</v>
      </c>
      <c r="H28" s="102"/>
      <c r="I28" s="102"/>
      <c r="J28" s="102"/>
      <c r="K28" s="102"/>
      <c r="L28" s="102"/>
      <c r="M28" s="103"/>
      <c r="N28" s="137" t="e">
        <f t="shared" si="3"/>
        <v>#DIV/0!</v>
      </c>
    </row>
    <row r="29" spans="1:14" ht="16.5" hidden="1" customHeight="1" x14ac:dyDescent="0.25">
      <c r="A29" s="265">
        <v>5017</v>
      </c>
      <c r="B29" s="251">
        <v>714000</v>
      </c>
      <c r="C29" s="82" t="s">
        <v>40</v>
      </c>
      <c r="D29" s="82">
        <f>SUM(D30:D34)</f>
        <v>0</v>
      </c>
      <c r="E29" s="102">
        <f>SUM(E30:E34)</f>
        <v>0</v>
      </c>
      <c r="F29" s="102">
        <f>SUM(F30:F34)</f>
        <v>0</v>
      </c>
      <c r="G29" s="102">
        <f t="shared" si="0"/>
        <v>0</v>
      </c>
      <c r="H29" s="102">
        <f t="shared" ref="H29:M29" si="8">SUM(H30:H34)</f>
        <v>0</v>
      </c>
      <c r="I29" s="102">
        <f t="shared" si="8"/>
        <v>0</v>
      </c>
      <c r="J29" s="102">
        <f t="shared" si="8"/>
        <v>0</v>
      </c>
      <c r="K29" s="102">
        <f t="shared" si="8"/>
        <v>0</v>
      </c>
      <c r="L29" s="102">
        <f t="shared" si="8"/>
        <v>0</v>
      </c>
      <c r="M29" s="103">
        <f t="shared" si="8"/>
        <v>0</v>
      </c>
      <c r="N29" s="137" t="e">
        <f t="shared" si="3"/>
        <v>#DIV/0!</v>
      </c>
    </row>
    <row r="30" spans="1:14" ht="16.5" hidden="1" customHeight="1" x14ac:dyDescent="0.25">
      <c r="A30" s="266">
        <v>5018</v>
      </c>
      <c r="B30" s="83">
        <v>714100</v>
      </c>
      <c r="C30" s="84" t="s">
        <v>41</v>
      </c>
      <c r="D30" s="84"/>
      <c r="E30" s="106"/>
      <c r="F30" s="106"/>
      <c r="G30" s="106">
        <f t="shared" si="0"/>
        <v>0</v>
      </c>
      <c r="H30" s="106"/>
      <c r="I30" s="106"/>
      <c r="J30" s="106"/>
      <c r="K30" s="106"/>
      <c r="L30" s="106"/>
      <c r="M30" s="107"/>
      <c r="N30" s="137" t="e">
        <f t="shared" si="3"/>
        <v>#DIV/0!</v>
      </c>
    </row>
    <row r="31" spans="1:14" ht="16.5" hidden="1" customHeight="1" x14ac:dyDescent="0.25">
      <c r="A31" s="266">
        <v>5019</v>
      </c>
      <c r="B31" s="83">
        <v>714300</v>
      </c>
      <c r="C31" s="84" t="s">
        <v>42</v>
      </c>
      <c r="D31" s="84"/>
      <c r="E31" s="106"/>
      <c r="F31" s="106"/>
      <c r="G31" s="106">
        <f t="shared" si="0"/>
        <v>0</v>
      </c>
      <c r="H31" s="106"/>
      <c r="I31" s="106"/>
      <c r="J31" s="106"/>
      <c r="K31" s="106"/>
      <c r="L31" s="106"/>
      <c r="M31" s="107"/>
      <c r="N31" s="137" t="e">
        <f t="shared" si="3"/>
        <v>#DIV/0!</v>
      </c>
    </row>
    <row r="32" spans="1:14" ht="16.5" hidden="1" customHeight="1" x14ac:dyDescent="0.25">
      <c r="A32" s="266">
        <v>5020</v>
      </c>
      <c r="B32" s="83">
        <v>714400</v>
      </c>
      <c r="C32" s="84" t="s">
        <v>43</v>
      </c>
      <c r="D32" s="84"/>
      <c r="E32" s="106"/>
      <c r="F32" s="106"/>
      <c r="G32" s="106">
        <f t="shared" si="0"/>
        <v>0</v>
      </c>
      <c r="H32" s="106"/>
      <c r="I32" s="106"/>
      <c r="J32" s="106"/>
      <c r="K32" s="106"/>
      <c r="L32" s="106"/>
      <c r="M32" s="107"/>
      <c r="N32" s="137" t="e">
        <f t="shared" si="3"/>
        <v>#DIV/0!</v>
      </c>
    </row>
    <row r="33" spans="1:14" ht="16.5" hidden="1" customHeight="1" x14ac:dyDescent="0.25">
      <c r="A33" s="266">
        <v>5021</v>
      </c>
      <c r="B33" s="83">
        <v>714500</v>
      </c>
      <c r="C33" s="84" t="s">
        <v>44</v>
      </c>
      <c r="D33" s="84"/>
      <c r="E33" s="106"/>
      <c r="F33" s="106"/>
      <c r="G33" s="106">
        <f t="shared" si="0"/>
        <v>0</v>
      </c>
      <c r="H33" s="106"/>
      <c r="I33" s="106"/>
      <c r="J33" s="106"/>
      <c r="K33" s="106"/>
      <c r="L33" s="106"/>
      <c r="M33" s="107"/>
      <c r="N33" s="137" t="e">
        <f t="shared" si="3"/>
        <v>#DIV/0!</v>
      </c>
    </row>
    <row r="34" spans="1:14" ht="16.5" hidden="1" customHeight="1" x14ac:dyDescent="0.25">
      <c r="A34" s="266">
        <v>5022</v>
      </c>
      <c r="B34" s="83">
        <v>714600</v>
      </c>
      <c r="C34" s="84" t="s">
        <v>45</v>
      </c>
      <c r="D34" s="84"/>
      <c r="E34" s="106"/>
      <c r="F34" s="106"/>
      <c r="G34" s="106">
        <f t="shared" si="0"/>
        <v>0</v>
      </c>
      <c r="H34" s="106"/>
      <c r="I34" s="106"/>
      <c r="J34" s="106"/>
      <c r="K34" s="106"/>
      <c r="L34" s="106"/>
      <c r="M34" s="107"/>
      <c r="N34" s="137" t="e">
        <f t="shared" si="3"/>
        <v>#DIV/0!</v>
      </c>
    </row>
    <row r="35" spans="1:14" ht="16.5" hidden="1" customHeight="1" x14ac:dyDescent="0.25">
      <c r="A35" s="265">
        <v>5023</v>
      </c>
      <c r="B35" s="251">
        <v>715000</v>
      </c>
      <c r="C35" s="82" t="s">
        <v>46</v>
      </c>
      <c r="D35" s="82">
        <f>SUM(D36:D41)</f>
        <v>0</v>
      </c>
      <c r="E35" s="102">
        <f>SUM(E36:E41)</f>
        <v>0</v>
      </c>
      <c r="F35" s="102">
        <f>SUM(F36:F41)</f>
        <v>0</v>
      </c>
      <c r="G35" s="102">
        <f t="shared" si="0"/>
        <v>0</v>
      </c>
      <c r="H35" s="102">
        <f t="shared" ref="H35:M35" si="9">SUM(H36:H41)</f>
        <v>0</v>
      </c>
      <c r="I35" s="102">
        <f t="shared" si="9"/>
        <v>0</v>
      </c>
      <c r="J35" s="102">
        <f t="shared" si="9"/>
        <v>0</v>
      </c>
      <c r="K35" s="102">
        <f t="shared" si="9"/>
        <v>0</v>
      </c>
      <c r="L35" s="102">
        <f t="shared" si="9"/>
        <v>0</v>
      </c>
      <c r="M35" s="103">
        <f t="shared" si="9"/>
        <v>0</v>
      </c>
      <c r="N35" s="137" t="e">
        <f t="shared" si="3"/>
        <v>#DIV/0!</v>
      </c>
    </row>
    <row r="36" spans="1:14" ht="16.5" hidden="1" customHeight="1" x14ac:dyDescent="0.25">
      <c r="A36" s="266">
        <v>5024</v>
      </c>
      <c r="B36" s="83">
        <v>715100</v>
      </c>
      <c r="C36" s="84" t="s">
        <v>47</v>
      </c>
      <c r="D36" s="84"/>
      <c r="E36" s="106"/>
      <c r="F36" s="106"/>
      <c r="G36" s="106">
        <f t="shared" si="0"/>
        <v>0</v>
      </c>
      <c r="H36" s="106"/>
      <c r="I36" s="106"/>
      <c r="J36" s="106"/>
      <c r="K36" s="106"/>
      <c r="L36" s="106"/>
      <c r="M36" s="107"/>
      <c r="N36" s="137" t="e">
        <f t="shared" si="3"/>
        <v>#DIV/0!</v>
      </c>
    </row>
    <row r="37" spans="1:14" ht="16.5" hidden="1" customHeight="1" x14ac:dyDescent="0.25">
      <c r="A37" s="266">
        <v>5025</v>
      </c>
      <c r="B37" s="83">
        <v>715200</v>
      </c>
      <c r="C37" s="84" t="s">
        <v>48</v>
      </c>
      <c r="D37" s="84"/>
      <c r="E37" s="106"/>
      <c r="F37" s="106"/>
      <c r="G37" s="106">
        <f t="shared" si="0"/>
        <v>0</v>
      </c>
      <c r="H37" s="106"/>
      <c r="I37" s="106"/>
      <c r="J37" s="106"/>
      <c r="K37" s="106"/>
      <c r="L37" s="106"/>
      <c r="M37" s="107"/>
      <c r="N37" s="137" t="e">
        <f t="shared" si="3"/>
        <v>#DIV/0!</v>
      </c>
    </row>
    <row r="38" spans="1:14" ht="16.5" hidden="1" customHeight="1" x14ac:dyDescent="0.25">
      <c r="A38" s="266">
        <v>5026</v>
      </c>
      <c r="B38" s="83">
        <v>715300</v>
      </c>
      <c r="C38" s="84" t="s">
        <v>49</v>
      </c>
      <c r="D38" s="84"/>
      <c r="E38" s="106"/>
      <c r="F38" s="106"/>
      <c r="G38" s="106">
        <f t="shared" si="0"/>
        <v>0</v>
      </c>
      <c r="H38" s="106"/>
      <c r="I38" s="106"/>
      <c r="J38" s="106"/>
      <c r="K38" s="106"/>
      <c r="L38" s="106"/>
      <c r="M38" s="107"/>
      <c r="N38" s="137" t="e">
        <f t="shared" si="3"/>
        <v>#DIV/0!</v>
      </c>
    </row>
    <row r="39" spans="1:14" ht="16.5" hidden="1" customHeight="1" x14ac:dyDescent="0.25">
      <c r="A39" s="266">
        <v>5027</v>
      </c>
      <c r="B39" s="83">
        <v>715400</v>
      </c>
      <c r="C39" s="84" t="s">
        <v>50</v>
      </c>
      <c r="D39" s="84"/>
      <c r="E39" s="106"/>
      <c r="F39" s="106"/>
      <c r="G39" s="106">
        <f t="shared" si="0"/>
        <v>0</v>
      </c>
      <c r="H39" s="106"/>
      <c r="I39" s="106"/>
      <c r="J39" s="106"/>
      <c r="K39" s="106"/>
      <c r="L39" s="106"/>
      <c r="M39" s="107"/>
      <c r="N39" s="137" t="e">
        <f t="shared" si="3"/>
        <v>#DIV/0!</v>
      </c>
    </row>
    <row r="40" spans="1:14" ht="16.5" hidden="1" customHeight="1" x14ac:dyDescent="0.25">
      <c r="A40" s="266">
        <v>5028</v>
      </c>
      <c r="B40" s="83">
        <v>715500</v>
      </c>
      <c r="C40" s="84" t="s">
        <v>51</v>
      </c>
      <c r="D40" s="84"/>
      <c r="E40" s="106"/>
      <c r="F40" s="106"/>
      <c r="G40" s="106">
        <f t="shared" si="0"/>
        <v>0</v>
      </c>
      <c r="H40" s="106"/>
      <c r="I40" s="106"/>
      <c r="J40" s="106"/>
      <c r="K40" s="106"/>
      <c r="L40" s="106"/>
      <c r="M40" s="107"/>
      <c r="N40" s="137" t="e">
        <f t="shared" si="3"/>
        <v>#DIV/0!</v>
      </c>
    </row>
    <row r="41" spans="1:14" ht="16.5" hidden="1" customHeight="1" x14ac:dyDescent="0.25">
      <c r="A41" s="266">
        <v>5029</v>
      </c>
      <c r="B41" s="83">
        <v>715600</v>
      </c>
      <c r="C41" s="84" t="s">
        <v>52</v>
      </c>
      <c r="D41" s="84"/>
      <c r="E41" s="106"/>
      <c r="F41" s="106"/>
      <c r="G41" s="106">
        <f t="shared" si="0"/>
        <v>0</v>
      </c>
      <c r="H41" s="106"/>
      <c r="I41" s="106"/>
      <c r="J41" s="106"/>
      <c r="K41" s="106"/>
      <c r="L41" s="106"/>
      <c r="M41" s="107"/>
      <c r="N41" s="137" t="e">
        <f t="shared" si="3"/>
        <v>#DIV/0!</v>
      </c>
    </row>
    <row r="42" spans="1:14" ht="16.5" hidden="1" customHeight="1" x14ac:dyDescent="0.25">
      <c r="A42" s="265">
        <v>5030</v>
      </c>
      <c r="B42" s="251">
        <v>716000</v>
      </c>
      <c r="C42" s="82" t="s">
        <v>53</v>
      </c>
      <c r="D42" s="82">
        <f>D43+D44</f>
        <v>0</v>
      </c>
      <c r="E42" s="102">
        <f>E43+E44</f>
        <v>0</v>
      </c>
      <c r="F42" s="102">
        <f>F43+F44</f>
        <v>0</v>
      </c>
      <c r="G42" s="102">
        <f t="shared" si="0"/>
        <v>0</v>
      </c>
      <c r="H42" s="102">
        <f t="shared" ref="H42:M42" si="10">H43+H44</f>
        <v>0</v>
      </c>
      <c r="I42" s="102">
        <f t="shared" si="10"/>
        <v>0</v>
      </c>
      <c r="J42" s="102">
        <f t="shared" si="10"/>
        <v>0</v>
      </c>
      <c r="K42" s="102">
        <f t="shared" si="10"/>
        <v>0</v>
      </c>
      <c r="L42" s="102">
        <f t="shared" si="10"/>
        <v>0</v>
      </c>
      <c r="M42" s="103">
        <f t="shared" si="10"/>
        <v>0</v>
      </c>
      <c r="N42" s="137" t="e">
        <f t="shared" si="3"/>
        <v>#DIV/0!</v>
      </c>
    </row>
    <row r="43" spans="1:14" ht="16.5" hidden="1" customHeight="1" x14ac:dyDescent="0.25">
      <c r="A43" s="266">
        <v>5031</v>
      </c>
      <c r="B43" s="83">
        <v>716100</v>
      </c>
      <c r="C43" s="84" t="s">
        <v>54</v>
      </c>
      <c r="D43" s="84"/>
      <c r="E43" s="106"/>
      <c r="F43" s="106"/>
      <c r="G43" s="106">
        <f t="shared" si="0"/>
        <v>0</v>
      </c>
      <c r="H43" s="106"/>
      <c r="I43" s="106"/>
      <c r="J43" s="106"/>
      <c r="K43" s="106"/>
      <c r="L43" s="106"/>
      <c r="M43" s="107"/>
      <c r="N43" s="137" t="e">
        <f t="shared" si="3"/>
        <v>#DIV/0!</v>
      </c>
    </row>
    <row r="44" spans="1:14" ht="16.5" hidden="1" customHeight="1" x14ac:dyDescent="0.25">
      <c r="A44" s="266">
        <v>5032</v>
      </c>
      <c r="B44" s="83">
        <v>716200</v>
      </c>
      <c r="C44" s="84" t="s">
        <v>55</v>
      </c>
      <c r="D44" s="84"/>
      <c r="E44" s="106"/>
      <c r="F44" s="106"/>
      <c r="G44" s="106">
        <f t="shared" si="0"/>
        <v>0</v>
      </c>
      <c r="H44" s="106"/>
      <c r="I44" s="106"/>
      <c r="J44" s="106"/>
      <c r="K44" s="106"/>
      <c r="L44" s="106"/>
      <c r="M44" s="107"/>
      <c r="N44" s="137" t="e">
        <f t="shared" si="3"/>
        <v>#DIV/0!</v>
      </c>
    </row>
    <row r="45" spans="1:14" ht="16.5" hidden="1" customHeight="1" x14ac:dyDescent="0.25">
      <c r="A45" s="265">
        <v>5033</v>
      </c>
      <c r="B45" s="251">
        <v>717000</v>
      </c>
      <c r="C45" s="82" t="s">
        <v>56</v>
      </c>
      <c r="D45" s="82">
        <f>SUM(D50:D55)</f>
        <v>0</v>
      </c>
      <c r="E45" s="102">
        <f>SUM(E50:E55)</f>
        <v>0</v>
      </c>
      <c r="F45" s="102">
        <f>SUM(F50:F55)</f>
        <v>0</v>
      </c>
      <c r="G45" s="102">
        <f t="shared" si="0"/>
        <v>0</v>
      </c>
      <c r="H45" s="102">
        <f t="shared" ref="H45:M45" si="11">SUM(H50:H55)</f>
        <v>0</v>
      </c>
      <c r="I45" s="102">
        <f t="shared" si="11"/>
        <v>0</v>
      </c>
      <c r="J45" s="102">
        <f t="shared" si="11"/>
        <v>0</v>
      </c>
      <c r="K45" s="102">
        <f t="shared" si="11"/>
        <v>0</v>
      </c>
      <c r="L45" s="102">
        <f t="shared" si="11"/>
        <v>0</v>
      </c>
      <c r="M45" s="103">
        <f t="shared" si="11"/>
        <v>0</v>
      </c>
      <c r="N45" s="137" t="e">
        <f t="shared" si="3"/>
        <v>#DIV/0!</v>
      </c>
    </row>
    <row r="46" spans="1:14" ht="16.5" hidden="1" customHeight="1" x14ac:dyDescent="0.25">
      <c r="A46" s="645" t="s">
        <v>0</v>
      </c>
      <c r="B46" s="646" t="s">
        <v>1</v>
      </c>
      <c r="C46" s="585" t="s">
        <v>2</v>
      </c>
      <c r="D46" s="254" t="s">
        <v>3</v>
      </c>
      <c r="E46" s="586" t="s">
        <v>3</v>
      </c>
      <c r="F46" s="255" t="s">
        <v>3</v>
      </c>
      <c r="G46" s="586" t="s">
        <v>4</v>
      </c>
      <c r="H46" s="586"/>
      <c r="I46" s="586"/>
      <c r="J46" s="586"/>
      <c r="K46" s="586"/>
      <c r="L46" s="586"/>
      <c r="M46" s="587"/>
      <c r="N46" s="137" t="e">
        <f t="shared" si="3"/>
        <v>#VALUE!</v>
      </c>
    </row>
    <row r="47" spans="1:14" ht="16.5" hidden="1" customHeight="1" x14ac:dyDescent="0.25">
      <c r="A47" s="645"/>
      <c r="B47" s="646"/>
      <c r="C47" s="585"/>
      <c r="D47" s="254"/>
      <c r="E47" s="586"/>
      <c r="F47" s="255"/>
      <c r="G47" s="585" t="s">
        <v>5</v>
      </c>
      <c r="H47" s="586" t="s">
        <v>6</v>
      </c>
      <c r="I47" s="586"/>
      <c r="J47" s="586"/>
      <c r="K47" s="586"/>
      <c r="L47" s="586" t="s">
        <v>7</v>
      </c>
      <c r="M47" s="587" t="s">
        <v>8</v>
      </c>
      <c r="N47" s="137" t="e">
        <f t="shared" si="3"/>
        <v>#VALUE!</v>
      </c>
    </row>
    <row r="48" spans="1:14" ht="16.5" hidden="1" customHeight="1" x14ac:dyDescent="0.25">
      <c r="A48" s="645"/>
      <c r="B48" s="646"/>
      <c r="C48" s="585"/>
      <c r="D48" s="254"/>
      <c r="E48" s="586"/>
      <c r="F48" s="255"/>
      <c r="G48" s="585"/>
      <c r="H48" s="255" t="s">
        <v>9</v>
      </c>
      <c r="I48" s="255" t="s">
        <v>10</v>
      </c>
      <c r="J48" s="255" t="s">
        <v>11</v>
      </c>
      <c r="K48" s="255" t="s">
        <v>12</v>
      </c>
      <c r="L48" s="586"/>
      <c r="M48" s="587"/>
      <c r="N48" s="137" t="e">
        <f t="shared" si="3"/>
        <v>#DIV/0!</v>
      </c>
    </row>
    <row r="49" spans="1:14" ht="16.5" hidden="1" customHeight="1" x14ac:dyDescent="0.25">
      <c r="A49" s="270" t="s">
        <v>18</v>
      </c>
      <c r="B49" s="95" t="s">
        <v>19</v>
      </c>
      <c r="C49" s="253" t="s">
        <v>20</v>
      </c>
      <c r="D49" s="253" t="s">
        <v>21</v>
      </c>
      <c r="E49" s="253" t="s">
        <v>21</v>
      </c>
      <c r="F49" s="253" t="s">
        <v>21</v>
      </c>
      <c r="G49" s="253" t="s">
        <v>22</v>
      </c>
      <c r="H49" s="253" t="s">
        <v>23</v>
      </c>
      <c r="I49" s="253" t="s">
        <v>24</v>
      </c>
      <c r="J49" s="253" t="s">
        <v>25</v>
      </c>
      <c r="K49" s="253" t="s">
        <v>26</v>
      </c>
      <c r="L49" s="253" t="s">
        <v>27</v>
      </c>
      <c r="M49" s="99" t="s">
        <v>28</v>
      </c>
      <c r="N49" s="137">
        <f t="shared" si="3"/>
        <v>1.25</v>
      </c>
    </row>
    <row r="50" spans="1:14" ht="16.5" hidden="1" customHeight="1" x14ac:dyDescent="0.25">
      <c r="A50" s="266">
        <v>5034</v>
      </c>
      <c r="B50" s="83">
        <v>717100</v>
      </c>
      <c r="C50" s="84" t="s">
        <v>57</v>
      </c>
      <c r="D50" s="84"/>
      <c r="E50" s="106"/>
      <c r="F50" s="106"/>
      <c r="G50" s="106">
        <f t="shared" si="0"/>
        <v>0</v>
      </c>
      <c r="H50" s="106"/>
      <c r="I50" s="106"/>
      <c r="J50" s="106"/>
      <c r="K50" s="106"/>
      <c r="L50" s="106"/>
      <c r="M50" s="107"/>
      <c r="N50" s="137" t="e">
        <f t="shared" si="3"/>
        <v>#DIV/0!</v>
      </c>
    </row>
    <row r="51" spans="1:14" ht="16.5" hidden="1" customHeight="1" x14ac:dyDescent="0.25">
      <c r="A51" s="266">
        <v>5035</v>
      </c>
      <c r="B51" s="83">
        <v>717200</v>
      </c>
      <c r="C51" s="84" t="s">
        <v>58</v>
      </c>
      <c r="D51" s="84"/>
      <c r="E51" s="106"/>
      <c r="F51" s="106"/>
      <c r="G51" s="106">
        <f t="shared" si="0"/>
        <v>0</v>
      </c>
      <c r="H51" s="106"/>
      <c r="I51" s="106"/>
      <c r="J51" s="106"/>
      <c r="K51" s="106"/>
      <c r="L51" s="106"/>
      <c r="M51" s="107"/>
      <c r="N51" s="137" t="e">
        <f t="shared" si="3"/>
        <v>#DIV/0!</v>
      </c>
    </row>
    <row r="52" spans="1:14" ht="16.5" hidden="1" customHeight="1" x14ac:dyDescent="0.25">
      <c r="A52" s="266">
        <v>5036</v>
      </c>
      <c r="B52" s="83">
        <v>717300</v>
      </c>
      <c r="C52" s="84" t="s">
        <v>59</v>
      </c>
      <c r="D52" s="84"/>
      <c r="E52" s="106"/>
      <c r="F52" s="106"/>
      <c r="G52" s="106">
        <f t="shared" si="0"/>
        <v>0</v>
      </c>
      <c r="H52" s="106"/>
      <c r="I52" s="106"/>
      <c r="J52" s="106"/>
      <c r="K52" s="106"/>
      <c r="L52" s="106"/>
      <c r="M52" s="107"/>
      <c r="N52" s="137" t="e">
        <f t="shared" si="3"/>
        <v>#DIV/0!</v>
      </c>
    </row>
    <row r="53" spans="1:14" ht="16.5" hidden="1" customHeight="1" x14ac:dyDescent="0.25">
      <c r="A53" s="266">
        <v>5037</v>
      </c>
      <c r="B53" s="83">
        <v>717400</v>
      </c>
      <c r="C53" s="84" t="s">
        <v>60</v>
      </c>
      <c r="D53" s="84"/>
      <c r="E53" s="106"/>
      <c r="F53" s="106"/>
      <c r="G53" s="106">
        <f t="shared" si="0"/>
        <v>0</v>
      </c>
      <c r="H53" s="106"/>
      <c r="I53" s="106"/>
      <c r="J53" s="106"/>
      <c r="K53" s="106"/>
      <c r="L53" s="106"/>
      <c r="M53" s="107"/>
      <c r="N53" s="137" t="e">
        <f t="shared" si="3"/>
        <v>#DIV/0!</v>
      </c>
    </row>
    <row r="54" spans="1:14" ht="16.5" hidden="1" customHeight="1" x14ac:dyDescent="0.25">
      <c r="A54" s="266">
        <v>5038</v>
      </c>
      <c r="B54" s="83">
        <v>717500</v>
      </c>
      <c r="C54" s="84" t="s">
        <v>61</v>
      </c>
      <c r="D54" s="84"/>
      <c r="E54" s="106"/>
      <c r="F54" s="106"/>
      <c r="G54" s="106">
        <f t="shared" si="0"/>
        <v>0</v>
      </c>
      <c r="H54" s="106"/>
      <c r="I54" s="106"/>
      <c r="J54" s="106"/>
      <c r="K54" s="106"/>
      <c r="L54" s="106"/>
      <c r="M54" s="107"/>
      <c r="N54" s="137" t="e">
        <f t="shared" si="3"/>
        <v>#DIV/0!</v>
      </c>
    </row>
    <row r="55" spans="1:14" ht="16.5" hidden="1" customHeight="1" x14ac:dyDescent="0.25">
      <c r="A55" s="266">
        <v>5039</v>
      </c>
      <c r="B55" s="83">
        <v>717600</v>
      </c>
      <c r="C55" s="84" t="s">
        <v>62</v>
      </c>
      <c r="D55" s="84"/>
      <c r="E55" s="106"/>
      <c r="F55" s="106"/>
      <c r="G55" s="106">
        <f t="shared" si="0"/>
        <v>0</v>
      </c>
      <c r="H55" s="106"/>
      <c r="I55" s="106"/>
      <c r="J55" s="106"/>
      <c r="K55" s="106"/>
      <c r="L55" s="106"/>
      <c r="M55" s="107"/>
      <c r="N55" s="137" t="e">
        <f t="shared" si="3"/>
        <v>#DIV/0!</v>
      </c>
    </row>
    <row r="56" spans="1:14" ht="16.5" hidden="1" customHeight="1" x14ac:dyDescent="0.25">
      <c r="A56" s="265">
        <v>5040</v>
      </c>
      <c r="B56" s="251">
        <v>719000</v>
      </c>
      <c r="C56" s="82" t="s">
        <v>63</v>
      </c>
      <c r="D56" s="82">
        <f>SUM(D57:D62)</f>
        <v>0</v>
      </c>
      <c r="E56" s="102">
        <f>SUM(E57:E62)</f>
        <v>0</v>
      </c>
      <c r="F56" s="102">
        <f>SUM(F57:F62)</f>
        <v>0</v>
      </c>
      <c r="G56" s="102">
        <f t="shared" si="0"/>
        <v>0</v>
      </c>
      <c r="H56" s="102">
        <f t="shared" ref="H56:M56" si="12">SUM(H57:H62)</f>
        <v>0</v>
      </c>
      <c r="I56" s="102">
        <f t="shared" si="12"/>
        <v>0</v>
      </c>
      <c r="J56" s="102">
        <f t="shared" si="12"/>
        <v>0</v>
      </c>
      <c r="K56" s="102">
        <f t="shared" si="12"/>
        <v>0</v>
      </c>
      <c r="L56" s="102">
        <f t="shared" si="12"/>
        <v>0</v>
      </c>
      <c r="M56" s="103">
        <f t="shared" si="12"/>
        <v>0</v>
      </c>
      <c r="N56" s="137" t="e">
        <f t="shared" si="3"/>
        <v>#DIV/0!</v>
      </c>
    </row>
    <row r="57" spans="1:14" ht="16.5" hidden="1" customHeight="1" x14ac:dyDescent="0.25">
      <c r="A57" s="266">
        <v>5041</v>
      </c>
      <c r="B57" s="83">
        <v>719100</v>
      </c>
      <c r="C57" s="84" t="s">
        <v>64</v>
      </c>
      <c r="D57" s="84"/>
      <c r="E57" s="106"/>
      <c r="F57" s="106"/>
      <c r="G57" s="106">
        <f t="shared" si="0"/>
        <v>0</v>
      </c>
      <c r="H57" s="106"/>
      <c r="I57" s="106"/>
      <c r="J57" s="106"/>
      <c r="K57" s="106"/>
      <c r="L57" s="106"/>
      <c r="M57" s="107"/>
      <c r="N57" s="137" t="e">
        <f t="shared" si="3"/>
        <v>#DIV/0!</v>
      </c>
    </row>
    <row r="58" spans="1:14" ht="16.5" hidden="1" customHeight="1" x14ac:dyDescent="0.25">
      <c r="A58" s="266">
        <v>5042</v>
      </c>
      <c r="B58" s="83">
        <v>719200</v>
      </c>
      <c r="C58" s="84" t="s">
        <v>65</v>
      </c>
      <c r="D58" s="84"/>
      <c r="E58" s="106"/>
      <c r="F58" s="106"/>
      <c r="G58" s="106">
        <f t="shared" si="0"/>
        <v>0</v>
      </c>
      <c r="H58" s="106"/>
      <c r="I58" s="106"/>
      <c r="J58" s="106"/>
      <c r="K58" s="106"/>
      <c r="L58" s="106"/>
      <c r="M58" s="107"/>
      <c r="N58" s="137" t="e">
        <f t="shared" si="3"/>
        <v>#DIV/0!</v>
      </c>
    </row>
    <row r="59" spans="1:14" ht="16.5" hidden="1" customHeight="1" x14ac:dyDescent="0.25">
      <c r="A59" s="266">
        <v>5043</v>
      </c>
      <c r="B59" s="83">
        <v>719300</v>
      </c>
      <c r="C59" s="84" t="s">
        <v>66</v>
      </c>
      <c r="D59" s="84"/>
      <c r="E59" s="106"/>
      <c r="F59" s="106"/>
      <c r="G59" s="106">
        <f t="shared" si="0"/>
        <v>0</v>
      </c>
      <c r="H59" s="106"/>
      <c r="I59" s="106"/>
      <c r="J59" s="106"/>
      <c r="K59" s="106"/>
      <c r="L59" s="106"/>
      <c r="M59" s="107"/>
      <c r="N59" s="137" t="e">
        <f t="shared" si="3"/>
        <v>#DIV/0!</v>
      </c>
    </row>
    <row r="60" spans="1:14" ht="16.5" hidden="1" customHeight="1" x14ac:dyDescent="0.25">
      <c r="A60" s="266">
        <v>5044</v>
      </c>
      <c r="B60" s="83">
        <v>719400</v>
      </c>
      <c r="C60" s="84" t="s">
        <v>67</v>
      </c>
      <c r="D60" s="84"/>
      <c r="E60" s="106"/>
      <c r="F60" s="106"/>
      <c r="G60" s="106">
        <f t="shared" si="0"/>
        <v>0</v>
      </c>
      <c r="H60" s="106"/>
      <c r="I60" s="106"/>
      <c r="J60" s="106"/>
      <c r="K60" s="106"/>
      <c r="L60" s="106"/>
      <c r="M60" s="107"/>
      <c r="N60" s="137" t="e">
        <f t="shared" si="3"/>
        <v>#DIV/0!</v>
      </c>
    </row>
    <row r="61" spans="1:14" ht="16.5" hidden="1" customHeight="1" x14ac:dyDescent="0.25">
      <c r="A61" s="266">
        <v>5045</v>
      </c>
      <c r="B61" s="83">
        <v>719500</v>
      </c>
      <c r="C61" s="84" t="s">
        <v>68</v>
      </c>
      <c r="D61" s="84"/>
      <c r="E61" s="106"/>
      <c r="F61" s="106"/>
      <c r="G61" s="106">
        <f t="shared" si="0"/>
        <v>0</v>
      </c>
      <c r="H61" s="106"/>
      <c r="I61" s="106"/>
      <c r="J61" s="106"/>
      <c r="K61" s="106"/>
      <c r="L61" s="106"/>
      <c r="M61" s="107"/>
      <c r="N61" s="137" t="e">
        <f t="shared" si="3"/>
        <v>#DIV/0!</v>
      </c>
    </row>
    <row r="62" spans="1:14" ht="16.5" hidden="1" customHeight="1" x14ac:dyDescent="0.25">
      <c r="A62" s="266">
        <v>5046</v>
      </c>
      <c r="B62" s="83">
        <v>719600</v>
      </c>
      <c r="C62" s="84" t="s">
        <v>69</v>
      </c>
      <c r="D62" s="84"/>
      <c r="E62" s="106"/>
      <c r="F62" s="106"/>
      <c r="G62" s="106">
        <f t="shared" si="0"/>
        <v>0</v>
      </c>
      <c r="H62" s="106"/>
      <c r="I62" s="106"/>
      <c r="J62" s="106"/>
      <c r="K62" s="106"/>
      <c r="L62" s="106"/>
      <c r="M62" s="107"/>
      <c r="N62" s="137" t="e">
        <f t="shared" si="3"/>
        <v>#DIV/0!</v>
      </c>
    </row>
    <row r="63" spans="1:14" ht="16.5" hidden="1" customHeight="1" x14ac:dyDescent="0.25">
      <c r="A63" s="265">
        <v>5047</v>
      </c>
      <c r="B63" s="251">
        <v>720000</v>
      </c>
      <c r="C63" s="82" t="s">
        <v>70</v>
      </c>
      <c r="D63" s="82">
        <f>D64+D69</f>
        <v>0</v>
      </c>
      <c r="E63" s="100">
        <f>E64+E69</f>
        <v>0</v>
      </c>
      <c r="F63" s="100">
        <f>F64+F69</f>
        <v>0</v>
      </c>
      <c r="G63" s="100">
        <f t="shared" si="0"/>
        <v>0</v>
      </c>
      <c r="H63" s="100">
        <f t="shared" ref="H63:M63" si="13">H64+H69</f>
        <v>0</v>
      </c>
      <c r="I63" s="100">
        <f t="shared" si="13"/>
        <v>0</v>
      </c>
      <c r="J63" s="100">
        <f t="shared" si="13"/>
        <v>0</v>
      </c>
      <c r="K63" s="100">
        <f t="shared" si="13"/>
        <v>0</v>
      </c>
      <c r="L63" s="100">
        <f t="shared" si="13"/>
        <v>0</v>
      </c>
      <c r="M63" s="101">
        <f t="shared" si="13"/>
        <v>0</v>
      </c>
      <c r="N63" s="137" t="e">
        <f t="shared" si="3"/>
        <v>#DIV/0!</v>
      </c>
    </row>
    <row r="64" spans="1:14" ht="16.5" hidden="1" customHeight="1" x14ac:dyDescent="0.25">
      <c r="A64" s="265">
        <v>5048</v>
      </c>
      <c r="B64" s="251">
        <v>721000</v>
      </c>
      <c r="C64" s="82" t="s">
        <v>71</v>
      </c>
      <c r="D64" s="82">
        <f>SUM(D65:D68)</f>
        <v>0</v>
      </c>
      <c r="E64" s="100">
        <f>SUM(E65:E68)</f>
        <v>0</v>
      </c>
      <c r="F64" s="100">
        <f>SUM(F65:F68)</f>
        <v>0</v>
      </c>
      <c r="G64" s="100">
        <f t="shared" si="0"/>
        <v>0</v>
      </c>
      <c r="H64" s="100">
        <f t="shared" ref="H64:M64" si="14">SUM(H65:H68)</f>
        <v>0</v>
      </c>
      <c r="I64" s="100">
        <f t="shared" si="14"/>
        <v>0</v>
      </c>
      <c r="J64" s="100">
        <f t="shared" si="14"/>
        <v>0</v>
      </c>
      <c r="K64" s="100">
        <f t="shared" si="14"/>
        <v>0</v>
      </c>
      <c r="L64" s="100">
        <f t="shared" si="14"/>
        <v>0</v>
      </c>
      <c r="M64" s="101">
        <f t="shared" si="14"/>
        <v>0</v>
      </c>
      <c r="N64" s="137" t="e">
        <f t="shared" si="3"/>
        <v>#DIV/0!</v>
      </c>
    </row>
    <row r="65" spans="1:14" ht="16.5" hidden="1" customHeight="1" x14ac:dyDescent="0.25">
      <c r="A65" s="266">
        <v>5049</v>
      </c>
      <c r="B65" s="83">
        <v>721100</v>
      </c>
      <c r="C65" s="84" t="s">
        <v>72</v>
      </c>
      <c r="D65" s="84"/>
      <c r="E65" s="108"/>
      <c r="F65" s="108"/>
      <c r="G65" s="109">
        <f t="shared" si="0"/>
        <v>0</v>
      </c>
      <c r="H65" s="108"/>
      <c r="I65" s="108"/>
      <c r="J65" s="108"/>
      <c r="K65" s="108"/>
      <c r="L65" s="108"/>
      <c r="M65" s="110"/>
      <c r="N65" s="137" t="e">
        <f t="shared" si="3"/>
        <v>#DIV/0!</v>
      </c>
    </row>
    <row r="66" spans="1:14" ht="16.5" hidden="1" customHeight="1" x14ac:dyDescent="0.25">
      <c r="A66" s="266">
        <v>5050</v>
      </c>
      <c r="B66" s="83">
        <v>721200</v>
      </c>
      <c r="C66" s="84" t="s">
        <v>73</v>
      </c>
      <c r="D66" s="84"/>
      <c r="E66" s="108"/>
      <c r="F66" s="108"/>
      <c r="G66" s="109">
        <f t="shared" si="0"/>
        <v>0</v>
      </c>
      <c r="H66" s="108"/>
      <c r="I66" s="108"/>
      <c r="J66" s="108"/>
      <c r="K66" s="108"/>
      <c r="L66" s="108"/>
      <c r="M66" s="110"/>
      <c r="N66" s="137" t="e">
        <f t="shared" si="3"/>
        <v>#DIV/0!</v>
      </c>
    </row>
    <row r="67" spans="1:14" ht="16.5" hidden="1" customHeight="1" x14ac:dyDescent="0.25">
      <c r="A67" s="266">
        <v>5051</v>
      </c>
      <c r="B67" s="83">
        <v>721300</v>
      </c>
      <c r="C67" s="84" t="s">
        <v>74</v>
      </c>
      <c r="D67" s="84"/>
      <c r="E67" s="108"/>
      <c r="F67" s="108"/>
      <c r="G67" s="109">
        <f t="shared" si="0"/>
        <v>0</v>
      </c>
      <c r="H67" s="108"/>
      <c r="I67" s="108"/>
      <c r="J67" s="108"/>
      <c r="K67" s="108"/>
      <c r="L67" s="108"/>
      <c r="M67" s="110"/>
      <c r="N67" s="137" t="e">
        <f t="shared" si="3"/>
        <v>#DIV/0!</v>
      </c>
    </row>
    <row r="68" spans="1:14" ht="16.5" hidden="1" customHeight="1" x14ac:dyDescent="0.25">
      <c r="A68" s="266">
        <v>5052</v>
      </c>
      <c r="B68" s="83">
        <v>721400</v>
      </c>
      <c r="C68" s="84" t="s">
        <v>75</v>
      </c>
      <c r="D68" s="84"/>
      <c r="E68" s="108"/>
      <c r="F68" s="108"/>
      <c r="G68" s="109">
        <f t="shared" si="0"/>
        <v>0</v>
      </c>
      <c r="H68" s="108"/>
      <c r="I68" s="108"/>
      <c r="J68" s="108"/>
      <c r="K68" s="108"/>
      <c r="L68" s="108"/>
      <c r="M68" s="110"/>
      <c r="N68" s="137" t="e">
        <f t="shared" si="3"/>
        <v>#DIV/0!</v>
      </c>
    </row>
    <row r="69" spans="1:14" ht="16.5" hidden="1" customHeight="1" x14ac:dyDescent="0.25">
      <c r="A69" s="265">
        <v>5053</v>
      </c>
      <c r="B69" s="251">
        <v>722000</v>
      </c>
      <c r="C69" s="82" t="s">
        <v>76</v>
      </c>
      <c r="D69" s="82">
        <f>SUM(D70:D72)</f>
        <v>0</v>
      </c>
      <c r="E69" s="100">
        <f>SUM(E70:E72)</f>
        <v>0</v>
      </c>
      <c r="F69" s="100">
        <f>SUM(F70:F72)</f>
        <v>0</v>
      </c>
      <c r="G69" s="100">
        <f t="shared" si="0"/>
        <v>0</v>
      </c>
      <c r="H69" s="100">
        <f t="shared" ref="H69:M69" si="15">SUM(H70:H72)</f>
        <v>0</v>
      </c>
      <c r="I69" s="100">
        <f t="shared" si="15"/>
        <v>0</v>
      </c>
      <c r="J69" s="100">
        <f t="shared" si="15"/>
        <v>0</v>
      </c>
      <c r="K69" s="100">
        <f t="shared" si="15"/>
        <v>0</v>
      </c>
      <c r="L69" s="100">
        <f t="shared" si="15"/>
        <v>0</v>
      </c>
      <c r="M69" s="101">
        <f t="shared" si="15"/>
        <v>0</v>
      </c>
      <c r="N69" s="137" t="e">
        <f t="shared" si="3"/>
        <v>#DIV/0!</v>
      </c>
    </row>
    <row r="70" spans="1:14" ht="16.5" hidden="1" customHeight="1" x14ac:dyDescent="0.25">
      <c r="A70" s="266">
        <v>5054</v>
      </c>
      <c r="B70" s="83">
        <v>722100</v>
      </c>
      <c r="C70" s="84" t="s">
        <v>77</v>
      </c>
      <c r="D70" s="84"/>
      <c r="E70" s="108"/>
      <c r="F70" s="108"/>
      <c r="G70" s="109">
        <f t="shared" si="0"/>
        <v>0</v>
      </c>
      <c r="H70" s="108"/>
      <c r="I70" s="108"/>
      <c r="J70" s="108"/>
      <c r="K70" s="108"/>
      <c r="L70" s="108"/>
      <c r="M70" s="110"/>
      <c r="N70" s="137" t="e">
        <f t="shared" si="3"/>
        <v>#DIV/0!</v>
      </c>
    </row>
    <row r="71" spans="1:14" ht="16.5" hidden="1" customHeight="1" x14ac:dyDescent="0.25">
      <c r="A71" s="266">
        <v>5055</v>
      </c>
      <c r="B71" s="83">
        <v>722200</v>
      </c>
      <c r="C71" s="84" t="s">
        <v>78</v>
      </c>
      <c r="D71" s="84"/>
      <c r="E71" s="108"/>
      <c r="F71" s="108"/>
      <c r="G71" s="109">
        <f t="shared" si="0"/>
        <v>0</v>
      </c>
      <c r="H71" s="108"/>
      <c r="I71" s="108"/>
      <c r="J71" s="108"/>
      <c r="K71" s="108"/>
      <c r="L71" s="108"/>
      <c r="M71" s="110"/>
      <c r="N71" s="137" t="e">
        <f t="shared" si="3"/>
        <v>#DIV/0!</v>
      </c>
    </row>
    <row r="72" spans="1:14" ht="16.5" hidden="1" customHeight="1" x14ac:dyDescent="0.25">
      <c r="A72" s="266">
        <v>5056</v>
      </c>
      <c r="B72" s="83">
        <v>722300</v>
      </c>
      <c r="C72" s="84" t="s">
        <v>79</v>
      </c>
      <c r="D72" s="84"/>
      <c r="E72" s="108"/>
      <c r="F72" s="108"/>
      <c r="G72" s="109">
        <f t="shared" si="0"/>
        <v>0</v>
      </c>
      <c r="H72" s="108"/>
      <c r="I72" s="108"/>
      <c r="J72" s="108"/>
      <c r="K72" s="108"/>
      <c r="L72" s="108"/>
      <c r="M72" s="110"/>
      <c r="N72" s="137" t="e">
        <f t="shared" si="3"/>
        <v>#DIV/0!</v>
      </c>
    </row>
    <row r="73" spans="1:14" ht="16.5" hidden="1" customHeight="1" x14ac:dyDescent="0.25">
      <c r="A73" s="645" t="s">
        <v>0</v>
      </c>
      <c r="B73" s="646" t="s">
        <v>1</v>
      </c>
      <c r="C73" s="585" t="s">
        <v>2</v>
      </c>
      <c r="D73" s="254" t="s">
        <v>3</v>
      </c>
      <c r="E73" s="575" t="s">
        <v>3</v>
      </c>
      <c r="F73" s="252" t="s">
        <v>3</v>
      </c>
      <c r="G73" s="575" t="s">
        <v>4</v>
      </c>
      <c r="H73" s="575"/>
      <c r="I73" s="575"/>
      <c r="J73" s="575"/>
      <c r="K73" s="575"/>
      <c r="L73" s="575"/>
      <c r="M73" s="582"/>
      <c r="N73" s="137" t="e">
        <f t="shared" si="3"/>
        <v>#VALUE!</v>
      </c>
    </row>
    <row r="74" spans="1:14" ht="16.5" hidden="1" customHeight="1" x14ac:dyDescent="0.25">
      <c r="A74" s="645"/>
      <c r="B74" s="646"/>
      <c r="C74" s="585"/>
      <c r="D74" s="254"/>
      <c r="E74" s="575"/>
      <c r="F74" s="252"/>
      <c r="G74" s="581" t="s">
        <v>5</v>
      </c>
      <c r="H74" s="575" t="s">
        <v>6</v>
      </c>
      <c r="I74" s="575"/>
      <c r="J74" s="575"/>
      <c r="K74" s="575"/>
      <c r="L74" s="575" t="s">
        <v>7</v>
      </c>
      <c r="M74" s="582" t="s">
        <v>8</v>
      </c>
      <c r="N74" s="137" t="e">
        <f t="shared" ref="N74:N137" si="16">G74/F74</f>
        <v>#VALUE!</v>
      </c>
    </row>
    <row r="75" spans="1:14" ht="16.5" hidden="1" customHeight="1" x14ac:dyDescent="0.25">
      <c r="A75" s="645"/>
      <c r="B75" s="646"/>
      <c r="C75" s="585"/>
      <c r="D75" s="254"/>
      <c r="E75" s="575"/>
      <c r="F75" s="252"/>
      <c r="G75" s="581"/>
      <c r="H75" s="252" t="s">
        <v>9</v>
      </c>
      <c r="I75" s="252" t="s">
        <v>10</v>
      </c>
      <c r="J75" s="252" t="s">
        <v>11</v>
      </c>
      <c r="K75" s="252" t="s">
        <v>12</v>
      </c>
      <c r="L75" s="575"/>
      <c r="M75" s="582"/>
      <c r="N75" s="137" t="e">
        <f t="shared" si="16"/>
        <v>#DIV/0!</v>
      </c>
    </row>
    <row r="76" spans="1:14" ht="16.5" hidden="1" customHeight="1" x14ac:dyDescent="0.25">
      <c r="A76" s="270" t="s">
        <v>18</v>
      </c>
      <c r="B76" s="95" t="s">
        <v>19</v>
      </c>
      <c r="C76" s="253" t="s">
        <v>20</v>
      </c>
      <c r="D76" s="253" t="s">
        <v>21</v>
      </c>
      <c r="E76" s="86" t="s">
        <v>21</v>
      </c>
      <c r="F76" s="86" t="s">
        <v>21</v>
      </c>
      <c r="G76" s="86" t="s">
        <v>22</v>
      </c>
      <c r="H76" s="86" t="s">
        <v>23</v>
      </c>
      <c r="I76" s="86" t="s">
        <v>24</v>
      </c>
      <c r="J76" s="86" t="s">
        <v>25</v>
      </c>
      <c r="K76" s="86" t="s">
        <v>26</v>
      </c>
      <c r="L76" s="86" t="s">
        <v>27</v>
      </c>
      <c r="M76" s="98" t="s">
        <v>28</v>
      </c>
      <c r="N76" s="137">
        <f t="shared" si="16"/>
        <v>1.25</v>
      </c>
    </row>
    <row r="77" spans="1:14" ht="16.5" hidden="1" customHeight="1" x14ac:dyDescent="0.25">
      <c r="A77" s="265">
        <v>5057</v>
      </c>
      <c r="B77" s="251">
        <v>730000</v>
      </c>
      <c r="C77" s="82" t="s">
        <v>80</v>
      </c>
      <c r="D77" s="82">
        <f>D78+D81+D86</f>
        <v>0</v>
      </c>
      <c r="E77" s="100">
        <f>E78+E81+E86</f>
        <v>0</v>
      </c>
      <c r="F77" s="100">
        <f>F78+F81+F86</f>
        <v>0</v>
      </c>
      <c r="G77" s="100">
        <f t="shared" ref="G77:G86" si="17">SUM(H77:M77)</f>
        <v>0</v>
      </c>
      <c r="H77" s="100">
        <f t="shared" ref="H77:M77" si="18">H78+H81+H86</f>
        <v>0</v>
      </c>
      <c r="I77" s="100">
        <f t="shared" si="18"/>
        <v>0</v>
      </c>
      <c r="J77" s="100">
        <f t="shared" si="18"/>
        <v>0</v>
      </c>
      <c r="K77" s="100">
        <f t="shared" si="18"/>
        <v>0</v>
      </c>
      <c r="L77" s="100">
        <f t="shared" si="18"/>
        <v>0</v>
      </c>
      <c r="M77" s="101">
        <f t="shared" si="18"/>
        <v>0</v>
      </c>
      <c r="N77" s="137" t="e">
        <f t="shared" si="16"/>
        <v>#DIV/0!</v>
      </c>
    </row>
    <row r="78" spans="1:14" ht="16.5" hidden="1" customHeight="1" x14ac:dyDescent="0.25">
      <c r="A78" s="265">
        <v>5058</v>
      </c>
      <c r="B78" s="251">
        <v>731000</v>
      </c>
      <c r="C78" s="82" t="s">
        <v>81</v>
      </c>
      <c r="D78" s="82">
        <f>D79+D80</f>
        <v>0</v>
      </c>
      <c r="E78" s="100">
        <f>E79+E80</f>
        <v>0</v>
      </c>
      <c r="F78" s="100">
        <f>F79+F80</f>
        <v>0</v>
      </c>
      <c r="G78" s="100">
        <f t="shared" si="17"/>
        <v>0</v>
      </c>
      <c r="H78" s="100">
        <f t="shared" ref="H78:M78" si="19">H79+H80</f>
        <v>0</v>
      </c>
      <c r="I78" s="100">
        <f t="shared" si="19"/>
        <v>0</v>
      </c>
      <c r="J78" s="100">
        <f t="shared" si="19"/>
        <v>0</v>
      </c>
      <c r="K78" s="100">
        <f t="shared" si="19"/>
        <v>0</v>
      </c>
      <c r="L78" s="100">
        <f t="shared" si="19"/>
        <v>0</v>
      </c>
      <c r="M78" s="101">
        <f t="shared" si="19"/>
        <v>0</v>
      </c>
      <c r="N78" s="137" t="e">
        <f t="shared" si="16"/>
        <v>#DIV/0!</v>
      </c>
    </row>
    <row r="79" spans="1:14" ht="16.5" hidden="1" customHeight="1" x14ac:dyDescent="0.25">
      <c r="A79" s="266">
        <v>5059</v>
      </c>
      <c r="B79" s="83">
        <v>731100</v>
      </c>
      <c r="C79" s="84" t="s">
        <v>82</v>
      </c>
      <c r="D79" s="84"/>
      <c r="E79" s="108"/>
      <c r="F79" s="108"/>
      <c r="G79" s="109">
        <f t="shared" si="17"/>
        <v>0</v>
      </c>
      <c r="H79" s="108"/>
      <c r="I79" s="108"/>
      <c r="J79" s="108"/>
      <c r="K79" s="108"/>
      <c r="L79" s="108"/>
      <c r="M79" s="110"/>
      <c r="N79" s="137" t="e">
        <f t="shared" si="16"/>
        <v>#DIV/0!</v>
      </c>
    </row>
    <row r="80" spans="1:14" ht="16.5" hidden="1" customHeight="1" x14ac:dyDescent="0.25">
      <c r="A80" s="266">
        <v>5060</v>
      </c>
      <c r="B80" s="83">
        <v>731200</v>
      </c>
      <c r="C80" s="84" t="s">
        <v>83</v>
      </c>
      <c r="D80" s="84"/>
      <c r="E80" s="108"/>
      <c r="F80" s="108"/>
      <c r="G80" s="109">
        <f t="shared" si="17"/>
        <v>0</v>
      </c>
      <c r="H80" s="108"/>
      <c r="I80" s="108"/>
      <c r="J80" s="108"/>
      <c r="K80" s="108"/>
      <c r="L80" s="108"/>
      <c r="M80" s="110"/>
      <c r="N80" s="137" t="e">
        <f t="shared" si="16"/>
        <v>#DIV/0!</v>
      </c>
    </row>
    <row r="81" spans="1:14" ht="16.5" hidden="1" customHeight="1" x14ac:dyDescent="0.25">
      <c r="A81" s="265">
        <v>5061</v>
      </c>
      <c r="B81" s="251">
        <v>732000</v>
      </c>
      <c r="C81" s="82" t="s">
        <v>84</v>
      </c>
      <c r="D81" s="82">
        <f>D82+D83+D84+D85</f>
        <v>0</v>
      </c>
      <c r="E81" s="100">
        <f>E82+E83+E84+E85</f>
        <v>0</v>
      </c>
      <c r="F81" s="100">
        <f>F82+F83+F84+F85</f>
        <v>0</v>
      </c>
      <c r="G81" s="100">
        <f t="shared" si="17"/>
        <v>0</v>
      </c>
      <c r="H81" s="100">
        <f t="shared" ref="H81:M81" si="20">H82+H83+H84+H85</f>
        <v>0</v>
      </c>
      <c r="I81" s="100">
        <f t="shared" si="20"/>
        <v>0</v>
      </c>
      <c r="J81" s="100">
        <f t="shared" si="20"/>
        <v>0</v>
      </c>
      <c r="K81" s="100">
        <f t="shared" si="20"/>
        <v>0</v>
      </c>
      <c r="L81" s="100">
        <f t="shared" si="20"/>
        <v>0</v>
      </c>
      <c r="M81" s="101">
        <f t="shared" si="20"/>
        <v>0</v>
      </c>
      <c r="N81" s="137" t="e">
        <f t="shared" si="16"/>
        <v>#DIV/0!</v>
      </c>
    </row>
    <row r="82" spans="1:14" ht="16.5" hidden="1" customHeight="1" x14ac:dyDescent="0.25">
      <c r="A82" s="266">
        <v>5062</v>
      </c>
      <c r="B82" s="83">
        <v>732100</v>
      </c>
      <c r="C82" s="84" t="s">
        <v>85</v>
      </c>
      <c r="D82" s="84"/>
      <c r="E82" s="108"/>
      <c r="F82" s="108"/>
      <c r="G82" s="109">
        <f t="shared" si="17"/>
        <v>0</v>
      </c>
      <c r="H82" s="108"/>
      <c r="I82" s="108"/>
      <c r="J82" s="108"/>
      <c r="K82" s="108"/>
      <c r="L82" s="108"/>
      <c r="M82" s="110"/>
      <c r="N82" s="137" t="e">
        <f t="shared" si="16"/>
        <v>#DIV/0!</v>
      </c>
    </row>
    <row r="83" spans="1:14" ht="16.5" hidden="1" customHeight="1" x14ac:dyDescent="0.25">
      <c r="A83" s="266">
        <v>5063</v>
      </c>
      <c r="B83" s="83">
        <v>732200</v>
      </c>
      <c r="C83" s="84" t="s">
        <v>86</v>
      </c>
      <c r="D83" s="84"/>
      <c r="E83" s="108"/>
      <c r="F83" s="108"/>
      <c r="G83" s="109">
        <f t="shared" si="17"/>
        <v>0</v>
      </c>
      <c r="H83" s="108"/>
      <c r="I83" s="108"/>
      <c r="J83" s="108"/>
      <c r="K83" s="108"/>
      <c r="L83" s="108"/>
      <c r="M83" s="110"/>
      <c r="N83" s="137" t="e">
        <f t="shared" si="16"/>
        <v>#DIV/0!</v>
      </c>
    </row>
    <row r="84" spans="1:14" ht="16.5" hidden="1" customHeight="1" x14ac:dyDescent="0.25">
      <c r="A84" s="266">
        <v>5064</v>
      </c>
      <c r="B84" s="83">
        <v>732300</v>
      </c>
      <c r="C84" s="84" t="s">
        <v>87</v>
      </c>
      <c r="D84" s="84"/>
      <c r="E84" s="108"/>
      <c r="F84" s="108"/>
      <c r="G84" s="109">
        <f t="shared" si="17"/>
        <v>0</v>
      </c>
      <c r="H84" s="108"/>
      <c r="I84" s="108"/>
      <c r="J84" s="108"/>
      <c r="K84" s="108"/>
      <c r="L84" s="108"/>
      <c r="M84" s="110"/>
      <c r="N84" s="137" t="e">
        <f t="shared" si="16"/>
        <v>#DIV/0!</v>
      </c>
    </row>
    <row r="85" spans="1:14" ht="16.5" hidden="1" customHeight="1" x14ac:dyDescent="0.25">
      <c r="A85" s="266">
        <v>5065</v>
      </c>
      <c r="B85" s="83">
        <v>732400</v>
      </c>
      <c r="C85" s="84" t="s">
        <v>88</v>
      </c>
      <c r="D85" s="84"/>
      <c r="E85" s="108"/>
      <c r="F85" s="108"/>
      <c r="G85" s="109">
        <f t="shared" si="17"/>
        <v>0</v>
      </c>
      <c r="H85" s="108"/>
      <c r="I85" s="108"/>
      <c r="J85" s="108"/>
      <c r="K85" s="108"/>
      <c r="L85" s="108"/>
      <c r="M85" s="110"/>
      <c r="N85" s="137" t="e">
        <f t="shared" si="16"/>
        <v>#DIV/0!</v>
      </c>
    </row>
    <row r="86" spans="1:14" ht="16.5" hidden="1" customHeight="1" x14ac:dyDescent="0.25">
      <c r="A86" s="265">
        <v>5066</v>
      </c>
      <c r="B86" s="251">
        <v>733000</v>
      </c>
      <c r="C86" s="82" t="s">
        <v>89</v>
      </c>
      <c r="D86" s="82">
        <f>D87+D88</f>
        <v>0</v>
      </c>
      <c r="E86" s="100">
        <f>E87+E88</f>
        <v>0</v>
      </c>
      <c r="F86" s="100">
        <f>F87+F88</f>
        <v>0</v>
      </c>
      <c r="G86" s="100">
        <f t="shared" si="17"/>
        <v>0</v>
      </c>
      <c r="H86" s="100">
        <f t="shared" ref="H86:M86" si="21">H87+H88</f>
        <v>0</v>
      </c>
      <c r="I86" s="100">
        <f t="shared" si="21"/>
        <v>0</v>
      </c>
      <c r="J86" s="100">
        <f t="shared" si="21"/>
        <v>0</v>
      </c>
      <c r="K86" s="100">
        <f t="shared" si="21"/>
        <v>0</v>
      </c>
      <c r="L86" s="100">
        <f t="shared" si="21"/>
        <v>0</v>
      </c>
      <c r="M86" s="101">
        <f t="shared" si="21"/>
        <v>0</v>
      </c>
      <c r="N86" s="137" t="e">
        <f t="shared" si="16"/>
        <v>#DIV/0!</v>
      </c>
    </row>
    <row r="87" spans="1:14" ht="16.5" hidden="1" customHeight="1" x14ac:dyDescent="0.25">
      <c r="A87" s="266">
        <v>5067</v>
      </c>
      <c r="B87" s="83">
        <v>733100</v>
      </c>
      <c r="C87" s="84" t="s">
        <v>90</v>
      </c>
      <c r="D87" s="84"/>
      <c r="E87" s="108"/>
      <c r="F87" s="108"/>
      <c r="G87" s="109">
        <f t="shared" ref="G87:G122" si="22">SUM(H87:M87)</f>
        <v>0</v>
      </c>
      <c r="H87" s="108"/>
      <c r="I87" s="108"/>
      <c r="J87" s="108"/>
      <c r="K87" s="108"/>
      <c r="L87" s="108"/>
      <c r="M87" s="110"/>
      <c r="N87" s="137" t="e">
        <f t="shared" si="16"/>
        <v>#DIV/0!</v>
      </c>
    </row>
    <row r="88" spans="1:14" ht="16.5" hidden="1" customHeight="1" x14ac:dyDescent="0.25">
      <c r="A88" s="266">
        <v>5068</v>
      </c>
      <c r="B88" s="83">
        <v>733200</v>
      </c>
      <c r="C88" s="84" t="s">
        <v>91</v>
      </c>
      <c r="D88" s="84"/>
      <c r="E88" s="108"/>
      <c r="F88" s="108"/>
      <c r="G88" s="109">
        <f t="shared" si="22"/>
        <v>0</v>
      </c>
      <c r="H88" s="108"/>
      <c r="I88" s="108"/>
      <c r="J88" s="108"/>
      <c r="K88" s="108"/>
      <c r="L88" s="108"/>
      <c r="M88" s="110"/>
      <c r="N88" s="137" t="e">
        <f t="shared" si="16"/>
        <v>#DIV/0!</v>
      </c>
    </row>
    <row r="89" spans="1:14" ht="12.75" customHeight="1" x14ac:dyDescent="0.25">
      <c r="A89" s="265">
        <v>5069</v>
      </c>
      <c r="B89" s="251">
        <v>740000</v>
      </c>
      <c r="C89" s="82" t="s">
        <v>92</v>
      </c>
      <c r="D89" s="82">
        <f>D90+D97+D102+D113+D116</f>
        <v>0</v>
      </c>
      <c r="E89" s="100">
        <f>E90+E97+E102+E113+E116</f>
        <v>15151</v>
      </c>
      <c r="F89" s="100">
        <f>F90+F97+F102+F113+F116</f>
        <v>15151</v>
      </c>
      <c r="G89" s="100">
        <f t="shared" si="22"/>
        <v>14865</v>
      </c>
      <c r="H89" s="100">
        <f t="shared" ref="H89:M89" si="23">H90+H97+H102+H113+H116</f>
        <v>707</v>
      </c>
      <c r="I89" s="100">
        <f t="shared" si="23"/>
        <v>0</v>
      </c>
      <c r="J89" s="100">
        <f t="shared" si="23"/>
        <v>0</v>
      </c>
      <c r="K89" s="100">
        <f t="shared" si="23"/>
        <v>1708</v>
      </c>
      <c r="L89" s="100">
        <f t="shared" si="23"/>
        <v>0</v>
      </c>
      <c r="M89" s="101">
        <f t="shared" si="23"/>
        <v>12450</v>
      </c>
      <c r="N89" s="137">
        <f t="shared" si="16"/>
        <v>0.98112335819417862</v>
      </c>
    </row>
    <row r="90" spans="1:14" ht="12.75" customHeight="1" x14ac:dyDescent="0.25">
      <c r="A90" s="265">
        <v>5070</v>
      </c>
      <c r="B90" s="251">
        <v>741000</v>
      </c>
      <c r="C90" s="82" t="s">
        <v>93</v>
      </c>
      <c r="D90" s="82">
        <f>SUM(D91:D96)</f>
        <v>0</v>
      </c>
      <c r="E90" s="100">
        <f>SUM(E91:E96)</f>
        <v>1131</v>
      </c>
      <c r="F90" s="100">
        <f>SUM(F91:F96)</f>
        <v>1131</v>
      </c>
      <c r="G90" s="100">
        <f t="shared" si="22"/>
        <v>1708</v>
      </c>
      <c r="H90" s="100">
        <f t="shared" ref="H90:M90" si="24">SUM(H91:H96)</f>
        <v>0</v>
      </c>
      <c r="I90" s="100">
        <f t="shared" si="24"/>
        <v>0</v>
      </c>
      <c r="J90" s="100">
        <f t="shared" si="24"/>
        <v>0</v>
      </c>
      <c r="K90" s="100">
        <f t="shared" si="24"/>
        <v>1708</v>
      </c>
      <c r="L90" s="100">
        <f t="shared" si="24"/>
        <v>0</v>
      </c>
      <c r="M90" s="101">
        <f t="shared" si="24"/>
        <v>0</v>
      </c>
      <c r="N90" s="137">
        <f t="shared" si="16"/>
        <v>1.5101679929266136</v>
      </c>
    </row>
    <row r="91" spans="1:14" ht="16.5" hidden="1" customHeight="1" x14ac:dyDescent="0.25">
      <c r="A91" s="266">
        <v>5071</v>
      </c>
      <c r="B91" s="83">
        <v>741100</v>
      </c>
      <c r="C91" s="84" t="s">
        <v>94</v>
      </c>
      <c r="D91" s="84"/>
      <c r="E91" s="108"/>
      <c r="F91" s="108"/>
      <c r="G91" s="109">
        <f t="shared" si="22"/>
        <v>0</v>
      </c>
      <c r="H91" s="108"/>
      <c r="I91" s="108"/>
      <c r="J91" s="108"/>
      <c r="K91" s="108"/>
      <c r="L91" s="108"/>
      <c r="M91" s="110"/>
      <c r="N91" s="137" t="e">
        <f t="shared" si="16"/>
        <v>#DIV/0!</v>
      </c>
    </row>
    <row r="92" spans="1:14" ht="16.5" hidden="1" customHeight="1" x14ac:dyDescent="0.25">
      <c r="A92" s="266">
        <v>5072</v>
      </c>
      <c r="B92" s="83">
        <v>741200</v>
      </c>
      <c r="C92" s="84" t="s">
        <v>95</v>
      </c>
      <c r="D92" s="84"/>
      <c r="E92" s="108"/>
      <c r="F92" s="108"/>
      <c r="G92" s="109">
        <f t="shared" si="22"/>
        <v>0</v>
      </c>
      <c r="H92" s="108"/>
      <c r="I92" s="108"/>
      <c r="J92" s="108"/>
      <c r="K92" s="108"/>
      <c r="L92" s="108"/>
      <c r="M92" s="110"/>
      <c r="N92" s="137" t="e">
        <f t="shared" si="16"/>
        <v>#DIV/0!</v>
      </c>
    </row>
    <row r="93" spans="1:14" ht="16.5" hidden="1" customHeight="1" x14ac:dyDescent="0.25">
      <c r="A93" s="266">
        <v>5073</v>
      </c>
      <c r="B93" s="83">
        <v>741300</v>
      </c>
      <c r="C93" s="84" t="s">
        <v>96</v>
      </c>
      <c r="D93" s="84"/>
      <c r="E93" s="108"/>
      <c r="F93" s="108"/>
      <c r="G93" s="109">
        <f t="shared" si="22"/>
        <v>0</v>
      </c>
      <c r="H93" s="108"/>
      <c r="I93" s="108"/>
      <c r="J93" s="108"/>
      <c r="K93" s="108"/>
      <c r="L93" s="108"/>
      <c r="M93" s="110"/>
      <c r="N93" s="137" t="e">
        <f t="shared" si="16"/>
        <v>#DIV/0!</v>
      </c>
    </row>
    <row r="94" spans="1:14" ht="12.75" customHeight="1" x14ac:dyDescent="0.25">
      <c r="A94" s="266">
        <v>5074</v>
      </c>
      <c r="B94" s="83">
        <v>741400</v>
      </c>
      <c r="C94" s="84" t="s">
        <v>97</v>
      </c>
      <c r="D94" s="111"/>
      <c r="E94" s="111">
        <v>1131</v>
      </c>
      <c r="F94" s="111">
        <f>D94+E94</f>
        <v>1131</v>
      </c>
      <c r="G94" s="109">
        <f t="shared" si="22"/>
        <v>1708</v>
      </c>
      <c r="H94" s="111"/>
      <c r="I94" s="111"/>
      <c r="J94" s="111"/>
      <c r="K94" s="111">
        <v>1708</v>
      </c>
      <c r="L94" s="111"/>
      <c r="M94" s="112"/>
      <c r="N94" s="137">
        <f t="shared" si="16"/>
        <v>1.5101679929266136</v>
      </c>
    </row>
    <row r="95" spans="1:14" ht="16.5" hidden="1" customHeight="1" x14ac:dyDescent="0.25">
      <c r="A95" s="266">
        <v>5075</v>
      </c>
      <c r="B95" s="83">
        <v>741500</v>
      </c>
      <c r="C95" s="84" t="s">
        <v>98</v>
      </c>
      <c r="D95" s="84"/>
      <c r="E95" s="108"/>
      <c r="F95" s="108"/>
      <c r="G95" s="109">
        <f t="shared" si="22"/>
        <v>0</v>
      </c>
      <c r="H95" s="108"/>
      <c r="I95" s="108"/>
      <c r="J95" s="108"/>
      <c r="K95" s="108"/>
      <c r="L95" s="108"/>
      <c r="M95" s="110"/>
      <c r="N95" s="137" t="e">
        <f t="shared" si="16"/>
        <v>#DIV/0!</v>
      </c>
    </row>
    <row r="96" spans="1:14" ht="16.5" hidden="1" customHeight="1" x14ac:dyDescent="0.25">
      <c r="A96" s="266">
        <v>5076</v>
      </c>
      <c r="B96" s="83">
        <v>741600</v>
      </c>
      <c r="C96" s="84" t="s">
        <v>99</v>
      </c>
      <c r="D96" s="84"/>
      <c r="E96" s="108"/>
      <c r="F96" s="108"/>
      <c r="G96" s="109">
        <f t="shared" si="22"/>
        <v>0</v>
      </c>
      <c r="H96" s="108"/>
      <c r="I96" s="108"/>
      <c r="J96" s="108"/>
      <c r="K96" s="108"/>
      <c r="L96" s="108"/>
      <c r="M96" s="110"/>
      <c r="N96" s="137" t="e">
        <f t="shared" si="16"/>
        <v>#DIV/0!</v>
      </c>
    </row>
    <row r="97" spans="1:14" ht="12.75" customHeight="1" x14ac:dyDescent="0.25">
      <c r="A97" s="265">
        <v>5077</v>
      </c>
      <c r="B97" s="251">
        <v>742000</v>
      </c>
      <c r="C97" s="82" t="s">
        <v>100</v>
      </c>
      <c r="D97" s="82">
        <f>SUM(D98:D101)</f>
        <v>0</v>
      </c>
      <c r="E97" s="100">
        <f>SUM(E98:E101)</f>
        <v>13700</v>
      </c>
      <c r="F97" s="100">
        <f>SUM(F98:F101)</f>
        <v>13700</v>
      </c>
      <c r="G97" s="100">
        <f t="shared" si="22"/>
        <v>13022</v>
      </c>
      <c r="H97" s="100">
        <f t="shared" ref="H97:M97" si="25">SUM(H98:H101)</f>
        <v>707</v>
      </c>
      <c r="I97" s="100">
        <f t="shared" si="25"/>
        <v>0</v>
      </c>
      <c r="J97" s="100">
        <f t="shared" si="25"/>
        <v>0</v>
      </c>
      <c r="K97" s="100">
        <f t="shared" si="25"/>
        <v>0</v>
      </c>
      <c r="L97" s="100">
        <f t="shared" si="25"/>
        <v>0</v>
      </c>
      <c r="M97" s="101">
        <f t="shared" si="25"/>
        <v>12315</v>
      </c>
      <c r="N97" s="137">
        <f t="shared" si="16"/>
        <v>0.95051094890510945</v>
      </c>
    </row>
    <row r="98" spans="1:14" ht="12.75" customHeight="1" x14ac:dyDescent="0.25">
      <c r="A98" s="266">
        <v>5078</v>
      </c>
      <c r="B98" s="83">
        <v>742100</v>
      </c>
      <c r="C98" s="84" t="s">
        <v>101</v>
      </c>
      <c r="D98" s="84"/>
      <c r="E98" s="108">
        <v>5000</v>
      </c>
      <c r="F98" s="108">
        <f>D98+E98</f>
        <v>5000</v>
      </c>
      <c r="G98" s="109">
        <f t="shared" si="22"/>
        <v>4649</v>
      </c>
      <c r="H98" s="108"/>
      <c r="I98" s="108"/>
      <c r="J98" s="108"/>
      <c r="K98" s="108"/>
      <c r="L98" s="108"/>
      <c r="M98" s="110">
        <v>4649</v>
      </c>
      <c r="N98" s="137">
        <f t="shared" si="16"/>
        <v>0.92979999999999996</v>
      </c>
    </row>
    <row r="99" spans="1:14" ht="16.5" hidden="1" customHeight="1" x14ac:dyDescent="0.25">
      <c r="A99" s="266">
        <v>5079</v>
      </c>
      <c r="B99" s="83">
        <v>742200</v>
      </c>
      <c r="C99" s="84" t="s">
        <v>102</v>
      </c>
      <c r="D99" s="84"/>
      <c r="E99" s="108"/>
      <c r="F99" s="108">
        <f t="shared" ref="F99:F112" si="26">D99+E99</f>
        <v>0</v>
      </c>
      <c r="G99" s="109">
        <f t="shared" si="22"/>
        <v>0</v>
      </c>
      <c r="H99" s="108"/>
      <c r="I99" s="108"/>
      <c r="J99" s="108"/>
      <c r="K99" s="108"/>
      <c r="L99" s="108"/>
      <c r="M99" s="110"/>
      <c r="N99" s="137" t="e">
        <f t="shared" si="16"/>
        <v>#DIV/0!</v>
      </c>
    </row>
    <row r="100" spans="1:14" ht="15.75" customHeight="1" x14ac:dyDescent="0.25">
      <c r="A100" s="266">
        <v>5080</v>
      </c>
      <c r="B100" s="83">
        <v>742300</v>
      </c>
      <c r="C100" s="84" t="s">
        <v>103</v>
      </c>
      <c r="D100" s="84"/>
      <c r="E100" s="108">
        <v>8700</v>
      </c>
      <c r="F100" s="108">
        <f t="shared" si="26"/>
        <v>8700</v>
      </c>
      <c r="G100" s="109">
        <f t="shared" si="22"/>
        <v>8373</v>
      </c>
      <c r="H100" s="108">
        <v>707</v>
      </c>
      <c r="I100" s="108"/>
      <c r="J100" s="108"/>
      <c r="K100" s="108"/>
      <c r="L100" s="108"/>
      <c r="M100" s="110">
        <v>7666</v>
      </c>
      <c r="N100" s="137">
        <f t="shared" si="16"/>
        <v>0.96241379310344832</v>
      </c>
    </row>
    <row r="101" spans="1:14" ht="16.5" hidden="1" customHeight="1" x14ac:dyDescent="0.25">
      <c r="A101" s="266">
        <v>5081</v>
      </c>
      <c r="B101" s="83">
        <v>742400</v>
      </c>
      <c r="C101" s="84" t="s">
        <v>104</v>
      </c>
      <c r="D101" s="84"/>
      <c r="E101" s="108"/>
      <c r="F101" s="108">
        <f t="shared" si="26"/>
        <v>0</v>
      </c>
      <c r="G101" s="109">
        <f t="shared" si="22"/>
        <v>0</v>
      </c>
      <c r="H101" s="108"/>
      <c r="I101" s="108"/>
      <c r="J101" s="108"/>
      <c r="K101" s="108"/>
      <c r="L101" s="108"/>
      <c r="M101" s="110"/>
      <c r="N101" s="137" t="e">
        <f t="shared" si="16"/>
        <v>#DIV/0!</v>
      </c>
    </row>
    <row r="102" spans="1:14" ht="16.5" hidden="1" customHeight="1" x14ac:dyDescent="0.25">
      <c r="A102" s="265">
        <v>5082</v>
      </c>
      <c r="B102" s="251">
        <v>743000</v>
      </c>
      <c r="C102" s="82" t="s">
        <v>105</v>
      </c>
      <c r="D102" s="82"/>
      <c r="E102" s="100">
        <f>SUM(E107:E112)</f>
        <v>0</v>
      </c>
      <c r="F102" s="108">
        <f t="shared" si="26"/>
        <v>0</v>
      </c>
      <c r="G102" s="100">
        <f t="shared" si="22"/>
        <v>0</v>
      </c>
      <c r="H102" s="100">
        <f t="shared" ref="H102:M102" si="27">SUM(H107:H112)</f>
        <v>0</v>
      </c>
      <c r="I102" s="100">
        <f t="shared" si="27"/>
        <v>0</v>
      </c>
      <c r="J102" s="100">
        <f t="shared" si="27"/>
        <v>0</v>
      </c>
      <c r="K102" s="100">
        <f t="shared" si="27"/>
        <v>0</v>
      </c>
      <c r="L102" s="100">
        <f t="shared" si="27"/>
        <v>0</v>
      </c>
      <c r="M102" s="101">
        <f t="shared" si="27"/>
        <v>0</v>
      </c>
      <c r="N102" s="137" t="e">
        <f t="shared" si="16"/>
        <v>#DIV/0!</v>
      </c>
    </row>
    <row r="103" spans="1:14" ht="16.5" hidden="1" customHeight="1" x14ac:dyDescent="0.25">
      <c r="A103" s="645" t="s">
        <v>0</v>
      </c>
      <c r="B103" s="646" t="s">
        <v>1</v>
      </c>
      <c r="C103" s="585" t="s">
        <v>2</v>
      </c>
      <c r="D103" s="254"/>
      <c r="E103" s="575" t="s">
        <v>3</v>
      </c>
      <c r="F103" s="108" t="e">
        <f t="shared" si="26"/>
        <v>#VALUE!</v>
      </c>
      <c r="G103" s="575" t="s">
        <v>4</v>
      </c>
      <c r="H103" s="575"/>
      <c r="I103" s="575"/>
      <c r="J103" s="575"/>
      <c r="K103" s="575"/>
      <c r="L103" s="575"/>
      <c r="M103" s="582"/>
      <c r="N103" s="137" t="e">
        <f t="shared" si="16"/>
        <v>#VALUE!</v>
      </c>
    </row>
    <row r="104" spans="1:14" ht="16.5" hidden="1" customHeight="1" x14ac:dyDescent="0.25">
      <c r="A104" s="645"/>
      <c r="B104" s="646"/>
      <c r="C104" s="585"/>
      <c r="D104" s="254"/>
      <c r="E104" s="575"/>
      <c r="F104" s="108">
        <f t="shared" si="26"/>
        <v>0</v>
      </c>
      <c r="G104" s="581" t="s">
        <v>5</v>
      </c>
      <c r="H104" s="575" t="s">
        <v>6</v>
      </c>
      <c r="I104" s="575"/>
      <c r="J104" s="575"/>
      <c r="K104" s="575"/>
      <c r="L104" s="575" t="s">
        <v>7</v>
      </c>
      <c r="M104" s="582" t="s">
        <v>8</v>
      </c>
      <c r="N104" s="137" t="e">
        <f t="shared" si="16"/>
        <v>#VALUE!</v>
      </c>
    </row>
    <row r="105" spans="1:14" ht="16.5" hidden="1" customHeight="1" x14ac:dyDescent="0.25">
      <c r="A105" s="645"/>
      <c r="B105" s="646"/>
      <c r="C105" s="585"/>
      <c r="D105" s="254"/>
      <c r="E105" s="575"/>
      <c r="F105" s="108">
        <f t="shared" si="26"/>
        <v>0</v>
      </c>
      <c r="G105" s="581"/>
      <c r="H105" s="252" t="s">
        <v>9</v>
      </c>
      <c r="I105" s="252" t="s">
        <v>10</v>
      </c>
      <c r="J105" s="252" t="s">
        <v>11</v>
      </c>
      <c r="K105" s="252" t="s">
        <v>12</v>
      </c>
      <c r="L105" s="575"/>
      <c r="M105" s="582"/>
      <c r="N105" s="137" t="e">
        <f t="shared" si="16"/>
        <v>#DIV/0!</v>
      </c>
    </row>
    <row r="106" spans="1:14" ht="16.5" hidden="1" customHeight="1" x14ac:dyDescent="0.25">
      <c r="A106" s="270" t="s">
        <v>18</v>
      </c>
      <c r="B106" s="95" t="s">
        <v>19</v>
      </c>
      <c r="C106" s="253" t="s">
        <v>20</v>
      </c>
      <c r="D106" s="253"/>
      <c r="E106" s="86" t="s">
        <v>21</v>
      </c>
      <c r="F106" s="108">
        <f t="shared" si="26"/>
        <v>4</v>
      </c>
      <c r="G106" s="86" t="s">
        <v>22</v>
      </c>
      <c r="H106" s="86" t="s">
        <v>23</v>
      </c>
      <c r="I106" s="86" t="s">
        <v>24</v>
      </c>
      <c r="J106" s="86" t="s">
        <v>25</v>
      </c>
      <c r="K106" s="86" t="s">
        <v>26</v>
      </c>
      <c r="L106" s="86" t="s">
        <v>27</v>
      </c>
      <c r="M106" s="98" t="s">
        <v>28</v>
      </c>
      <c r="N106" s="137">
        <f t="shared" si="16"/>
        <v>1.25</v>
      </c>
    </row>
    <row r="107" spans="1:14" ht="16.5" hidden="1" customHeight="1" x14ac:dyDescent="0.25">
      <c r="A107" s="266">
        <v>5083</v>
      </c>
      <c r="B107" s="83">
        <v>743100</v>
      </c>
      <c r="C107" s="84" t="s">
        <v>106</v>
      </c>
      <c r="D107" s="84"/>
      <c r="E107" s="108"/>
      <c r="F107" s="108">
        <f t="shared" si="26"/>
        <v>0</v>
      </c>
      <c r="G107" s="109">
        <f t="shared" si="22"/>
        <v>0</v>
      </c>
      <c r="H107" s="108"/>
      <c r="I107" s="108"/>
      <c r="J107" s="108"/>
      <c r="K107" s="108"/>
      <c r="L107" s="108"/>
      <c r="M107" s="110"/>
      <c r="N107" s="137" t="e">
        <f t="shared" si="16"/>
        <v>#DIV/0!</v>
      </c>
    </row>
    <row r="108" spans="1:14" ht="16.5" hidden="1" customHeight="1" x14ac:dyDescent="0.25">
      <c r="A108" s="266">
        <v>5084</v>
      </c>
      <c r="B108" s="83">
        <v>743200</v>
      </c>
      <c r="C108" s="84" t="s">
        <v>107</v>
      </c>
      <c r="D108" s="84"/>
      <c r="E108" s="108"/>
      <c r="F108" s="108">
        <f t="shared" si="26"/>
        <v>0</v>
      </c>
      <c r="G108" s="109">
        <f t="shared" si="22"/>
        <v>0</v>
      </c>
      <c r="H108" s="108"/>
      <c r="I108" s="108"/>
      <c r="J108" s="108"/>
      <c r="K108" s="108"/>
      <c r="L108" s="108"/>
      <c r="M108" s="110"/>
      <c r="N108" s="137" t="e">
        <f t="shared" si="16"/>
        <v>#DIV/0!</v>
      </c>
    </row>
    <row r="109" spans="1:14" ht="16.5" hidden="1" customHeight="1" x14ac:dyDescent="0.25">
      <c r="A109" s="266">
        <v>5085</v>
      </c>
      <c r="B109" s="83">
        <v>743300</v>
      </c>
      <c r="C109" s="84" t="s">
        <v>108</v>
      </c>
      <c r="D109" s="84"/>
      <c r="E109" s="108"/>
      <c r="F109" s="108">
        <f t="shared" si="26"/>
        <v>0</v>
      </c>
      <c r="G109" s="109">
        <f t="shared" si="22"/>
        <v>0</v>
      </c>
      <c r="H109" s="108"/>
      <c r="I109" s="108"/>
      <c r="J109" s="108"/>
      <c r="K109" s="108"/>
      <c r="L109" s="108"/>
      <c r="M109" s="110"/>
      <c r="N109" s="137" t="e">
        <f t="shared" si="16"/>
        <v>#DIV/0!</v>
      </c>
    </row>
    <row r="110" spans="1:14" ht="16.5" hidden="1" customHeight="1" x14ac:dyDescent="0.25">
      <c r="A110" s="266">
        <v>5086</v>
      </c>
      <c r="B110" s="83">
        <v>743400</v>
      </c>
      <c r="C110" s="84" t="s">
        <v>109</v>
      </c>
      <c r="D110" s="84"/>
      <c r="E110" s="108"/>
      <c r="F110" s="108">
        <f t="shared" si="26"/>
        <v>0</v>
      </c>
      <c r="G110" s="109">
        <f t="shared" si="22"/>
        <v>0</v>
      </c>
      <c r="H110" s="108"/>
      <c r="I110" s="108"/>
      <c r="J110" s="108"/>
      <c r="K110" s="108"/>
      <c r="L110" s="108"/>
      <c r="M110" s="110"/>
      <c r="N110" s="137" t="e">
        <f t="shared" si="16"/>
        <v>#DIV/0!</v>
      </c>
    </row>
    <row r="111" spans="1:14" ht="16.5" hidden="1" customHeight="1" x14ac:dyDescent="0.25">
      <c r="A111" s="266">
        <v>5087</v>
      </c>
      <c r="B111" s="83">
        <v>743500</v>
      </c>
      <c r="C111" s="84" t="s">
        <v>110</v>
      </c>
      <c r="D111" s="84"/>
      <c r="E111" s="108"/>
      <c r="F111" s="108">
        <f t="shared" si="26"/>
        <v>0</v>
      </c>
      <c r="G111" s="109">
        <f t="shared" si="22"/>
        <v>0</v>
      </c>
      <c r="H111" s="108"/>
      <c r="I111" s="108"/>
      <c r="J111" s="108"/>
      <c r="K111" s="108"/>
      <c r="L111" s="108"/>
      <c r="M111" s="110"/>
      <c r="N111" s="137" t="e">
        <f t="shared" si="16"/>
        <v>#DIV/0!</v>
      </c>
    </row>
    <row r="112" spans="1:14" ht="1.5" hidden="1" customHeight="1" x14ac:dyDescent="0.25">
      <c r="A112" s="266">
        <v>5088</v>
      </c>
      <c r="B112" s="83">
        <v>743900</v>
      </c>
      <c r="C112" s="84" t="s">
        <v>111</v>
      </c>
      <c r="D112" s="84"/>
      <c r="E112" s="108"/>
      <c r="F112" s="108">
        <f t="shared" si="26"/>
        <v>0</v>
      </c>
      <c r="G112" s="109">
        <f t="shared" si="22"/>
        <v>0</v>
      </c>
      <c r="H112" s="108"/>
      <c r="I112" s="108"/>
      <c r="J112" s="108"/>
      <c r="K112" s="108"/>
      <c r="L112" s="108"/>
      <c r="M112" s="110"/>
      <c r="N112" s="137" t="e">
        <f t="shared" si="16"/>
        <v>#DIV/0!</v>
      </c>
    </row>
    <row r="113" spans="1:14" ht="12.75" customHeight="1" x14ac:dyDescent="0.25">
      <c r="A113" s="265">
        <v>5089</v>
      </c>
      <c r="B113" s="251">
        <v>744000</v>
      </c>
      <c r="C113" s="82" t="s">
        <v>533</v>
      </c>
      <c r="D113" s="82">
        <f>D114+D115</f>
        <v>0</v>
      </c>
      <c r="E113" s="100">
        <f>E114+E115</f>
        <v>320</v>
      </c>
      <c r="F113" s="100">
        <f>F114+F115</f>
        <v>320</v>
      </c>
      <c r="G113" s="100">
        <f t="shared" si="22"/>
        <v>135</v>
      </c>
      <c r="H113" s="100">
        <f t="shared" ref="H113:M113" si="28">H114+H115</f>
        <v>0</v>
      </c>
      <c r="I113" s="100">
        <f t="shared" si="28"/>
        <v>0</v>
      </c>
      <c r="J113" s="100">
        <f t="shared" si="28"/>
        <v>0</v>
      </c>
      <c r="K113" s="100">
        <f t="shared" si="28"/>
        <v>0</v>
      </c>
      <c r="L113" s="100">
        <f t="shared" si="28"/>
        <v>0</v>
      </c>
      <c r="M113" s="101">
        <f t="shared" si="28"/>
        <v>135</v>
      </c>
      <c r="N113" s="137">
        <f t="shared" si="16"/>
        <v>0.421875</v>
      </c>
    </row>
    <row r="114" spans="1:14" ht="12.75" customHeight="1" x14ac:dyDescent="0.25">
      <c r="A114" s="266">
        <v>5090</v>
      </c>
      <c r="B114" s="83">
        <v>744100</v>
      </c>
      <c r="C114" s="84" t="s">
        <v>113</v>
      </c>
      <c r="D114" s="84"/>
      <c r="E114" s="108">
        <v>320</v>
      </c>
      <c r="F114" s="108">
        <f>D114+E114</f>
        <v>320</v>
      </c>
      <c r="G114" s="109">
        <f t="shared" si="22"/>
        <v>135</v>
      </c>
      <c r="H114" s="108"/>
      <c r="I114" s="108"/>
      <c r="J114" s="108"/>
      <c r="K114" s="108"/>
      <c r="L114" s="108"/>
      <c r="M114" s="110">
        <v>135</v>
      </c>
      <c r="N114" s="137">
        <f t="shared" si="16"/>
        <v>0.421875</v>
      </c>
    </row>
    <row r="115" spans="1:14" ht="16.5" hidden="1" customHeight="1" x14ac:dyDescent="0.25">
      <c r="A115" s="266">
        <v>5091</v>
      </c>
      <c r="B115" s="83">
        <v>744200</v>
      </c>
      <c r="C115" s="84" t="s">
        <v>114</v>
      </c>
      <c r="D115" s="84"/>
      <c r="E115" s="108"/>
      <c r="F115" s="108"/>
      <c r="G115" s="109">
        <f t="shared" si="22"/>
        <v>0</v>
      </c>
      <c r="H115" s="108"/>
      <c r="I115" s="108"/>
      <c r="J115" s="108"/>
      <c r="K115" s="108"/>
      <c r="L115" s="108"/>
      <c r="M115" s="110"/>
      <c r="N115" s="137" t="e">
        <f t="shared" si="16"/>
        <v>#DIV/0!</v>
      </c>
    </row>
    <row r="116" spans="1:14" ht="16.5" hidden="1" customHeight="1" x14ac:dyDescent="0.25">
      <c r="A116" s="265">
        <v>5092</v>
      </c>
      <c r="B116" s="251">
        <v>745000</v>
      </c>
      <c r="C116" s="82" t="s">
        <v>115</v>
      </c>
      <c r="D116" s="82"/>
      <c r="E116" s="100">
        <f>E117</f>
        <v>0</v>
      </c>
      <c r="F116" s="100">
        <f>F117</f>
        <v>0</v>
      </c>
      <c r="G116" s="100">
        <f t="shared" si="22"/>
        <v>0</v>
      </c>
      <c r="H116" s="100">
        <f t="shared" ref="H116:M116" si="29">H117</f>
        <v>0</v>
      </c>
      <c r="I116" s="100">
        <f t="shared" si="29"/>
        <v>0</v>
      </c>
      <c r="J116" s="100">
        <f t="shared" si="29"/>
        <v>0</v>
      </c>
      <c r="K116" s="100">
        <f t="shared" si="29"/>
        <v>0</v>
      </c>
      <c r="L116" s="100">
        <f t="shared" si="29"/>
        <v>0</v>
      </c>
      <c r="M116" s="101">
        <f t="shared" si="29"/>
        <v>0</v>
      </c>
      <c r="N116" s="137" t="e">
        <f t="shared" si="16"/>
        <v>#DIV/0!</v>
      </c>
    </row>
    <row r="117" spans="1:14" ht="16.5" hidden="1" customHeight="1" x14ac:dyDescent="0.25">
      <c r="A117" s="266">
        <v>5093</v>
      </c>
      <c r="B117" s="83">
        <v>745100</v>
      </c>
      <c r="C117" s="84" t="s">
        <v>116</v>
      </c>
      <c r="D117" s="84"/>
      <c r="E117" s="108"/>
      <c r="F117" s="108"/>
      <c r="G117" s="109">
        <f t="shared" si="22"/>
        <v>0</v>
      </c>
      <c r="H117" s="108"/>
      <c r="I117" s="108"/>
      <c r="J117" s="108"/>
      <c r="K117" s="108"/>
      <c r="L117" s="108"/>
      <c r="M117" s="110"/>
      <c r="N117" s="137" t="e">
        <f t="shared" si="16"/>
        <v>#DIV/0!</v>
      </c>
    </row>
    <row r="118" spans="1:14" ht="16.5" hidden="1" customHeight="1" x14ac:dyDescent="0.25">
      <c r="A118" s="265">
        <v>5094</v>
      </c>
      <c r="B118" s="251">
        <v>770000</v>
      </c>
      <c r="C118" s="82" t="s">
        <v>117</v>
      </c>
      <c r="D118" s="82"/>
      <c r="E118" s="100">
        <f>E119+E121</f>
        <v>0</v>
      </c>
      <c r="F118" s="100">
        <f>F119+F121</f>
        <v>0</v>
      </c>
      <c r="G118" s="100">
        <f t="shared" si="22"/>
        <v>0</v>
      </c>
      <c r="H118" s="100">
        <f t="shared" ref="H118:M118" si="30">H119+H121</f>
        <v>0</v>
      </c>
      <c r="I118" s="100">
        <f t="shared" si="30"/>
        <v>0</v>
      </c>
      <c r="J118" s="100">
        <f t="shared" si="30"/>
        <v>0</v>
      </c>
      <c r="K118" s="100">
        <f t="shared" si="30"/>
        <v>0</v>
      </c>
      <c r="L118" s="100">
        <f t="shared" si="30"/>
        <v>0</v>
      </c>
      <c r="M118" s="101">
        <f t="shared" si="30"/>
        <v>0</v>
      </c>
      <c r="N118" s="137" t="e">
        <f t="shared" si="16"/>
        <v>#DIV/0!</v>
      </c>
    </row>
    <row r="119" spans="1:14" ht="16.5" hidden="1" customHeight="1" x14ac:dyDescent="0.25">
      <c r="A119" s="265">
        <v>5095</v>
      </c>
      <c r="B119" s="251">
        <v>771000</v>
      </c>
      <c r="C119" s="82" t="s">
        <v>118</v>
      </c>
      <c r="D119" s="82"/>
      <c r="E119" s="100">
        <f>E120</f>
        <v>0</v>
      </c>
      <c r="F119" s="100">
        <f>F120</f>
        <v>0</v>
      </c>
      <c r="G119" s="100">
        <f t="shared" si="22"/>
        <v>0</v>
      </c>
      <c r="H119" s="100">
        <f t="shared" ref="H119:M119" si="31">H120</f>
        <v>0</v>
      </c>
      <c r="I119" s="100">
        <f t="shared" si="31"/>
        <v>0</v>
      </c>
      <c r="J119" s="100">
        <f t="shared" si="31"/>
        <v>0</v>
      </c>
      <c r="K119" s="100">
        <f t="shared" si="31"/>
        <v>0</v>
      </c>
      <c r="L119" s="100">
        <f t="shared" si="31"/>
        <v>0</v>
      </c>
      <c r="M119" s="101">
        <f t="shared" si="31"/>
        <v>0</v>
      </c>
      <c r="N119" s="137" t="e">
        <f t="shared" si="16"/>
        <v>#DIV/0!</v>
      </c>
    </row>
    <row r="120" spans="1:14" ht="16.5" hidden="1" customHeight="1" x14ac:dyDescent="0.25">
      <c r="A120" s="266">
        <v>5096</v>
      </c>
      <c r="B120" s="83">
        <v>771100</v>
      </c>
      <c r="C120" s="84" t="s">
        <v>119</v>
      </c>
      <c r="D120" s="84"/>
      <c r="E120" s="108"/>
      <c r="F120" s="108"/>
      <c r="G120" s="109">
        <f t="shared" si="22"/>
        <v>0</v>
      </c>
      <c r="H120" s="108"/>
      <c r="I120" s="108"/>
      <c r="J120" s="108"/>
      <c r="K120" s="108"/>
      <c r="L120" s="108"/>
      <c r="M120" s="110"/>
      <c r="N120" s="137" t="e">
        <f t="shared" si="16"/>
        <v>#DIV/0!</v>
      </c>
    </row>
    <row r="121" spans="1:14" ht="16.5" hidden="1" customHeight="1" x14ac:dyDescent="0.25">
      <c r="A121" s="265">
        <v>5097</v>
      </c>
      <c r="B121" s="251">
        <v>772000</v>
      </c>
      <c r="C121" s="82" t="s">
        <v>120</v>
      </c>
      <c r="D121" s="82"/>
      <c r="E121" s="100">
        <f>E122</f>
        <v>0</v>
      </c>
      <c r="F121" s="100">
        <f>F122</f>
        <v>0</v>
      </c>
      <c r="G121" s="100">
        <f t="shared" si="22"/>
        <v>0</v>
      </c>
      <c r="H121" s="100">
        <f t="shared" ref="H121:M121" si="32">H122</f>
        <v>0</v>
      </c>
      <c r="I121" s="100">
        <f t="shared" si="32"/>
        <v>0</v>
      </c>
      <c r="J121" s="100">
        <f t="shared" si="32"/>
        <v>0</v>
      </c>
      <c r="K121" s="100">
        <f t="shared" si="32"/>
        <v>0</v>
      </c>
      <c r="L121" s="100">
        <f t="shared" si="32"/>
        <v>0</v>
      </c>
      <c r="M121" s="101">
        <f t="shared" si="32"/>
        <v>0</v>
      </c>
      <c r="N121" s="137" t="e">
        <f t="shared" si="16"/>
        <v>#DIV/0!</v>
      </c>
    </row>
    <row r="122" spans="1:14" ht="16.5" hidden="1" customHeight="1" x14ac:dyDescent="0.25">
      <c r="A122" s="266">
        <v>5098</v>
      </c>
      <c r="B122" s="83">
        <v>772100</v>
      </c>
      <c r="C122" s="84" t="s">
        <v>121</v>
      </c>
      <c r="D122" s="84"/>
      <c r="E122" s="108"/>
      <c r="F122" s="108"/>
      <c r="G122" s="109">
        <f t="shared" si="22"/>
        <v>0</v>
      </c>
      <c r="H122" s="108"/>
      <c r="I122" s="108"/>
      <c r="J122" s="108"/>
      <c r="K122" s="108"/>
      <c r="L122" s="108"/>
      <c r="M122" s="110"/>
      <c r="N122" s="137" t="e">
        <f t="shared" si="16"/>
        <v>#DIV/0!</v>
      </c>
    </row>
    <row r="123" spans="1:14" ht="12.75" customHeight="1" x14ac:dyDescent="0.25">
      <c r="A123" s="265">
        <v>5099</v>
      </c>
      <c r="B123" s="251">
        <v>780000</v>
      </c>
      <c r="C123" s="82" t="s">
        <v>122</v>
      </c>
      <c r="D123" s="100">
        <f>D124</f>
        <v>82990</v>
      </c>
      <c r="E123" s="100">
        <f>E124</f>
        <v>1482789</v>
      </c>
      <c r="F123" s="100">
        <f>F124</f>
        <v>1565779</v>
      </c>
      <c r="G123" s="100">
        <f t="shared" ref="G123:G162" si="33">SUM(H123:M123)</f>
        <v>1554720</v>
      </c>
      <c r="H123" s="100">
        <f t="shared" ref="H123:M123" si="34">H124</f>
        <v>0</v>
      </c>
      <c r="I123" s="100">
        <f t="shared" si="34"/>
        <v>0</v>
      </c>
      <c r="J123" s="100">
        <f t="shared" si="34"/>
        <v>0</v>
      </c>
      <c r="K123" s="100">
        <f t="shared" si="34"/>
        <v>1554720</v>
      </c>
      <c r="L123" s="100">
        <f t="shared" si="34"/>
        <v>0</v>
      </c>
      <c r="M123" s="101">
        <f t="shared" si="34"/>
        <v>0</v>
      </c>
      <c r="N123" s="137">
        <f t="shared" si="16"/>
        <v>0.99293706199917098</v>
      </c>
    </row>
    <row r="124" spans="1:14" ht="12.75" customHeight="1" x14ac:dyDescent="0.25">
      <c r="A124" s="265">
        <v>5100</v>
      </c>
      <c r="B124" s="251">
        <v>781000</v>
      </c>
      <c r="C124" s="82" t="s">
        <v>123</v>
      </c>
      <c r="D124" s="100">
        <f>D125+D126</f>
        <v>82990</v>
      </c>
      <c r="E124" s="100">
        <f>E125+E126</f>
        <v>1482789</v>
      </c>
      <c r="F124" s="100">
        <f>F125+F126</f>
        <v>1565779</v>
      </c>
      <c r="G124" s="100">
        <f t="shared" si="33"/>
        <v>1554720</v>
      </c>
      <c r="H124" s="100">
        <f t="shared" ref="H124:M124" si="35">H125+H126</f>
        <v>0</v>
      </c>
      <c r="I124" s="100">
        <f t="shared" si="35"/>
        <v>0</v>
      </c>
      <c r="J124" s="100">
        <f t="shared" si="35"/>
        <v>0</v>
      </c>
      <c r="K124" s="100">
        <f t="shared" si="35"/>
        <v>1554720</v>
      </c>
      <c r="L124" s="100">
        <f t="shared" si="35"/>
        <v>0</v>
      </c>
      <c r="M124" s="101">
        <f t="shared" si="35"/>
        <v>0</v>
      </c>
      <c r="N124" s="137">
        <f t="shared" si="16"/>
        <v>0.99293706199917098</v>
      </c>
    </row>
    <row r="125" spans="1:14" ht="12.75" customHeight="1" x14ac:dyDescent="0.25">
      <c r="A125" s="266">
        <v>5101</v>
      </c>
      <c r="B125" s="83">
        <v>781100</v>
      </c>
      <c r="C125" s="84" t="s">
        <v>124</v>
      </c>
      <c r="D125" s="108">
        <v>82990</v>
      </c>
      <c r="E125" s="108">
        <v>1482789</v>
      </c>
      <c r="F125" s="108">
        <f>D125+E125</f>
        <v>1565779</v>
      </c>
      <c r="G125" s="109">
        <f>SUM(H125:M125)</f>
        <v>1554720</v>
      </c>
      <c r="H125" s="108"/>
      <c r="I125" s="108"/>
      <c r="J125" s="108"/>
      <c r="K125" s="108">
        <v>1554720</v>
      </c>
      <c r="L125" s="108"/>
      <c r="M125" s="110"/>
      <c r="N125" s="137">
        <f t="shared" si="16"/>
        <v>0.99293706199917098</v>
      </c>
    </row>
    <row r="126" spans="1:14" ht="16.5" hidden="1" customHeight="1" x14ac:dyDescent="0.25">
      <c r="A126" s="266">
        <v>5102</v>
      </c>
      <c r="B126" s="83">
        <v>781300</v>
      </c>
      <c r="C126" s="84" t="s">
        <v>125</v>
      </c>
      <c r="D126" s="84">
        <f>D131</f>
        <v>0</v>
      </c>
      <c r="E126" s="108"/>
      <c r="F126" s="108"/>
      <c r="G126" s="109">
        <f t="shared" si="33"/>
        <v>0</v>
      </c>
      <c r="H126" s="108"/>
      <c r="I126" s="108"/>
      <c r="J126" s="108"/>
      <c r="K126" s="108"/>
      <c r="L126" s="108"/>
      <c r="M126" s="110"/>
      <c r="N126" s="137" t="e">
        <f t="shared" si="16"/>
        <v>#DIV/0!</v>
      </c>
    </row>
    <row r="127" spans="1:14" ht="12.75" customHeight="1" x14ac:dyDescent="0.25">
      <c r="A127" s="265">
        <v>5103</v>
      </c>
      <c r="B127" s="251">
        <v>790000</v>
      </c>
      <c r="C127" s="82" t="s">
        <v>126</v>
      </c>
      <c r="D127" s="82">
        <f>D128</f>
        <v>0</v>
      </c>
      <c r="E127" s="100">
        <f>E128</f>
        <v>31727</v>
      </c>
      <c r="F127" s="100">
        <f>F128</f>
        <v>31727</v>
      </c>
      <c r="G127" s="100">
        <f t="shared" si="33"/>
        <v>18932</v>
      </c>
      <c r="H127" s="100">
        <f t="shared" ref="H127:M127" si="36">H128</f>
        <v>11366</v>
      </c>
      <c r="I127" s="100">
        <f t="shared" si="36"/>
        <v>0</v>
      </c>
      <c r="J127" s="100">
        <f t="shared" si="36"/>
        <v>7566</v>
      </c>
      <c r="K127" s="100">
        <f t="shared" si="36"/>
        <v>0</v>
      </c>
      <c r="L127" s="100">
        <f t="shared" si="36"/>
        <v>0</v>
      </c>
      <c r="M127" s="101">
        <f t="shared" si="36"/>
        <v>0</v>
      </c>
      <c r="N127" s="137">
        <f t="shared" si="16"/>
        <v>0.59671573108078291</v>
      </c>
    </row>
    <row r="128" spans="1:14" ht="12.75" customHeight="1" x14ac:dyDescent="0.25">
      <c r="A128" s="265">
        <v>5104</v>
      </c>
      <c r="B128" s="251">
        <v>791000</v>
      </c>
      <c r="C128" s="82" t="s">
        <v>127</v>
      </c>
      <c r="D128" s="82">
        <f>D133</f>
        <v>0</v>
      </c>
      <c r="E128" s="100">
        <f>E133</f>
        <v>31727</v>
      </c>
      <c r="F128" s="100">
        <f>F133</f>
        <v>31727</v>
      </c>
      <c r="G128" s="100">
        <f t="shared" si="33"/>
        <v>18932</v>
      </c>
      <c r="H128" s="100">
        <f t="shared" ref="H128:M128" si="37">H133</f>
        <v>11366</v>
      </c>
      <c r="I128" s="100">
        <f t="shared" si="37"/>
        <v>0</v>
      </c>
      <c r="J128" s="100">
        <f t="shared" si="37"/>
        <v>7566</v>
      </c>
      <c r="K128" s="100">
        <f t="shared" si="37"/>
        <v>0</v>
      </c>
      <c r="L128" s="100">
        <f t="shared" si="37"/>
        <v>0</v>
      </c>
      <c r="M128" s="101">
        <f t="shared" si="37"/>
        <v>0</v>
      </c>
      <c r="N128" s="137">
        <f t="shared" si="16"/>
        <v>0.59671573108078291</v>
      </c>
    </row>
    <row r="129" spans="1:14" ht="16.5" hidden="1" customHeight="1" x14ac:dyDescent="0.25">
      <c r="A129" s="645" t="s">
        <v>0</v>
      </c>
      <c r="B129" s="646" t="s">
        <v>1</v>
      </c>
      <c r="C129" s="585" t="s">
        <v>2</v>
      </c>
      <c r="D129" s="254" t="e">
        <f>D130</f>
        <v>#REF!</v>
      </c>
      <c r="E129" s="575" t="s">
        <v>3</v>
      </c>
      <c r="F129" s="252" t="s">
        <v>3</v>
      </c>
      <c r="G129" s="575" t="s">
        <v>4</v>
      </c>
      <c r="H129" s="575"/>
      <c r="I129" s="575"/>
      <c r="J129" s="575"/>
      <c r="K129" s="575"/>
      <c r="L129" s="575"/>
      <c r="M129" s="582"/>
      <c r="N129" s="137" t="e">
        <f t="shared" si="16"/>
        <v>#VALUE!</v>
      </c>
    </row>
    <row r="130" spans="1:14" ht="16.5" hidden="1" customHeight="1" x14ac:dyDescent="0.25">
      <c r="A130" s="645"/>
      <c r="B130" s="646"/>
      <c r="C130" s="585"/>
      <c r="D130" s="254" t="e">
        <f>#REF!+D82</f>
        <v>#REF!</v>
      </c>
      <c r="E130" s="575"/>
      <c r="F130" s="252"/>
      <c r="G130" s="581" t="s">
        <v>5</v>
      </c>
      <c r="H130" s="575" t="s">
        <v>6</v>
      </c>
      <c r="I130" s="575"/>
      <c r="J130" s="575"/>
      <c r="K130" s="575"/>
      <c r="L130" s="575" t="s">
        <v>7</v>
      </c>
      <c r="M130" s="582" t="s">
        <v>8</v>
      </c>
      <c r="N130" s="137" t="e">
        <f t="shared" si="16"/>
        <v>#VALUE!</v>
      </c>
    </row>
    <row r="131" spans="1:14" ht="16.5" hidden="1" customHeight="1" x14ac:dyDescent="0.25">
      <c r="A131" s="645"/>
      <c r="B131" s="646"/>
      <c r="C131" s="585"/>
      <c r="D131" s="254"/>
      <c r="E131" s="575"/>
      <c r="F131" s="252"/>
      <c r="G131" s="581"/>
      <c r="H131" s="252" t="s">
        <v>9</v>
      </c>
      <c r="I131" s="252" t="s">
        <v>10</v>
      </c>
      <c r="J131" s="252" t="s">
        <v>11</v>
      </c>
      <c r="K131" s="252" t="s">
        <v>12</v>
      </c>
      <c r="L131" s="575"/>
      <c r="M131" s="582"/>
      <c r="N131" s="137" t="e">
        <f t="shared" si="16"/>
        <v>#DIV/0!</v>
      </c>
    </row>
    <row r="132" spans="1:14" ht="16.5" hidden="1" customHeight="1" x14ac:dyDescent="0.25">
      <c r="A132" s="270" t="s">
        <v>18</v>
      </c>
      <c r="B132" s="95" t="s">
        <v>19</v>
      </c>
      <c r="C132" s="253" t="s">
        <v>20</v>
      </c>
      <c r="D132" s="253"/>
      <c r="E132" s="86" t="s">
        <v>21</v>
      </c>
      <c r="F132" s="86" t="s">
        <v>21</v>
      </c>
      <c r="G132" s="86" t="s">
        <v>22</v>
      </c>
      <c r="H132" s="86" t="s">
        <v>23</v>
      </c>
      <c r="I132" s="86" t="s">
        <v>24</v>
      </c>
      <c r="J132" s="86" t="s">
        <v>25</v>
      </c>
      <c r="K132" s="86" t="s">
        <v>26</v>
      </c>
      <c r="L132" s="86" t="s">
        <v>27</v>
      </c>
      <c r="M132" s="98" t="s">
        <v>28</v>
      </c>
      <c r="N132" s="137">
        <f t="shared" si="16"/>
        <v>1.25</v>
      </c>
    </row>
    <row r="133" spans="1:14" ht="12.75" customHeight="1" x14ac:dyDescent="0.25">
      <c r="A133" s="266">
        <v>5105</v>
      </c>
      <c r="B133" s="83">
        <v>791100</v>
      </c>
      <c r="C133" s="84" t="s">
        <v>128</v>
      </c>
      <c r="D133" s="84"/>
      <c r="E133" s="108">
        <f>21042-42+3280+7447</f>
        <v>31727</v>
      </c>
      <c r="F133" s="108">
        <f>D133+E133</f>
        <v>31727</v>
      </c>
      <c r="G133" s="109">
        <f t="shared" si="33"/>
        <v>18932</v>
      </c>
      <c r="H133" s="108">
        <v>11366</v>
      </c>
      <c r="I133" s="108"/>
      <c r="J133" s="108">
        <v>7566</v>
      </c>
      <c r="K133" s="108"/>
      <c r="L133" s="108"/>
      <c r="M133" s="110"/>
      <c r="N133" s="137">
        <f t="shared" si="16"/>
        <v>0.59671573108078291</v>
      </c>
    </row>
    <row r="134" spans="1:14" ht="12.75" customHeight="1" x14ac:dyDescent="0.25">
      <c r="A134" s="265">
        <v>5106</v>
      </c>
      <c r="B134" s="251">
        <v>800000</v>
      </c>
      <c r="C134" s="82" t="s">
        <v>534</v>
      </c>
      <c r="D134" s="82">
        <f>D135+D142+D149+D152</f>
        <v>0</v>
      </c>
      <c r="E134" s="100">
        <f>E135+E142+E149+E152</f>
        <v>255</v>
      </c>
      <c r="F134" s="100">
        <f>F135+F142+F149+F152</f>
        <v>255</v>
      </c>
      <c r="G134" s="100">
        <f t="shared" si="33"/>
        <v>255</v>
      </c>
      <c r="H134" s="100">
        <f t="shared" ref="H134:M134" si="38">H135+H142+H149+H152</f>
        <v>0</v>
      </c>
      <c r="I134" s="100">
        <f t="shared" si="38"/>
        <v>0</v>
      </c>
      <c r="J134" s="100">
        <f t="shared" si="38"/>
        <v>0</v>
      </c>
      <c r="K134" s="100">
        <f t="shared" si="38"/>
        <v>0</v>
      </c>
      <c r="L134" s="100">
        <f t="shared" si="38"/>
        <v>0</v>
      </c>
      <c r="M134" s="101">
        <f t="shared" si="38"/>
        <v>255</v>
      </c>
      <c r="N134" s="137">
        <f t="shared" si="16"/>
        <v>1</v>
      </c>
    </row>
    <row r="135" spans="1:14" ht="12.75" customHeight="1" x14ac:dyDescent="0.25">
      <c r="A135" s="265">
        <v>5107</v>
      </c>
      <c r="B135" s="251">
        <v>810000</v>
      </c>
      <c r="C135" s="82" t="s">
        <v>535</v>
      </c>
      <c r="D135" s="82">
        <f>D136+D138+D140</f>
        <v>0</v>
      </c>
      <c r="E135" s="100">
        <f>E136+E138+E140</f>
        <v>255</v>
      </c>
      <c r="F135" s="100">
        <f>F136+F138+F140</f>
        <v>255</v>
      </c>
      <c r="G135" s="100">
        <f t="shared" si="33"/>
        <v>255</v>
      </c>
      <c r="H135" s="100">
        <f t="shared" ref="H135:M135" si="39">H136+H138+H140</f>
        <v>0</v>
      </c>
      <c r="I135" s="100">
        <f t="shared" si="39"/>
        <v>0</v>
      </c>
      <c r="J135" s="100">
        <f t="shared" si="39"/>
        <v>0</v>
      </c>
      <c r="K135" s="100">
        <f t="shared" si="39"/>
        <v>0</v>
      </c>
      <c r="L135" s="100">
        <f t="shared" si="39"/>
        <v>0</v>
      </c>
      <c r="M135" s="101">
        <f t="shared" si="39"/>
        <v>255</v>
      </c>
      <c r="N135" s="137">
        <f t="shared" si="16"/>
        <v>1</v>
      </c>
    </row>
    <row r="136" spans="1:14" ht="16.5" hidden="1" customHeight="1" x14ac:dyDescent="0.25">
      <c r="A136" s="265">
        <v>5108</v>
      </c>
      <c r="B136" s="251">
        <v>811000</v>
      </c>
      <c r="C136" s="82" t="s">
        <v>131</v>
      </c>
      <c r="D136" s="82">
        <f>D137</f>
        <v>0</v>
      </c>
      <c r="E136" s="100">
        <f>E137</f>
        <v>0</v>
      </c>
      <c r="F136" s="100">
        <f>F137</f>
        <v>0</v>
      </c>
      <c r="G136" s="100">
        <f t="shared" si="33"/>
        <v>0</v>
      </c>
      <c r="H136" s="100">
        <f t="shared" ref="H136:M136" si="40">H137</f>
        <v>0</v>
      </c>
      <c r="I136" s="100">
        <f t="shared" si="40"/>
        <v>0</v>
      </c>
      <c r="J136" s="100">
        <f t="shared" si="40"/>
        <v>0</v>
      </c>
      <c r="K136" s="100">
        <f t="shared" si="40"/>
        <v>0</v>
      </c>
      <c r="L136" s="100">
        <f t="shared" si="40"/>
        <v>0</v>
      </c>
      <c r="M136" s="101">
        <f t="shared" si="40"/>
        <v>0</v>
      </c>
      <c r="N136" s="137" t="e">
        <f t="shared" si="16"/>
        <v>#DIV/0!</v>
      </c>
    </row>
    <row r="137" spans="1:14" ht="16.5" hidden="1" customHeight="1" x14ac:dyDescent="0.25">
      <c r="A137" s="266">
        <v>5109</v>
      </c>
      <c r="B137" s="83">
        <v>811100</v>
      </c>
      <c r="C137" s="84" t="s">
        <v>132</v>
      </c>
      <c r="D137" s="84"/>
      <c r="E137" s="108"/>
      <c r="F137" s="108"/>
      <c r="G137" s="109">
        <f t="shared" si="33"/>
        <v>0</v>
      </c>
      <c r="H137" s="108"/>
      <c r="I137" s="108"/>
      <c r="J137" s="108"/>
      <c r="K137" s="108"/>
      <c r="L137" s="108"/>
      <c r="M137" s="110"/>
      <c r="N137" s="137" t="e">
        <f t="shared" si="16"/>
        <v>#DIV/0!</v>
      </c>
    </row>
    <row r="138" spans="1:14" ht="12.75" customHeight="1" x14ac:dyDescent="0.25">
      <c r="A138" s="265">
        <v>5110</v>
      </c>
      <c r="B138" s="251">
        <v>812000</v>
      </c>
      <c r="C138" s="82" t="s">
        <v>133</v>
      </c>
      <c r="D138" s="82">
        <f>D139</f>
        <v>0</v>
      </c>
      <c r="E138" s="100">
        <f>E139</f>
        <v>255</v>
      </c>
      <c r="F138" s="100">
        <f>F139</f>
        <v>255</v>
      </c>
      <c r="G138" s="100">
        <f t="shared" si="33"/>
        <v>255</v>
      </c>
      <c r="H138" s="100">
        <f t="shared" ref="H138:M138" si="41">H139</f>
        <v>0</v>
      </c>
      <c r="I138" s="100">
        <f t="shared" si="41"/>
        <v>0</v>
      </c>
      <c r="J138" s="100">
        <f t="shared" si="41"/>
        <v>0</v>
      </c>
      <c r="K138" s="100">
        <f t="shared" si="41"/>
        <v>0</v>
      </c>
      <c r="L138" s="100">
        <f t="shared" si="41"/>
        <v>0</v>
      </c>
      <c r="M138" s="101">
        <f t="shared" si="41"/>
        <v>255</v>
      </c>
      <c r="N138" s="137">
        <f t="shared" ref="N138:N201" si="42">G138/F138</f>
        <v>1</v>
      </c>
    </row>
    <row r="139" spans="1:14" ht="12.75" customHeight="1" x14ac:dyDescent="0.25">
      <c r="A139" s="266">
        <v>5111</v>
      </c>
      <c r="B139" s="83">
        <v>812100</v>
      </c>
      <c r="C139" s="84" t="s">
        <v>134</v>
      </c>
      <c r="D139" s="84"/>
      <c r="E139" s="108">
        <v>255</v>
      </c>
      <c r="F139" s="108">
        <f>D139+E139</f>
        <v>255</v>
      </c>
      <c r="G139" s="109">
        <f t="shared" si="33"/>
        <v>255</v>
      </c>
      <c r="H139" s="108"/>
      <c r="I139" s="108"/>
      <c r="J139" s="108"/>
      <c r="K139" s="108"/>
      <c r="L139" s="108"/>
      <c r="M139" s="110">
        <v>255</v>
      </c>
      <c r="N139" s="137">
        <f t="shared" si="42"/>
        <v>1</v>
      </c>
    </row>
    <row r="140" spans="1:14" ht="16.5" hidden="1" customHeight="1" x14ac:dyDescent="0.25">
      <c r="A140" s="265">
        <v>5112</v>
      </c>
      <c r="B140" s="251">
        <v>813000</v>
      </c>
      <c r="C140" s="82" t="s">
        <v>135</v>
      </c>
      <c r="D140" s="82"/>
      <c r="E140" s="100">
        <f>E141</f>
        <v>0</v>
      </c>
      <c r="F140" s="100">
        <f>F141</f>
        <v>0</v>
      </c>
      <c r="G140" s="100">
        <f t="shared" si="33"/>
        <v>0</v>
      </c>
      <c r="H140" s="100">
        <f t="shared" ref="H140:M140" si="43">H141</f>
        <v>0</v>
      </c>
      <c r="I140" s="100">
        <f t="shared" si="43"/>
        <v>0</v>
      </c>
      <c r="J140" s="100">
        <f t="shared" si="43"/>
        <v>0</v>
      </c>
      <c r="K140" s="100">
        <f t="shared" si="43"/>
        <v>0</v>
      </c>
      <c r="L140" s="100">
        <f t="shared" si="43"/>
        <v>0</v>
      </c>
      <c r="M140" s="101">
        <f t="shared" si="43"/>
        <v>0</v>
      </c>
      <c r="N140" s="137" t="e">
        <f t="shared" si="42"/>
        <v>#DIV/0!</v>
      </c>
    </row>
    <row r="141" spans="1:14" ht="16.5" hidden="1" customHeight="1" x14ac:dyDescent="0.25">
      <c r="A141" s="266">
        <v>5113</v>
      </c>
      <c r="B141" s="83">
        <v>813100</v>
      </c>
      <c r="C141" s="84" t="s">
        <v>136</v>
      </c>
      <c r="D141" s="84"/>
      <c r="E141" s="108"/>
      <c r="F141" s="108"/>
      <c r="G141" s="109">
        <f t="shared" si="33"/>
        <v>0</v>
      </c>
      <c r="H141" s="108"/>
      <c r="I141" s="108"/>
      <c r="J141" s="108"/>
      <c r="K141" s="108"/>
      <c r="L141" s="108"/>
      <c r="M141" s="110"/>
      <c r="N141" s="137" t="e">
        <f t="shared" si="42"/>
        <v>#DIV/0!</v>
      </c>
    </row>
    <row r="142" spans="1:14" ht="16.5" hidden="1" customHeight="1" x14ac:dyDescent="0.25">
      <c r="A142" s="265">
        <v>5114</v>
      </c>
      <c r="B142" s="251">
        <v>820000</v>
      </c>
      <c r="C142" s="82" t="s">
        <v>137</v>
      </c>
      <c r="D142" s="82"/>
      <c r="E142" s="100">
        <f>E143+E145+E147</f>
        <v>0</v>
      </c>
      <c r="F142" s="100">
        <f>F143+F145+F147</f>
        <v>0</v>
      </c>
      <c r="G142" s="100">
        <f t="shared" si="33"/>
        <v>0</v>
      </c>
      <c r="H142" s="100">
        <f t="shared" ref="H142:M142" si="44">H143+H145+H147</f>
        <v>0</v>
      </c>
      <c r="I142" s="100">
        <f t="shared" si="44"/>
        <v>0</v>
      </c>
      <c r="J142" s="100">
        <f t="shared" si="44"/>
        <v>0</v>
      </c>
      <c r="K142" s="100">
        <f t="shared" si="44"/>
        <v>0</v>
      </c>
      <c r="L142" s="100">
        <f t="shared" si="44"/>
        <v>0</v>
      </c>
      <c r="M142" s="101">
        <f t="shared" si="44"/>
        <v>0</v>
      </c>
      <c r="N142" s="137" t="e">
        <f t="shared" si="42"/>
        <v>#DIV/0!</v>
      </c>
    </row>
    <row r="143" spans="1:14" ht="16.5" hidden="1" customHeight="1" x14ac:dyDescent="0.25">
      <c r="A143" s="265">
        <v>5115</v>
      </c>
      <c r="B143" s="251">
        <v>821000</v>
      </c>
      <c r="C143" s="82" t="s">
        <v>138</v>
      </c>
      <c r="D143" s="82"/>
      <c r="E143" s="100">
        <f>E144</f>
        <v>0</v>
      </c>
      <c r="F143" s="100">
        <f>F144</f>
        <v>0</v>
      </c>
      <c r="G143" s="100">
        <f t="shared" si="33"/>
        <v>0</v>
      </c>
      <c r="H143" s="100">
        <f t="shared" ref="H143:M143" si="45">H144</f>
        <v>0</v>
      </c>
      <c r="I143" s="100">
        <f t="shared" si="45"/>
        <v>0</v>
      </c>
      <c r="J143" s="100">
        <f t="shared" si="45"/>
        <v>0</v>
      </c>
      <c r="K143" s="100">
        <f t="shared" si="45"/>
        <v>0</v>
      </c>
      <c r="L143" s="100">
        <f t="shared" si="45"/>
        <v>0</v>
      </c>
      <c r="M143" s="101">
        <f t="shared" si="45"/>
        <v>0</v>
      </c>
      <c r="N143" s="137" t="e">
        <f t="shared" si="42"/>
        <v>#DIV/0!</v>
      </c>
    </row>
    <row r="144" spans="1:14" ht="16.5" hidden="1" customHeight="1" x14ac:dyDescent="0.25">
      <c r="A144" s="266">
        <v>5116</v>
      </c>
      <c r="B144" s="83">
        <v>821100</v>
      </c>
      <c r="C144" s="84" t="s">
        <v>139</v>
      </c>
      <c r="D144" s="84"/>
      <c r="E144" s="108"/>
      <c r="F144" s="108"/>
      <c r="G144" s="109">
        <f t="shared" si="33"/>
        <v>0</v>
      </c>
      <c r="H144" s="108"/>
      <c r="I144" s="108"/>
      <c r="J144" s="108"/>
      <c r="K144" s="108"/>
      <c r="L144" s="108"/>
      <c r="M144" s="110"/>
      <c r="N144" s="137" t="e">
        <f t="shared" si="42"/>
        <v>#DIV/0!</v>
      </c>
    </row>
    <row r="145" spans="1:14" ht="16.5" hidden="1" customHeight="1" x14ac:dyDescent="0.25">
      <c r="A145" s="265">
        <v>5117</v>
      </c>
      <c r="B145" s="251">
        <v>822000</v>
      </c>
      <c r="C145" s="82" t="s">
        <v>140</v>
      </c>
      <c r="D145" s="82"/>
      <c r="E145" s="100">
        <f>E146</f>
        <v>0</v>
      </c>
      <c r="F145" s="100">
        <f>F146</f>
        <v>0</v>
      </c>
      <c r="G145" s="100">
        <f t="shared" si="33"/>
        <v>0</v>
      </c>
      <c r="H145" s="100">
        <f t="shared" ref="H145:M145" si="46">H146</f>
        <v>0</v>
      </c>
      <c r="I145" s="100">
        <f t="shared" si="46"/>
        <v>0</v>
      </c>
      <c r="J145" s="100">
        <f t="shared" si="46"/>
        <v>0</v>
      </c>
      <c r="K145" s="100">
        <f t="shared" si="46"/>
        <v>0</v>
      </c>
      <c r="L145" s="100">
        <f t="shared" si="46"/>
        <v>0</v>
      </c>
      <c r="M145" s="101">
        <f t="shared" si="46"/>
        <v>0</v>
      </c>
      <c r="N145" s="137" t="e">
        <f t="shared" si="42"/>
        <v>#DIV/0!</v>
      </c>
    </row>
    <row r="146" spans="1:14" ht="16.5" hidden="1" customHeight="1" x14ac:dyDescent="0.25">
      <c r="A146" s="266">
        <v>5118</v>
      </c>
      <c r="B146" s="83">
        <v>822100</v>
      </c>
      <c r="C146" s="84" t="s">
        <v>141</v>
      </c>
      <c r="D146" s="84"/>
      <c r="E146" s="108"/>
      <c r="F146" s="108"/>
      <c r="G146" s="109">
        <f t="shared" si="33"/>
        <v>0</v>
      </c>
      <c r="H146" s="108"/>
      <c r="I146" s="108"/>
      <c r="J146" s="108"/>
      <c r="K146" s="108"/>
      <c r="L146" s="108"/>
      <c r="M146" s="110"/>
      <c r="N146" s="137" t="e">
        <f t="shared" si="42"/>
        <v>#DIV/0!</v>
      </c>
    </row>
    <row r="147" spans="1:14" ht="16.5" hidden="1" customHeight="1" x14ac:dyDescent="0.25">
      <c r="A147" s="265">
        <v>5119</v>
      </c>
      <c r="B147" s="251">
        <v>823000</v>
      </c>
      <c r="C147" s="82" t="s">
        <v>142</v>
      </c>
      <c r="D147" s="82"/>
      <c r="E147" s="100">
        <f>E148</f>
        <v>0</v>
      </c>
      <c r="F147" s="100">
        <f>F148</f>
        <v>0</v>
      </c>
      <c r="G147" s="100">
        <f t="shared" si="33"/>
        <v>0</v>
      </c>
      <c r="H147" s="100">
        <f t="shared" ref="H147:M147" si="47">H148</f>
        <v>0</v>
      </c>
      <c r="I147" s="100">
        <f t="shared" si="47"/>
        <v>0</v>
      </c>
      <c r="J147" s="100">
        <f t="shared" si="47"/>
        <v>0</v>
      </c>
      <c r="K147" s="100">
        <f t="shared" si="47"/>
        <v>0</v>
      </c>
      <c r="L147" s="100">
        <f t="shared" si="47"/>
        <v>0</v>
      </c>
      <c r="M147" s="101">
        <f t="shared" si="47"/>
        <v>0</v>
      </c>
      <c r="N147" s="137" t="e">
        <f t="shared" si="42"/>
        <v>#DIV/0!</v>
      </c>
    </row>
    <row r="148" spans="1:14" ht="16.5" hidden="1" customHeight="1" x14ac:dyDescent="0.25">
      <c r="A148" s="266">
        <v>5120</v>
      </c>
      <c r="B148" s="83">
        <v>823100</v>
      </c>
      <c r="C148" s="84" t="s">
        <v>143</v>
      </c>
      <c r="D148" s="84"/>
      <c r="E148" s="108"/>
      <c r="F148" s="108"/>
      <c r="G148" s="109">
        <f t="shared" si="33"/>
        <v>0</v>
      </c>
      <c r="H148" s="108"/>
      <c r="I148" s="108"/>
      <c r="J148" s="108"/>
      <c r="K148" s="108"/>
      <c r="L148" s="108"/>
      <c r="M148" s="110"/>
      <c r="N148" s="137" t="e">
        <f t="shared" si="42"/>
        <v>#DIV/0!</v>
      </c>
    </row>
    <row r="149" spans="1:14" ht="16.5" hidden="1" customHeight="1" x14ac:dyDescent="0.25">
      <c r="A149" s="265">
        <v>5121</v>
      </c>
      <c r="B149" s="251">
        <v>830000</v>
      </c>
      <c r="C149" s="82" t="s">
        <v>144</v>
      </c>
      <c r="D149" s="82"/>
      <c r="E149" s="100">
        <f>E150</f>
        <v>0</v>
      </c>
      <c r="F149" s="100">
        <f>F150</f>
        <v>0</v>
      </c>
      <c r="G149" s="100">
        <f t="shared" si="33"/>
        <v>0</v>
      </c>
      <c r="H149" s="100">
        <f t="shared" ref="H149:M150" si="48">H150</f>
        <v>0</v>
      </c>
      <c r="I149" s="100">
        <f t="shared" si="48"/>
        <v>0</v>
      </c>
      <c r="J149" s="100">
        <f t="shared" si="48"/>
        <v>0</v>
      </c>
      <c r="K149" s="100">
        <f t="shared" si="48"/>
        <v>0</v>
      </c>
      <c r="L149" s="100">
        <f t="shared" si="48"/>
        <v>0</v>
      </c>
      <c r="M149" s="101">
        <f t="shared" si="48"/>
        <v>0</v>
      </c>
      <c r="N149" s="137" t="e">
        <f t="shared" si="42"/>
        <v>#DIV/0!</v>
      </c>
    </row>
    <row r="150" spans="1:14" ht="16.5" hidden="1" customHeight="1" x14ac:dyDescent="0.25">
      <c r="A150" s="265">
        <v>5122</v>
      </c>
      <c r="B150" s="251">
        <v>831000</v>
      </c>
      <c r="C150" s="82" t="s">
        <v>145</v>
      </c>
      <c r="D150" s="82"/>
      <c r="E150" s="100">
        <f>E151</f>
        <v>0</v>
      </c>
      <c r="F150" s="100">
        <f>F151</f>
        <v>0</v>
      </c>
      <c r="G150" s="100">
        <f t="shared" si="33"/>
        <v>0</v>
      </c>
      <c r="H150" s="100">
        <f t="shared" si="48"/>
        <v>0</v>
      </c>
      <c r="I150" s="100">
        <f t="shared" si="48"/>
        <v>0</v>
      </c>
      <c r="J150" s="100">
        <f t="shared" si="48"/>
        <v>0</v>
      </c>
      <c r="K150" s="100">
        <f t="shared" si="48"/>
        <v>0</v>
      </c>
      <c r="L150" s="100">
        <f t="shared" si="48"/>
        <v>0</v>
      </c>
      <c r="M150" s="101">
        <f t="shared" si="48"/>
        <v>0</v>
      </c>
      <c r="N150" s="137" t="e">
        <f t="shared" si="42"/>
        <v>#DIV/0!</v>
      </c>
    </row>
    <row r="151" spans="1:14" ht="16.5" hidden="1" customHeight="1" x14ac:dyDescent="0.25">
      <c r="A151" s="266">
        <v>5123</v>
      </c>
      <c r="B151" s="83">
        <v>831100</v>
      </c>
      <c r="C151" s="84" t="s">
        <v>146</v>
      </c>
      <c r="D151" s="84"/>
      <c r="E151" s="108"/>
      <c r="F151" s="108"/>
      <c r="G151" s="109">
        <f t="shared" si="33"/>
        <v>0</v>
      </c>
      <c r="H151" s="108"/>
      <c r="I151" s="108"/>
      <c r="J151" s="108"/>
      <c r="K151" s="108"/>
      <c r="L151" s="108"/>
      <c r="M151" s="110"/>
      <c r="N151" s="137" t="e">
        <f t="shared" si="42"/>
        <v>#DIV/0!</v>
      </c>
    </row>
    <row r="152" spans="1:14" ht="16.5" hidden="1" customHeight="1" x14ac:dyDescent="0.25">
      <c r="A152" s="265">
        <v>5124</v>
      </c>
      <c r="B152" s="251">
        <v>840000</v>
      </c>
      <c r="C152" s="82" t="s">
        <v>147</v>
      </c>
      <c r="D152" s="82"/>
      <c r="E152" s="100">
        <f>E153+E155+E161</f>
        <v>0</v>
      </c>
      <c r="F152" s="100">
        <f>F153+F155+F161</f>
        <v>0</v>
      </c>
      <c r="G152" s="100">
        <f t="shared" si="33"/>
        <v>0</v>
      </c>
      <c r="H152" s="100">
        <f t="shared" ref="H152:M152" si="49">H153+H155+H161</f>
        <v>0</v>
      </c>
      <c r="I152" s="100">
        <f t="shared" si="49"/>
        <v>0</v>
      </c>
      <c r="J152" s="100">
        <f t="shared" si="49"/>
        <v>0</v>
      </c>
      <c r="K152" s="100">
        <f t="shared" si="49"/>
        <v>0</v>
      </c>
      <c r="L152" s="100">
        <f t="shared" si="49"/>
        <v>0</v>
      </c>
      <c r="M152" s="101">
        <f t="shared" si="49"/>
        <v>0</v>
      </c>
      <c r="N152" s="137" t="e">
        <f t="shared" si="42"/>
        <v>#DIV/0!</v>
      </c>
    </row>
    <row r="153" spans="1:14" ht="16.5" hidden="1" customHeight="1" x14ac:dyDescent="0.25">
      <c r="A153" s="265">
        <v>5125</v>
      </c>
      <c r="B153" s="251">
        <v>841000</v>
      </c>
      <c r="C153" s="82" t="s">
        <v>148</v>
      </c>
      <c r="D153" s="82"/>
      <c r="E153" s="100">
        <f>E154</f>
        <v>0</v>
      </c>
      <c r="F153" s="100">
        <f>F154</f>
        <v>0</v>
      </c>
      <c r="G153" s="100">
        <f t="shared" si="33"/>
        <v>0</v>
      </c>
      <c r="H153" s="100">
        <f t="shared" ref="H153:M153" si="50">H154</f>
        <v>0</v>
      </c>
      <c r="I153" s="100">
        <f t="shared" si="50"/>
        <v>0</v>
      </c>
      <c r="J153" s="100">
        <f t="shared" si="50"/>
        <v>0</v>
      </c>
      <c r="K153" s="100">
        <f t="shared" si="50"/>
        <v>0</v>
      </c>
      <c r="L153" s="100">
        <f t="shared" si="50"/>
        <v>0</v>
      </c>
      <c r="M153" s="101">
        <f t="shared" si="50"/>
        <v>0</v>
      </c>
      <c r="N153" s="137" t="e">
        <f t="shared" si="42"/>
        <v>#DIV/0!</v>
      </c>
    </row>
    <row r="154" spans="1:14" ht="16.5" hidden="1" customHeight="1" x14ac:dyDescent="0.25">
      <c r="A154" s="266">
        <v>5126</v>
      </c>
      <c r="B154" s="83">
        <v>841100</v>
      </c>
      <c r="C154" s="84" t="s">
        <v>149</v>
      </c>
      <c r="D154" s="84"/>
      <c r="E154" s="108"/>
      <c r="F154" s="108"/>
      <c r="G154" s="109">
        <f t="shared" si="33"/>
        <v>0</v>
      </c>
      <c r="H154" s="108"/>
      <c r="I154" s="108"/>
      <c r="J154" s="108"/>
      <c r="K154" s="108"/>
      <c r="L154" s="108"/>
      <c r="M154" s="110"/>
      <c r="N154" s="137" t="e">
        <f t="shared" si="42"/>
        <v>#DIV/0!</v>
      </c>
    </row>
    <row r="155" spans="1:14" ht="16.5" hidden="1" customHeight="1" x14ac:dyDescent="0.25">
      <c r="A155" s="265">
        <v>5127</v>
      </c>
      <c r="B155" s="251">
        <v>842000</v>
      </c>
      <c r="C155" s="82" t="s">
        <v>150</v>
      </c>
      <c r="D155" s="82"/>
      <c r="E155" s="100">
        <f>E160</f>
        <v>0</v>
      </c>
      <c r="F155" s="100">
        <f>F160</f>
        <v>0</v>
      </c>
      <c r="G155" s="100">
        <f t="shared" si="33"/>
        <v>0</v>
      </c>
      <c r="H155" s="100">
        <f t="shared" ref="H155:M155" si="51">H160</f>
        <v>0</v>
      </c>
      <c r="I155" s="100">
        <f t="shared" si="51"/>
        <v>0</v>
      </c>
      <c r="J155" s="100">
        <f t="shared" si="51"/>
        <v>0</v>
      </c>
      <c r="K155" s="100">
        <f t="shared" si="51"/>
        <v>0</v>
      </c>
      <c r="L155" s="100">
        <f t="shared" si="51"/>
        <v>0</v>
      </c>
      <c r="M155" s="101">
        <f t="shared" si="51"/>
        <v>0</v>
      </c>
      <c r="N155" s="137" t="e">
        <f t="shared" si="42"/>
        <v>#DIV/0!</v>
      </c>
    </row>
    <row r="156" spans="1:14" ht="16.5" hidden="1" customHeight="1" x14ac:dyDescent="0.25">
      <c r="A156" s="645" t="s">
        <v>0</v>
      </c>
      <c r="B156" s="646" t="s">
        <v>1</v>
      </c>
      <c r="C156" s="585" t="s">
        <v>2</v>
      </c>
      <c r="D156" s="254"/>
      <c r="E156" s="575" t="s">
        <v>3</v>
      </c>
      <c r="F156" s="252" t="s">
        <v>3</v>
      </c>
      <c r="G156" s="575" t="s">
        <v>4</v>
      </c>
      <c r="H156" s="575"/>
      <c r="I156" s="575"/>
      <c r="J156" s="575"/>
      <c r="K156" s="575"/>
      <c r="L156" s="575"/>
      <c r="M156" s="582"/>
      <c r="N156" s="137" t="e">
        <f t="shared" si="42"/>
        <v>#VALUE!</v>
      </c>
    </row>
    <row r="157" spans="1:14" ht="16.5" hidden="1" customHeight="1" x14ac:dyDescent="0.25">
      <c r="A157" s="645"/>
      <c r="B157" s="646"/>
      <c r="C157" s="585"/>
      <c r="D157" s="254"/>
      <c r="E157" s="575"/>
      <c r="F157" s="252"/>
      <c r="G157" s="581" t="s">
        <v>5</v>
      </c>
      <c r="H157" s="575" t="s">
        <v>6</v>
      </c>
      <c r="I157" s="575"/>
      <c r="J157" s="575"/>
      <c r="K157" s="575"/>
      <c r="L157" s="575" t="s">
        <v>7</v>
      </c>
      <c r="M157" s="582" t="s">
        <v>8</v>
      </c>
      <c r="N157" s="137" t="e">
        <f t="shared" si="42"/>
        <v>#VALUE!</v>
      </c>
    </row>
    <row r="158" spans="1:14" ht="16.5" hidden="1" customHeight="1" x14ac:dyDescent="0.25">
      <c r="A158" s="645"/>
      <c r="B158" s="646"/>
      <c r="C158" s="585"/>
      <c r="D158" s="254"/>
      <c r="E158" s="575"/>
      <c r="F158" s="252"/>
      <c r="G158" s="581"/>
      <c r="H158" s="252" t="s">
        <v>9</v>
      </c>
      <c r="I158" s="252" t="s">
        <v>10</v>
      </c>
      <c r="J158" s="252" t="s">
        <v>11</v>
      </c>
      <c r="K158" s="252" t="s">
        <v>12</v>
      </c>
      <c r="L158" s="575"/>
      <c r="M158" s="582"/>
      <c r="N158" s="137" t="e">
        <f t="shared" si="42"/>
        <v>#DIV/0!</v>
      </c>
    </row>
    <row r="159" spans="1:14" ht="16.5" hidden="1" customHeight="1" x14ac:dyDescent="0.25">
      <c r="A159" s="270" t="s">
        <v>18</v>
      </c>
      <c r="B159" s="95" t="s">
        <v>19</v>
      </c>
      <c r="C159" s="253" t="s">
        <v>20</v>
      </c>
      <c r="D159" s="253"/>
      <c r="E159" s="86" t="s">
        <v>21</v>
      </c>
      <c r="F159" s="86" t="s">
        <v>21</v>
      </c>
      <c r="G159" s="86" t="s">
        <v>22</v>
      </c>
      <c r="H159" s="86" t="s">
        <v>23</v>
      </c>
      <c r="I159" s="86" t="s">
        <v>24</v>
      </c>
      <c r="J159" s="86" t="s">
        <v>25</v>
      </c>
      <c r="K159" s="86" t="s">
        <v>26</v>
      </c>
      <c r="L159" s="86" t="s">
        <v>27</v>
      </c>
      <c r="M159" s="98" t="s">
        <v>28</v>
      </c>
      <c r="N159" s="137">
        <f t="shared" si="42"/>
        <v>1.25</v>
      </c>
    </row>
    <row r="160" spans="1:14" ht="16.5" hidden="1" customHeight="1" x14ac:dyDescent="0.25">
      <c r="A160" s="266">
        <v>5128</v>
      </c>
      <c r="B160" s="83">
        <v>842100</v>
      </c>
      <c r="C160" s="84" t="s">
        <v>151</v>
      </c>
      <c r="D160" s="84"/>
      <c r="E160" s="108"/>
      <c r="F160" s="108"/>
      <c r="G160" s="109">
        <f t="shared" si="33"/>
        <v>0</v>
      </c>
      <c r="H160" s="108"/>
      <c r="I160" s="108"/>
      <c r="J160" s="108"/>
      <c r="K160" s="108"/>
      <c r="L160" s="108"/>
      <c r="M160" s="110"/>
      <c r="N160" s="137" t="e">
        <f t="shared" si="42"/>
        <v>#DIV/0!</v>
      </c>
    </row>
    <row r="161" spans="1:14" ht="16.5" hidden="1" customHeight="1" x14ac:dyDescent="0.25">
      <c r="A161" s="265">
        <v>5129</v>
      </c>
      <c r="B161" s="251">
        <v>843000</v>
      </c>
      <c r="C161" s="82" t="s">
        <v>152</v>
      </c>
      <c r="D161" s="82"/>
      <c r="E161" s="100">
        <f>E162</f>
        <v>0</v>
      </c>
      <c r="F161" s="100">
        <f>F162</f>
        <v>0</v>
      </c>
      <c r="G161" s="100">
        <f t="shared" si="33"/>
        <v>0</v>
      </c>
      <c r="H161" s="100">
        <f t="shared" ref="H161:M161" si="52">H162</f>
        <v>0</v>
      </c>
      <c r="I161" s="100">
        <f t="shared" si="52"/>
        <v>0</v>
      </c>
      <c r="J161" s="100">
        <f t="shared" si="52"/>
        <v>0</v>
      </c>
      <c r="K161" s="100">
        <f t="shared" si="52"/>
        <v>0</v>
      </c>
      <c r="L161" s="100">
        <f t="shared" si="52"/>
        <v>0</v>
      </c>
      <c r="M161" s="101">
        <f t="shared" si="52"/>
        <v>0</v>
      </c>
      <c r="N161" s="137" t="e">
        <f t="shared" si="42"/>
        <v>#DIV/0!</v>
      </c>
    </row>
    <row r="162" spans="1:14" ht="16.5" hidden="1" customHeight="1" x14ac:dyDescent="0.25">
      <c r="A162" s="266">
        <v>5130</v>
      </c>
      <c r="B162" s="83">
        <v>843100</v>
      </c>
      <c r="C162" s="84" t="s">
        <v>153</v>
      </c>
      <c r="D162" s="84"/>
      <c r="E162" s="108"/>
      <c r="F162" s="108"/>
      <c r="G162" s="109">
        <f t="shared" si="33"/>
        <v>0</v>
      </c>
      <c r="H162" s="108"/>
      <c r="I162" s="108"/>
      <c r="J162" s="108"/>
      <c r="K162" s="108"/>
      <c r="L162" s="108"/>
      <c r="M162" s="110"/>
      <c r="N162" s="137" t="e">
        <f t="shared" si="42"/>
        <v>#DIV/0!</v>
      </c>
    </row>
    <row r="163" spans="1:14" ht="16.5" hidden="1" customHeight="1" x14ac:dyDescent="0.25">
      <c r="A163" s="265">
        <v>5131</v>
      </c>
      <c r="B163" s="251">
        <v>900000</v>
      </c>
      <c r="C163" s="82" t="s">
        <v>154</v>
      </c>
      <c r="D163" s="82"/>
      <c r="E163" s="100">
        <f>E164+E187</f>
        <v>0</v>
      </c>
      <c r="F163" s="100">
        <f>F164+F187</f>
        <v>0</v>
      </c>
      <c r="G163" s="100">
        <f t="shared" ref="G163:G198" si="53">SUM(H163:M163)</f>
        <v>0</v>
      </c>
      <c r="H163" s="100">
        <f t="shared" ref="H163:M163" si="54">H164+H187</f>
        <v>0</v>
      </c>
      <c r="I163" s="100">
        <f t="shared" si="54"/>
        <v>0</v>
      </c>
      <c r="J163" s="100">
        <f t="shared" si="54"/>
        <v>0</v>
      </c>
      <c r="K163" s="100">
        <f t="shared" si="54"/>
        <v>0</v>
      </c>
      <c r="L163" s="100">
        <f t="shared" si="54"/>
        <v>0</v>
      </c>
      <c r="M163" s="101">
        <f t="shared" si="54"/>
        <v>0</v>
      </c>
      <c r="N163" s="137" t="e">
        <f t="shared" si="42"/>
        <v>#DIV/0!</v>
      </c>
    </row>
    <row r="164" spans="1:14" ht="16.5" hidden="1" customHeight="1" x14ac:dyDescent="0.25">
      <c r="A164" s="265">
        <v>5132</v>
      </c>
      <c r="B164" s="251">
        <v>910000</v>
      </c>
      <c r="C164" s="82" t="s">
        <v>155</v>
      </c>
      <c r="D164" s="82"/>
      <c r="E164" s="100">
        <f>E165+E175</f>
        <v>0</v>
      </c>
      <c r="F164" s="100">
        <f>F165+F175</f>
        <v>0</v>
      </c>
      <c r="G164" s="100">
        <f t="shared" si="53"/>
        <v>0</v>
      </c>
      <c r="H164" s="100">
        <f t="shared" ref="H164:M164" si="55">H165+H175</f>
        <v>0</v>
      </c>
      <c r="I164" s="100">
        <f t="shared" si="55"/>
        <v>0</v>
      </c>
      <c r="J164" s="100">
        <f t="shared" si="55"/>
        <v>0</v>
      </c>
      <c r="K164" s="100">
        <f t="shared" si="55"/>
        <v>0</v>
      </c>
      <c r="L164" s="100">
        <f t="shared" si="55"/>
        <v>0</v>
      </c>
      <c r="M164" s="101">
        <f t="shared" si="55"/>
        <v>0</v>
      </c>
      <c r="N164" s="137" t="e">
        <f t="shared" si="42"/>
        <v>#DIV/0!</v>
      </c>
    </row>
    <row r="165" spans="1:14" ht="16.5" hidden="1" customHeight="1" x14ac:dyDescent="0.25">
      <c r="A165" s="265">
        <v>5133</v>
      </c>
      <c r="B165" s="251">
        <v>911000</v>
      </c>
      <c r="C165" s="82" t="s">
        <v>156</v>
      </c>
      <c r="D165" s="82"/>
      <c r="E165" s="100">
        <f>SUM(E166:E174)</f>
        <v>0</v>
      </c>
      <c r="F165" s="100">
        <f>SUM(F166:F174)</f>
        <v>0</v>
      </c>
      <c r="G165" s="100">
        <f t="shared" si="53"/>
        <v>0</v>
      </c>
      <c r="H165" s="100">
        <f t="shared" ref="H165:M165" si="56">SUM(H166:H174)</f>
        <v>0</v>
      </c>
      <c r="I165" s="100">
        <f t="shared" si="56"/>
        <v>0</v>
      </c>
      <c r="J165" s="100">
        <f t="shared" si="56"/>
        <v>0</v>
      </c>
      <c r="K165" s="100">
        <f t="shared" si="56"/>
        <v>0</v>
      </c>
      <c r="L165" s="100">
        <f t="shared" si="56"/>
        <v>0</v>
      </c>
      <c r="M165" s="101">
        <f t="shared" si="56"/>
        <v>0</v>
      </c>
      <c r="N165" s="137" t="e">
        <f t="shared" si="42"/>
        <v>#DIV/0!</v>
      </c>
    </row>
    <row r="166" spans="1:14" ht="16.5" hidden="1" customHeight="1" x14ac:dyDescent="0.25">
      <c r="A166" s="266">
        <v>5134</v>
      </c>
      <c r="B166" s="83">
        <v>911100</v>
      </c>
      <c r="C166" s="84" t="s">
        <v>157</v>
      </c>
      <c r="D166" s="84"/>
      <c r="E166" s="108"/>
      <c r="F166" s="108"/>
      <c r="G166" s="109">
        <f t="shared" si="53"/>
        <v>0</v>
      </c>
      <c r="H166" s="108"/>
      <c r="I166" s="108"/>
      <c r="J166" s="108"/>
      <c r="K166" s="108"/>
      <c r="L166" s="108"/>
      <c r="M166" s="110"/>
      <c r="N166" s="137" t="e">
        <f t="shared" si="42"/>
        <v>#DIV/0!</v>
      </c>
    </row>
    <row r="167" spans="1:14" ht="16.5" hidden="1" customHeight="1" x14ac:dyDescent="0.25">
      <c r="A167" s="266">
        <v>5135</v>
      </c>
      <c r="B167" s="83">
        <v>911200</v>
      </c>
      <c r="C167" s="84" t="s">
        <v>158</v>
      </c>
      <c r="D167" s="84"/>
      <c r="E167" s="108"/>
      <c r="F167" s="108"/>
      <c r="G167" s="109">
        <f t="shared" si="53"/>
        <v>0</v>
      </c>
      <c r="H167" s="108"/>
      <c r="I167" s="108"/>
      <c r="J167" s="108"/>
      <c r="K167" s="108"/>
      <c r="L167" s="108"/>
      <c r="M167" s="110"/>
      <c r="N167" s="137" t="e">
        <f t="shared" si="42"/>
        <v>#DIV/0!</v>
      </c>
    </row>
    <row r="168" spans="1:14" ht="16.5" hidden="1" customHeight="1" x14ac:dyDescent="0.25">
      <c r="A168" s="266">
        <v>5136</v>
      </c>
      <c r="B168" s="83">
        <v>911300</v>
      </c>
      <c r="C168" s="84" t="s">
        <v>159</v>
      </c>
      <c r="D168" s="84"/>
      <c r="E168" s="108"/>
      <c r="F168" s="108"/>
      <c r="G168" s="109">
        <f t="shared" si="53"/>
        <v>0</v>
      </c>
      <c r="H168" s="108"/>
      <c r="I168" s="108"/>
      <c r="J168" s="108"/>
      <c r="K168" s="108"/>
      <c r="L168" s="108"/>
      <c r="M168" s="110"/>
      <c r="N168" s="137" t="e">
        <f t="shared" si="42"/>
        <v>#DIV/0!</v>
      </c>
    </row>
    <row r="169" spans="1:14" ht="16.5" hidden="1" customHeight="1" x14ac:dyDescent="0.25">
      <c r="A169" s="266">
        <v>5137</v>
      </c>
      <c r="B169" s="83">
        <v>911400</v>
      </c>
      <c r="C169" s="84" t="s">
        <v>160</v>
      </c>
      <c r="D169" s="84"/>
      <c r="E169" s="108"/>
      <c r="F169" s="108"/>
      <c r="G169" s="109">
        <f t="shared" si="53"/>
        <v>0</v>
      </c>
      <c r="H169" s="108"/>
      <c r="I169" s="108"/>
      <c r="J169" s="108"/>
      <c r="K169" s="108"/>
      <c r="L169" s="108"/>
      <c r="M169" s="110"/>
      <c r="N169" s="137" t="e">
        <f t="shared" si="42"/>
        <v>#DIV/0!</v>
      </c>
    </row>
    <row r="170" spans="1:14" ht="16.5" hidden="1" customHeight="1" x14ac:dyDescent="0.25">
      <c r="A170" s="266">
        <v>5138</v>
      </c>
      <c r="B170" s="83">
        <v>911500</v>
      </c>
      <c r="C170" s="84" t="s">
        <v>161</v>
      </c>
      <c r="D170" s="84"/>
      <c r="E170" s="108"/>
      <c r="F170" s="108"/>
      <c r="G170" s="109">
        <f t="shared" si="53"/>
        <v>0</v>
      </c>
      <c r="H170" s="108"/>
      <c r="I170" s="108"/>
      <c r="J170" s="108"/>
      <c r="K170" s="108"/>
      <c r="L170" s="108"/>
      <c r="M170" s="110"/>
      <c r="N170" s="137" t="e">
        <f t="shared" si="42"/>
        <v>#DIV/0!</v>
      </c>
    </row>
    <row r="171" spans="1:14" ht="16.5" hidden="1" customHeight="1" x14ac:dyDescent="0.25">
      <c r="A171" s="266">
        <v>5139</v>
      </c>
      <c r="B171" s="83">
        <v>911600</v>
      </c>
      <c r="C171" s="84" t="s">
        <v>162</v>
      </c>
      <c r="D171" s="84"/>
      <c r="E171" s="108"/>
      <c r="F171" s="108"/>
      <c r="G171" s="109">
        <f t="shared" si="53"/>
        <v>0</v>
      </c>
      <c r="H171" s="108"/>
      <c r="I171" s="108"/>
      <c r="J171" s="108"/>
      <c r="K171" s="108"/>
      <c r="L171" s="108"/>
      <c r="M171" s="110"/>
      <c r="N171" s="137" t="e">
        <f t="shared" si="42"/>
        <v>#DIV/0!</v>
      </c>
    </row>
    <row r="172" spans="1:14" ht="16.5" hidden="1" customHeight="1" x14ac:dyDescent="0.25">
      <c r="A172" s="266">
        <v>5140</v>
      </c>
      <c r="B172" s="83">
        <v>911700</v>
      </c>
      <c r="C172" s="84" t="s">
        <v>163</v>
      </c>
      <c r="D172" s="84"/>
      <c r="E172" s="108"/>
      <c r="F172" s="108"/>
      <c r="G172" s="109">
        <f t="shared" si="53"/>
        <v>0</v>
      </c>
      <c r="H172" s="108"/>
      <c r="I172" s="108"/>
      <c r="J172" s="108"/>
      <c r="K172" s="108"/>
      <c r="L172" s="108"/>
      <c r="M172" s="110"/>
      <c r="N172" s="137" t="e">
        <f t="shared" si="42"/>
        <v>#DIV/0!</v>
      </c>
    </row>
    <row r="173" spans="1:14" ht="16.5" hidden="1" customHeight="1" x14ac:dyDescent="0.25">
      <c r="A173" s="266">
        <v>5141</v>
      </c>
      <c r="B173" s="83">
        <v>911800</v>
      </c>
      <c r="C173" s="84" t="s">
        <v>164</v>
      </c>
      <c r="D173" s="84"/>
      <c r="E173" s="108"/>
      <c r="F173" s="108"/>
      <c r="G173" s="109">
        <f t="shared" si="53"/>
        <v>0</v>
      </c>
      <c r="H173" s="108"/>
      <c r="I173" s="108"/>
      <c r="J173" s="108"/>
      <c r="K173" s="108"/>
      <c r="L173" s="108"/>
      <c r="M173" s="110"/>
      <c r="N173" s="137" t="e">
        <f t="shared" si="42"/>
        <v>#DIV/0!</v>
      </c>
    </row>
    <row r="174" spans="1:14" ht="16.5" hidden="1" customHeight="1" x14ac:dyDescent="0.25">
      <c r="A174" s="266">
        <v>5142</v>
      </c>
      <c r="B174" s="83">
        <v>911900</v>
      </c>
      <c r="C174" s="84" t="s">
        <v>165</v>
      </c>
      <c r="D174" s="84"/>
      <c r="E174" s="108"/>
      <c r="F174" s="108"/>
      <c r="G174" s="109">
        <f t="shared" si="53"/>
        <v>0</v>
      </c>
      <c r="H174" s="108"/>
      <c r="I174" s="108"/>
      <c r="J174" s="108"/>
      <c r="K174" s="108"/>
      <c r="L174" s="108"/>
      <c r="M174" s="110"/>
      <c r="N174" s="137" t="e">
        <f t="shared" si="42"/>
        <v>#DIV/0!</v>
      </c>
    </row>
    <row r="175" spans="1:14" ht="16.5" hidden="1" customHeight="1" x14ac:dyDescent="0.25">
      <c r="A175" s="265">
        <v>5143</v>
      </c>
      <c r="B175" s="251">
        <v>912000</v>
      </c>
      <c r="C175" s="82" t="s">
        <v>166</v>
      </c>
      <c r="D175" s="82"/>
      <c r="E175" s="100">
        <f>SUM(E176:E186)</f>
        <v>0</v>
      </c>
      <c r="F175" s="100">
        <f>SUM(F176:F186)</f>
        <v>0</v>
      </c>
      <c r="G175" s="100">
        <f t="shared" si="53"/>
        <v>0</v>
      </c>
      <c r="H175" s="100">
        <f t="shared" ref="H175:M175" si="57">SUM(H176:H186)</f>
        <v>0</v>
      </c>
      <c r="I175" s="100">
        <f t="shared" si="57"/>
        <v>0</v>
      </c>
      <c r="J175" s="100">
        <f t="shared" si="57"/>
        <v>0</v>
      </c>
      <c r="K175" s="100">
        <f t="shared" si="57"/>
        <v>0</v>
      </c>
      <c r="L175" s="100">
        <f t="shared" si="57"/>
        <v>0</v>
      </c>
      <c r="M175" s="101">
        <f t="shared" si="57"/>
        <v>0</v>
      </c>
      <c r="N175" s="137" t="e">
        <f t="shared" si="42"/>
        <v>#DIV/0!</v>
      </c>
    </row>
    <row r="176" spans="1:14" ht="16.5" hidden="1" customHeight="1" x14ac:dyDescent="0.25">
      <c r="A176" s="266">
        <v>5144</v>
      </c>
      <c r="B176" s="83">
        <v>912100</v>
      </c>
      <c r="C176" s="84" t="s">
        <v>167</v>
      </c>
      <c r="D176" s="84"/>
      <c r="E176" s="108"/>
      <c r="F176" s="108"/>
      <c r="G176" s="109">
        <f t="shared" si="53"/>
        <v>0</v>
      </c>
      <c r="H176" s="108"/>
      <c r="I176" s="108"/>
      <c r="J176" s="108"/>
      <c r="K176" s="108"/>
      <c r="L176" s="108"/>
      <c r="M176" s="110"/>
      <c r="N176" s="137" t="e">
        <f t="shared" si="42"/>
        <v>#DIV/0!</v>
      </c>
    </row>
    <row r="177" spans="1:14" ht="16.5" hidden="1" customHeight="1" x14ac:dyDescent="0.25">
      <c r="A177" s="266">
        <v>5145</v>
      </c>
      <c r="B177" s="83">
        <v>912200</v>
      </c>
      <c r="C177" s="84" t="s">
        <v>168</v>
      </c>
      <c r="D177" s="84"/>
      <c r="E177" s="108"/>
      <c r="F177" s="108"/>
      <c r="G177" s="109">
        <f t="shared" si="53"/>
        <v>0</v>
      </c>
      <c r="H177" s="108"/>
      <c r="I177" s="108"/>
      <c r="J177" s="108"/>
      <c r="K177" s="108"/>
      <c r="L177" s="108"/>
      <c r="M177" s="110"/>
      <c r="N177" s="137" t="e">
        <f t="shared" si="42"/>
        <v>#DIV/0!</v>
      </c>
    </row>
    <row r="178" spans="1:14" ht="16.5" hidden="1" customHeight="1" x14ac:dyDescent="0.25">
      <c r="A178" s="266">
        <v>5146</v>
      </c>
      <c r="B178" s="83">
        <v>912300</v>
      </c>
      <c r="C178" s="84" t="s">
        <v>169</v>
      </c>
      <c r="D178" s="84"/>
      <c r="E178" s="108"/>
      <c r="F178" s="108"/>
      <c r="G178" s="109">
        <f t="shared" si="53"/>
        <v>0</v>
      </c>
      <c r="H178" s="108"/>
      <c r="I178" s="108"/>
      <c r="J178" s="108"/>
      <c r="K178" s="108"/>
      <c r="L178" s="108"/>
      <c r="M178" s="110"/>
      <c r="N178" s="137" t="e">
        <f t="shared" si="42"/>
        <v>#DIV/0!</v>
      </c>
    </row>
    <row r="179" spans="1:14" ht="16.5" hidden="1" customHeight="1" x14ac:dyDescent="0.25">
      <c r="A179" s="266">
        <v>5147</v>
      </c>
      <c r="B179" s="83">
        <v>912400</v>
      </c>
      <c r="C179" s="84" t="s">
        <v>170</v>
      </c>
      <c r="D179" s="84"/>
      <c r="E179" s="108"/>
      <c r="F179" s="108"/>
      <c r="G179" s="109">
        <f t="shared" si="53"/>
        <v>0</v>
      </c>
      <c r="H179" s="108"/>
      <c r="I179" s="108"/>
      <c r="J179" s="108"/>
      <c r="K179" s="108"/>
      <c r="L179" s="108"/>
      <c r="M179" s="110"/>
      <c r="N179" s="137" t="e">
        <f t="shared" si="42"/>
        <v>#DIV/0!</v>
      </c>
    </row>
    <row r="180" spans="1:14" ht="16.5" hidden="1" customHeight="1" x14ac:dyDescent="0.25">
      <c r="A180" s="266">
        <v>5148</v>
      </c>
      <c r="B180" s="83">
        <v>912500</v>
      </c>
      <c r="C180" s="84" t="s">
        <v>171</v>
      </c>
      <c r="D180" s="84"/>
      <c r="E180" s="108"/>
      <c r="F180" s="108"/>
      <c r="G180" s="109">
        <f t="shared" si="53"/>
        <v>0</v>
      </c>
      <c r="H180" s="108"/>
      <c r="I180" s="108"/>
      <c r="J180" s="108"/>
      <c r="K180" s="108"/>
      <c r="L180" s="108"/>
      <c r="M180" s="110"/>
      <c r="N180" s="137" t="e">
        <f t="shared" si="42"/>
        <v>#DIV/0!</v>
      </c>
    </row>
    <row r="181" spans="1:14" ht="16.5" hidden="1" customHeight="1" x14ac:dyDescent="0.25">
      <c r="A181" s="266">
        <v>5149</v>
      </c>
      <c r="B181" s="83">
        <v>912600</v>
      </c>
      <c r="C181" s="84" t="s">
        <v>172</v>
      </c>
      <c r="D181" s="84"/>
      <c r="E181" s="108"/>
      <c r="F181" s="108"/>
      <c r="G181" s="109">
        <f t="shared" si="53"/>
        <v>0</v>
      </c>
      <c r="H181" s="108"/>
      <c r="I181" s="108"/>
      <c r="J181" s="108"/>
      <c r="K181" s="108"/>
      <c r="L181" s="108"/>
      <c r="M181" s="110"/>
      <c r="N181" s="137" t="e">
        <f t="shared" si="42"/>
        <v>#DIV/0!</v>
      </c>
    </row>
    <row r="182" spans="1:14" ht="16.5" hidden="1" customHeight="1" x14ac:dyDescent="0.25">
      <c r="A182" s="645" t="s">
        <v>0</v>
      </c>
      <c r="B182" s="646" t="s">
        <v>1</v>
      </c>
      <c r="C182" s="585" t="s">
        <v>2</v>
      </c>
      <c r="D182" s="254"/>
      <c r="E182" s="575" t="s">
        <v>3</v>
      </c>
      <c r="F182" s="252" t="s">
        <v>3</v>
      </c>
      <c r="G182" s="575" t="s">
        <v>4</v>
      </c>
      <c r="H182" s="575"/>
      <c r="I182" s="575"/>
      <c r="J182" s="575"/>
      <c r="K182" s="575"/>
      <c r="L182" s="575"/>
      <c r="M182" s="582"/>
      <c r="N182" s="137" t="e">
        <f t="shared" si="42"/>
        <v>#VALUE!</v>
      </c>
    </row>
    <row r="183" spans="1:14" ht="16.5" hidden="1" customHeight="1" x14ac:dyDescent="0.25">
      <c r="A183" s="645"/>
      <c r="B183" s="646"/>
      <c r="C183" s="585"/>
      <c r="D183" s="254"/>
      <c r="E183" s="575"/>
      <c r="F183" s="252"/>
      <c r="G183" s="581" t="s">
        <v>5</v>
      </c>
      <c r="H183" s="575" t="s">
        <v>6</v>
      </c>
      <c r="I183" s="575"/>
      <c r="J183" s="575"/>
      <c r="K183" s="575"/>
      <c r="L183" s="575" t="s">
        <v>7</v>
      </c>
      <c r="M183" s="582" t="s">
        <v>8</v>
      </c>
      <c r="N183" s="137" t="e">
        <f t="shared" si="42"/>
        <v>#VALUE!</v>
      </c>
    </row>
    <row r="184" spans="1:14" ht="16.5" hidden="1" customHeight="1" x14ac:dyDescent="0.25">
      <c r="A184" s="645"/>
      <c r="B184" s="646"/>
      <c r="C184" s="585"/>
      <c r="D184" s="254"/>
      <c r="E184" s="575"/>
      <c r="F184" s="252"/>
      <c r="G184" s="581"/>
      <c r="H184" s="252" t="s">
        <v>9</v>
      </c>
      <c r="I184" s="252" t="s">
        <v>10</v>
      </c>
      <c r="J184" s="252" t="s">
        <v>11</v>
      </c>
      <c r="K184" s="252" t="s">
        <v>12</v>
      </c>
      <c r="L184" s="575"/>
      <c r="M184" s="582"/>
      <c r="N184" s="137" t="e">
        <f t="shared" si="42"/>
        <v>#DIV/0!</v>
      </c>
    </row>
    <row r="185" spans="1:14" ht="16.5" hidden="1" customHeight="1" x14ac:dyDescent="0.25">
      <c r="A185" s="270" t="s">
        <v>18</v>
      </c>
      <c r="B185" s="95" t="s">
        <v>19</v>
      </c>
      <c r="C185" s="253" t="s">
        <v>20</v>
      </c>
      <c r="D185" s="253"/>
      <c r="E185" s="86" t="s">
        <v>21</v>
      </c>
      <c r="F185" s="86" t="s">
        <v>21</v>
      </c>
      <c r="G185" s="86" t="s">
        <v>22</v>
      </c>
      <c r="H185" s="86" t="s">
        <v>23</v>
      </c>
      <c r="I185" s="86" t="s">
        <v>24</v>
      </c>
      <c r="J185" s="86" t="s">
        <v>25</v>
      </c>
      <c r="K185" s="86" t="s">
        <v>26</v>
      </c>
      <c r="L185" s="86" t="s">
        <v>27</v>
      </c>
      <c r="M185" s="98" t="s">
        <v>28</v>
      </c>
      <c r="N185" s="137">
        <f t="shared" si="42"/>
        <v>1.25</v>
      </c>
    </row>
    <row r="186" spans="1:14" ht="16.5" hidden="1" customHeight="1" x14ac:dyDescent="0.25">
      <c r="A186" s="266">
        <v>5150</v>
      </c>
      <c r="B186" s="83">
        <v>912900</v>
      </c>
      <c r="C186" s="84" t="s">
        <v>173</v>
      </c>
      <c r="D186" s="84"/>
      <c r="E186" s="108"/>
      <c r="F186" s="108"/>
      <c r="G186" s="109">
        <f t="shared" si="53"/>
        <v>0</v>
      </c>
      <c r="H186" s="108"/>
      <c r="I186" s="108"/>
      <c r="J186" s="108"/>
      <c r="K186" s="108"/>
      <c r="L186" s="108"/>
      <c r="M186" s="110"/>
      <c r="N186" s="137" t="e">
        <f t="shared" si="42"/>
        <v>#DIV/0!</v>
      </c>
    </row>
    <row r="187" spans="1:14" ht="16.5" hidden="1" customHeight="1" x14ac:dyDescent="0.25">
      <c r="A187" s="265">
        <v>5151</v>
      </c>
      <c r="B187" s="251">
        <v>920000</v>
      </c>
      <c r="C187" s="82" t="s">
        <v>174</v>
      </c>
      <c r="D187" s="82"/>
      <c r="E187" s="100">
        <f>E188+E198</f>
        <v>0</v>
      </c>
      <c r="F187" s="100">
        <f>F188+F198</f>
        <v>0</v>
      </c>
      <c r="G187" s="100">
        <f t="shared" si="53"/>
        <v>0</v>
      </c>
      <c r="H187" s="100">
        <f t="shared" ref="H187:M187" si="58">H188+H198</f>
        <v>0</v>
      </c>
      <c r="I187" s="100">
        <f t="shared" si="58"/>
        <v>0</v>
      </c>
      <c r="J187" s="100">
        <f t="shared" si="58"/>
        <v>0</v>
      </c>
      <c r="K187" s="100">
        <f t="shared" si="58"/>
        <v>0</v>
      </c>
      <c r="L187" s="100">
        <f t="shared" si="58"/>
        <v>0</v>
      </c>
      <c r="M187" s="101">
        <f t="shared" si="58"/>
        <v>0</v>
      </c>
      <c r="N187" s="137" t="e">
        <f t="shared" si="42"/>
        <v>#DIV/0!</v>
      </c>
    </row>
    <row r="188" spans="1:14" ht="16.5" hidden="1" customHeight="1" x14ac:dyDescent="0.25">
      <c r="A188" s="265">
        <v>5152</v>
      </c>
      <c r="B188" s="251">
        <v>921000</v>
      </c>
      <c r="C188" s="82" t="s">
        <v>175</v>
      </c>
      <c r="D188" s="82"/>
      <c r="E188" s="100">
        <f>SUM(E189:E197)</f>
        <v>0</v>
      </c>
      <c r="F188" s="100">
        <f>SUM(F189:F197)</f>
        <v>0</v>
      </c>
      <c r="G188" s="100">
        <f t="shared" si="53"/>
        <v>0</v>
      </c>
      <c r="H188" s="100">
        <f t="shared" ref="H188:M188" si="59">SUM(H189:H197)</f>
        <v>0</v>
      </c>
      <c r="I188" s="100">
        <f t="shared" si="59"/>
        <v>0</v>
      </c>
      <c r="J188" s="100">
        <f t="shared" si="59"/>
        <v>0</v>
      </c>
      <c r="K188" s="100">
        <f t="shared" si="59"/>
        <v>0</v>
      </c>
      <c r="L188" s="100">
        <f t="shared" si="59"/>
        <v>0</v>
      </c>
      <c r="M188" s="101">
        <f t="shared" si="59"/>
        <v>0</v>
      </c>
      <c r="N188" s="137" t="e">
        <f t="shared" si="42"/>
        <v>#DIV/0!</v>
      </c>
    </row>
    <row r="189" spans="1:14" ht="16.5" hidden="1" customHeight="1" x14ac:dyDescent="0.25">
      <c r="A189" s="266">
        <v>5153</v>
      </c>
      <c r="B189" s="83">
        <v>921100</v>
      </c>
      <c r="C189" s="84" t="s">
        <v>176</v>
      </c>
      <c r="D189" s="84"/>
      <c r="E189" s="108"/>
      <c r="F189" s="108"/>
      <c r="G189" s="109">
        <f t="shared" si="53"/>
        <v>0</v>
      </c>
      <c r="H189" s="108"/>
      <c r="I189" s="108"/>
      <c r="J189" s="108"/>
      <c r="K189" s="108"/>
      <c r="L189" s="108"/>
      <c r="M189" s="110"/>
      <c r="N189" s="137" t="e">
        <f t="shared" si="42"/>
        <v>#DIV/0!</v>
      </c>
    </row>
    <row r="190" spans="1:14" ht="16.5" hidden="1" customHeight="1" x14ac:dyDescent="0.25">
      <c r="A190" s="266">
        <v>5154</v>
      </c>
      <c r="B190" s="83">
        <v>921200</v>
      </c>
      <c r="C190" s="84" t="s">
        <v>177</v>
      </c>
      <c r="D190" s="84"/>
      <c r="E190" s="108"/>
      <c r="F190" s="108"/>
      <c r="G190" s="109">
        <f t="shared" si="53"/>
        <v>0</v>
      </c>
      <c r="H190" s="108"/>
      <c r="I190" s="108"/>
      <c r="J190" s="108"/>
      <c r="K190" s="108"/>
      <c r="L190" s="108"/>
      <c r="M190" s="110"/>
      <c r="N190" s="137" t="e">
        <f t="shared" si="42"/>
        <v>#DIV/0!</v>
      </c>
    </row>
    <row r="191" spans="1:14" ht="16.5" hidden="1" customHeight="1" x14ac:dyDescent="0.25">
      <c r="A191" s="266">
        <v>5155</v>
      </c>
      <c r="B191" s="83">
        <v>921300</v>
      </c>
      <c r="C191" s="84" t="s">
        <v>178</v>
      </c>
      <c r="D191" s="84"/>
      <c r="E191" s="108"/>
      <c r="F191" s="108"/>
      <c r="G191" s="109">
        <f t="shared" si="53"/>
        <v>0</v>
      </c>
      <c r="H191" s="108"/>
      <c r="I191" s="108"/>
      <c r="J191" s="108"/>
      <c r="K191" s="108"/>
      <c r="L191" s="108"/>
      <c r="M191" s="110"/>
      <c r="N191" s="137" t="e">
        <f t="shared" si="42"/>
        <v>#DIV/0!</v>
      </c>
    </row>
    <row r="192" spans="1:14" ht="16.5" hidden="1" customHeight="1" x14ac:dyDescent="0.25">
      <c r="A192" s="266">
        <v>5156</v>
      </c>
      <c r="B192" s="83">
        <v>921400</v>
      </c>
      <c r="C192" s="84" t="s">
        <v>179</v>
      </c>
      <c r="D192" s="84"/>
      <c r="E192" s="108"/>
      <c r="F192" s="108"/>
      <c r="G192" s="109">
        <f t="shared" si="53"/>
        <v>0</v>
      </c>
      <c r="H192" s="108"/>
      <c r="I192" s="108"/>
      <c r="J192" s="108"/>
      <c r="K192" s="108"/>
      <c r="L192" s="108"/>
      <c r="M192" s="110"/>
      <c r="N192" s="137" t="e">
        <f t="shared" si="42"/>
        <v>#DIV/0!</v>
      </c>
    </row>
    <row r="193" spans="1:14" ht="16.5" hidden="1" customHeight="1" x14ac:dyDescent="0.25">
      <c r="A193" s="266">
        <v>5157</v>
      </c>
      <c r="B193" s="83">
        <v>921500</v>
      </c>
      <c r="C193" s="84" t="s">
        <v>180</v>
      </c>
      <c r="D193" s="84"/>
      <c r="E193" s="108"/>
      <c r="F193" s="108"/>
      <c r="G193" s="109">
        <f t="shared" si="53"/>
        <v>0</v>
      </c>
      <c r="H193" s="108"/>
      <c r="I193" s="108"/>
      <c r="J193" s="108"/>
      <c r="K193" s="108"/>
      <c r="L193" s="108"/>
      <c r="M193" s="110"/>
      <c r="N193" s="137" t="e">
        <f t="shared" si="42"/>
        <v>#DIV/0!</v>
      </c>
    </row>
    <row r="194" spans="1:14" ht="16.5" hidden="1" customHeight="1" x14ac:dyDescent="0.25">
      <c r="A194" s="266">
        <v>5158</v>
      </c>
      <c r="B194" s="83">
        <v>921600</v>
      </c>
      <c r="C194" s="84" t="s">
        <v>181</v>
      </c>
      <c r="D194" s="84"/>
      <c r="E194" s="108"/>
      <c r="F194" s="108"/>
      <c r="G194" s="109">
        <f t="shared" si="53"/>
        <v>0</v>
      </c>
      <c r="H194" s="108"/>
      <c r="I194" s="108"/>
      <c r="J194" s="108"/>
      <c r="K194" s="108"/>
      <c r="L194" s="108"/>
      <c r="M194" s="110"/>
      <c r="N194" s="137" t="e">
        <f t="shared" si="42"/>
        <v>#DIV/0!</v>
      </c>
    </row>
    <row r="195" spans="1:14" ht="16.5" hidden="1" customHeight="1" x14ac:dyDescent="0.25">
      <c r="A195" s="266">
        <v>5159</v>
      </c>
      <c r="B195" s="83">
        <v>921700</v>
      </c>
      <c r="C195" s="84" t="s">
        <v>182</v>
      </c>
      <c r="D195" s="84"/>
      <c r="E195" s="108"/>
      <c r="F195" s="108"/>
      <c r="G195" s="109">
        <f t="shared" si="53"/>
        <v>0</v>
      </c>
      <c r="H195" s="108"/>
      <c r="I195" s="108"/>
      <c r="J195" s="108"/>
      <c r="K195" s="108"/>
      <c r="L195" s="108"/>
      <c r="M195" s="110"/>
      <c r="N195" s="137" t="e">
        <f t="shared" si="42"/>
        <v>#DIV/0!</v>
      </c>
    </row>
    <row r="196" spans="1:14" ht="16.5" hidden="1" customHeight="1" x14ac:dyDescent="0.25">
      <c r="A196" s="266">
        <v>5160</v>
      </c>
      <c r="B196" s="83">
        <v>921800</v>
      </c>
      <c r="C196" s="84" t="s">
        <v>183</v>
      </c>
      <c r="D196" s="84"/>
      <c r="E196" s="108"/>
      <c r="F196" s="108"/>
      <c r="G196" s="109">
        <f t="shared" si="53"/>
        <v>0</v>
      </c>
      <c r="H196" s="108"/>
      <c r="I196" s="108"/>
      <c r="J196" s="108"/>
      <c r="K196" s="108"/>
      <c r="L196" s="108"/>
      <c r="M196" s="110"/>
      <c r="N196" s="137" t="e">
        <f t="shared" si="42"/>
        <v>#DIV/0!</v>
      </c>
    </row>
    <row r="197" spans="1:14" ht="16.5" hidden="1" customHeight="1" x14ac:dyDescent="0.25">
      <c r="A197" s="266">
        <v>5161</v>
      </c>
      <c r="B197" s="83">
        <v>921900</v>
      </c>
      <c r="C197" s="84" t="s">
        <v>184</v>
      </c>
      <c r="D197" s="84"/>
      <c r="E197" s="108"/>
      <c r="F197" s="108"/>
      <c r="G197" s="109">
        <f t="shared" si="53"/>
        <v>0</v>
      </c>
      <c r="H197" s="108"/>
      <c r="I197" s="108"/>
      <c r="J197" s="108"/>
      <c r="K197" s="108"/>
      <c r="L197" s="108"/>
      <c r="M197" s="110"/>
      <c r="N197" s="137" t="e">
        <f t="shared" si="42"/>
        <v>#DIV/0!</v>
      </c>
    </row>
    <row r="198" spans="1:14" ht="16.5" hidden="1" customHeight="1" x14ac:dyDescent="0.25">
      <c r="A198" s="265">
        <v>5162</v>
      </c>
      <c r="B198" s="251">
        <v>922000</v>
      </c>
      <c r="C198" s="82" t="s">
        <v>185</v>
      </c>
      <c r="D198" s="82"/>
      <c r="E198" s="100">
        <f>SUM(E199:E210)</f>
        <v>0</v>
      </c>
      <c r="F198" s="100">
        <f>SUM(F199:F210)</f>
        <v>0</v>
      </c>
      <c r="G198" s="100">
        <f t="shared" si="53"/>
        <v>0</v>
      </c>
      <c r="H198" s="100">
        <f t="shared" ref="H198:M198" si="60">SUM(H199:H210)</f>
        <v>0</v>
      </c>
      <c r="I198" s="100">
        <f t="shared" si="60"/>
        <v>0</v>
      </c>
      <c r="J198" s="100">
        <f t="shared" si="60"/>
        <v>0</v>
      </c>
      <c r="K198" s="100">
        <f t="shared" si="60"/>
        <v>0</v>
      </c>
      <c r="L198" s="100">
        <f t="shared" si="60"/>
        <v>0</v>
      </c>
      <c r="M198" s="101">
        <f t="shared" si="60"/>
        <v>0</v>
      </c>
      <c r="N198" s="137" t="e">
        <f t="shared" si="42"/>
        <v>#DIV/0!</v>
      </c>
    </row>
    <row r="199" spans="1:14" ht="16.5" hidden="1" customHeight="1" x14ac:dyDescent="0.25">
      <c r="A199" s="266">
        <v>5163</v>
      </c>
      <c r="B199" s="83">
        <v>922100</v>
      </c>
      <c r="C199" s="84" t="s">
        <v>186</v>
      </c>
      <c r="D199" s="84"/>
      <c r="E199" s="108"/>
      <c r="F199" s="108"/>
      <c r="G199" s="109">
        <f t="shared" ref="G199:G211" si="61">SUM(H199:M199)</f>
        <v>0</v>
      </c>
      <c r="H199" s="108"/>
      <c r="I199" s="108"/>
      <c r="J199" s="108"/>
      <c r="K199" s="108"/>
      <c r="L199" s="108"/>
      <c r="M199" s="110"/>
      <c r="N199" s="137" t="e">
        <f t="shared" si="42"/>
        <v>#DIV/0!</v>
      </c>
    </row>
    <row r="200" spans="1:14" ht="16.5" hidden="1" customHeight="1" x14ac:dyDescent="0.25">
      <c r="A200" s="266">
        <v>5164</v>
      </c>
      <c r="B200" s="83">
        <v>922200</v>
      </c>
      <c r="C200" s="84" t="s">
        <v>187</v>
      </c>
      <c r="D200" s="84"/>
      <c r="E200" s="108"/>
      <c r="F200" s="108"/>
      <c r="G200" s="109">
        <f t="shared" si="61"/>
        <v>0</v>
      </c>
      <c r="H200" s="108"/>
      <c r="I200" s="108"/>
      <c r="J200" s="108"/>
      <c r="K200" s="108"/>
      <c r="L200" s="108"/>
      <c r="M200" s="110"/>
      <c r="N200" s="137" t="e">
        <f t="shared" si="42"/>
        <v>#DIV/0!</v>
      </c>
    </row>
    <row r="201" spans="1:14" ht="16.5" hidden="1" customHeight="1" x14ac:dyDescent="0.25">
      <c r="A201" s="266">
        <v>5165</v>
      </c>
      <c r="B201" s="83">
        <v>922300</v>
      </c>
      <c r="C201" s="84" t="s">
        <v>188</v>
      </c>
      <c r="D201" s="84"/>
      <c r="E201" s="108"/>
      <c r="F201" s="108"/>
      <c r="G201" s="109">
        <f t="shared" si="61"/>
        <v>0</v>
      </c>
      <c r="H201" s="108"/>
      <c r="I201" s="108"/>
      <c r="J201" s="108"/>
      <c r="K201" s="108"/>
      <c r="L201" s="108"/>
      <c r="M201" s="110"/>
      <c r="N201" s="137" t="e">
        <f t="shared" si="42"/>
        <v>#DIV/0!</v>
      </c>
    </row>
    <row r="202" spans="1:14" ht="16.5" hidden="1" customHeight="1" x14ac:dyDescent="0.25">
      <c r="A202" s="266">
        <v>5166</v>
      </c>
      <c r="B202" s="83">
        <v>922400</v>
      </c>
      <c r="C202" s="84" t="s">
        <v>189</v>
      </c>
      <c r="D202" s="84"/>
      <c r="E202" s="108"/>
      <c r="F202" s="108"/>
      <c r="G202" s="109">
        <f t="shared" si="61"/>
        <v>0</v>
      </c>
      <c r="H202" s="108"/>
      <c r="I202" s="108"/>
      <c r="J202" s="108"/>
      <c r="K202" s="108"/>
      <c r="L202" s="108"/>
      <c r="M202" s="110"/>
      <c r="N202" s="137" t="e">
        <f t="shared" ref="N202:N211" si="62">G202/F202</f>
        <v>#DIV/0!</v>
      </c>
    </row>
    <row r="203" spans="1:14" ht="16.5" hidden="1" customHeight="1" x14ac:dyDescent="0.25">
      <c r="A203" s="266">
        <v>5167</v>
      </c>
      <c r="B203" s="83">
        <v>922500</v>
      </c>
      <c r="C203" s="84" t="s">
        <v>190</v>
      </c>
      <c r="D203" s="84"/>
      <c r="E203" s="108"/>
      <c r="F203" s="108"/>
      <c r="G203" s="109">
        <f t="shared" si="61"/>
        <v>0</v>
      </c>
      <c r="H203" s="108"/>
      <c r="I203" s="108"/>
      <c r="J203" s="108"/>
      <c r="K203" s="108"/>
      <c r="L203" s="108"/>
      <c r="M203" s="110"/>
      <c r="N203" s="137" t="e">
        <f t="shared" si="62"/>
        <v>#DIV/0!</v>
      </c>
    </row>
    <row r="204" spans="1:14" ht="16.5" hidden="1" customHeight="1" x14ac:dyDescent="0.25">
      <c r="A204" s="645" t="s">
        <v>0</v>
      </c>
      <c r="B204" s="646" t="s">
        <v>1</v>
      </c>
      <c r="C204" s="585" t="s">
        <v>2</v>
      </c>
      <c r="D204" s="254"/>
      <c r="E204" s="575" t="s">
        <v>3</v>
      </c>
      <c r="F204" s="252" t="s">
        <v>3</v>
      </c>
      <c r="G204" s="575" t="s">
        <v>4</v>
      </c>
      <c r="H204" s="575"/>
      <c r="I204" s="575"/>
      <c r="J204" s="575"/>
      <c r="K204" s="575"/>
      <c r="L204" s="575"/>
      <c r="M204" s="582"/>
      <c r="N204" s="137" t="e">
        <f t="shared" si="62"/>
        <v>#VALUE!</v>
      </c>
    </row>
    <row r="205" spans="1:14" ht="16.5" hidden="1" customHeight="1" x14ac:dyDescent="0.25">
      <c r="A205" s="645"/>
      <c r="B205" s="646"/>
      <c r="C205" s="585"/>
      <c r="D205" s="254"/>
      <c r="E205" s="575"/>
      <c r="F205" s="252"/>
      <c r="G205" s="581" t="s">
        <v>5</v>
      </c>
      <c r="H205" s="575" t="s">
        <v>6</v>
      </c>
      <c r="I205" s="575"/>
      <c r="J205" s="575"/>
      <c r="K205" s="575"/>
      <c r="L205" s="575" t="s">
        <v>7</v>
      </c>
      <c r="M205" s="582" t="s">
        <v>8</v>
      </c>
      <c r="N205" s="137" t="e">
        <f t="shared" si="62"/>
        <v>#VALUE!</v>
      </c>
    </row>
    <row r="206" spans="1:14" ht="16.5" hidden="1" customHeight="1" x14ac:dyDescent="0.25">
      <c r="A206" s="645"/>
      <c r="B206" s="646"/>
      <c r="C206" s="585"/>
      <c r="D206" s="254"/>
      <c r="E206" s="575"/>
      <c r="F206" s="252"/>
      <c r="G206" s="581"/>
      <c r="H206" s="252" t="s">
        <v>9</v>
      </c>
      <c r="I206" s="252" t="s">
        <v>10</v>
      </c>
      <c r="J206" s="252" t="s">
        <v>11</v>
      </c>
      <c r="K206" s="252" t="s">
        <v>12</v>
      </c>
      <c r="L206" s="575"/>
      <c r="M206" s="582"/>
      <c r="N206" s="137" t="e">
        <f t="shared" si="62"/>
        <v>#DIV/0!</v>
      </c>
    </row>
    <row r="207" spans="1:14" ht="16.5" hidden="1" customHeight="1" x14ac:dyDescent="0.25">
      <c r="A207" s="270" t="s">
        <v>18</v>
      </c>
      <c r="B207" s="95" t="s">
        <v>19</v>
      </c>
      <c r="C207" s="253" t="s">
        <v>20</v>
      </c>
      <c r="D207" s="253"/>
      <c r="E207" s="86" t="s">
        <v>21</v>
      </c>
      <c r="F207" s="86" t="s">
        <v>21</v>
      </c>
      <c r="G207" s="86" t="s">
        <v>22</v>
      </c>
      <c r="H207" s="86" t="s">
        <v>23</v>
      </c>
      <c r="I207" s="86" t="s">
        <v>24</v>
      </c>
      <c r="J207" s="86" t="s">
        <v>25</v>
      </c>
      <c r="K207" s="86" t="s">
        <v>26</v>
      </c>
      <c r="L207" s="86" t="s">
        <v>27</v>
      </c>
      <c r="M207" s="98" t="s">
        <v>28</v>
      </c>
      <c r="N207" s="137">
        <f t="shared" si="62"/>
        <v>1.25</v>
      </c>
    </row>
    <row r="208" spans="1:14" ht="16.5" hidden="1" customHeight="1" x14ac:dyDescent="0.25">
      <c r="A208" s="266">
        <v>5168</v>
      </c>
      <c r="B208" s="83">
        <v>922600</v>
      </c>
      <c r="C208" s="84" t="s">
        <v>191</v>
      </c>
      <c r="D208" s="84"/>
      <c r="E208" s="108"/>
      <c r="F208" s="108"/>
      <c r="G208" s="109">
        <f t="shared" si="61"/>
        <v>0</v>
      </c>
      <c r="H208" s="108"/>
      <c r="I208" s="108"/>
      <c r="J208" s="108"/>
      <c r="K208" s="108"/>
      <c r="L208" s="108"/>
      <c r="M208" s="110"/>
      <c r="N208" s="137" t="e">
        <f t="shared" si="62"/>
        <v>#DIV/0!</v>
      </c>
    </row>
    <row r="209" spans="1:14" ht="16.5" hidden="1" customHeight="1" x14ac:dyDescent="0.25">
      <c r="A209" s="266">
        <v>5169</v>
      </c>
      <c r="B209" s="83">
        <v>922700</v>
      </c>
      <c r="C209" s="84" t="s">
        <v>192</v>
      </c>
      <c r="D209" s="84"/>
      <c r="E209" s="108"/>
      <c r="F209" s="108"/>
      <c r="G209" s="109">
        <f t="shared" si="61"/>
        <v>0</v>
      </c>
      <c r="H209" s="108"/>
      <c r="I209" s="108"/>
      <c r="J209" s="108"/>
      <c r="K209" s="108"/>
      <c r="L209" s="108"/>
      <c r="M209" s="110"/>
      <c r="N209" s="137" t="e">
        <f t="shared" si="62"/>
        <v>#DIV/0!</v>
      </c>
    </row>
    <row r="210" spans="1:14" ht="16.5" hidden="1" customHeight="1" x14ac:dyDescent="0.25">
      <c r="A210" s="266">
        <v>5170</v>
      </c>
      <c r="B210" s="83">
        <v>922800</v>
      </c>
      <c r="C210" s="84" t="s">
        <v>193</v>
      </c>
      <c r="D210" s="84"/>
      <c r="E210" s="108"/>
      <c r="F210" s="108"/>
      <c r="G210" s="109">
        <f t="shared" si="61"/>
        <v>0</v>
      </c>
      <c r="H210" s="108"/>
      <c r="I210" s="108"/>
      <c r="J210" s="108"/>
      <c r="K210" s="108"/>
      <c r="L210" s="108"/>
      <c r="M210" s="110"/>
      <c r="N210" s="137" t="e">
        <f t="shared" si="62"/>
        <v>#DIV/0!</v>
      </c>
    </row>
    <row r="211" spans="1:14" ht="12.75" customHeight="1" thickBot="1" x14ac:dyDescent="0.3">
      <c r="A211" s="267">
        <v>5171</v>
      </c>
      <c r="B211" s="272"/>
      <c r="C211" s="89" t="s">
        <v>536</v>
      </c>
      <c r="D211" s="113">
        <f>D9+D163</f>
        <v>82990</v>
      </c>
      <c r="E211" s="113">
        <f>E9+E163</f>
        <v>1529922</v>
      </c>
      <c r="F211" s="113">
        <f>F9+F163</f>
        <v>1612912</v>
      </c>
      <c r="G211" s="113">
        <f t="shared" si="61"/>
        <v>1588772</v>
      </c>
      <c r="H211" s="113">
        <f t="shared" ref="H211:M211" si="63">H9+H163</f>
        <v>12073</v>
      </c>
      <c r="I211" s="113">
        <f t="shared" si="63"/>
        <v>0</v>
      </c>
      <c r="J211" s="113">
        <f t="shared" si="63"/>
        <v>7566</v>
      </c>
      <c r="K211" s="113">
        <f t="shared" si="63"/>
        <v>1556428</v>
      </c>
      <c r="L211" s="113">
        <f t="shared" si="63"/>
        <v>0</v>
      </c>
      <c r="M211" s="114">
        <f t="shared" si="63"/>
        <v>12705</v>
      </c>
      <c r="N211" s="138">
        <f t="shared" si="62"/>
        <v>0.98503328141894908</v>
      </c>
    </row>
    <row r="212" spans="1:14" ht="12.75" customHeight="1" x14ac:dyDescent="0.25">
      <c r="A212" s="90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</row>
    <row r="213" spans="1:14" ht="6" customHeight="1" x14ac:dyDescent="0.25">
      <c r="A213" s="90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</row>
    <row r="214" spans="1:14" ht="12.75" customHeight="1" x14ac:dyDescent="0.25">
      <c r="A214" s="92" t="s">
        <v>195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</row>
    <row r="215" spans="1:14" ht="12.75" customHeight="1" thickBot="1" x14ac:dyDescent="0.3">
      <c r="A215" s="90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 t="s">
        <v>196</v>
      </c>
      <c r="M215" s="91"/>
    </row>
    <row r="216" spans="1:14" ht="12.75" customHeight="1" thickBot="1" x14ac:dyDescent="0.3">
      <c r="A216" s="637" t="s">
        <v>0</v>
      </c>
      <c r="B216" s="572" t="s">
        <v>1</v>
      </c>
      <c r="C216" s="574" t="s">
        <v>2</v>
      </c>
      <c r="D216" s="639" t="s">
        <v>546</v>
      </c>
      <c r="E216" s="639" t="s">
        <v>3</v>
      </c>
      <c r="F216" s="639" t="s">
        <v>547</v>
      </c>
      <c r="G216" s="648" t="s">
        <v>4</v>
      </c>
      <c r="H216" s="648"/>
      <c r="I216" s="648"/>
      <c r="J216" s="648"/>
      <c r="K216" s="648"/>
      <c r="L216" s="648"/>
      <c r="M216" s="648"/>
      <c r="N216" s="649" t="s">
        <v>548</v>
      </c>
    </row>
    <row r="217" spans="1:14" ht="12.75" customHeight="1" thickBot="1" x14ac:dyDescent="0.3">
      <c r="A217" s="647"/>
      <c r="B217" s="588"/>
      <c r="C217" s="589"/>
      <c r="D217" s="640"/>
      <c r="E217" s="640"/>
      <c r="F217" s="640"/>
      <c r="G217" s="651" t="s">
        <v>549</v>
      </c>
      <c r="H217" s="643" t="s">
        <v>6</v>
      </c>
      <c r="I217" s="643"/>
      <c r="J217" s="643"/>
      <c r="K217" s="643"/>
      <c r="L217" s="643" t="s">
        <v>7</v>
      </c>
      <c r="M217" s="652" t="s">
        <v>8</v>
      </c>
      <c r="N217" s="650"/>
    </row>
    <row r="218" spans="1:14" ht="12.75" customHeight="1" x14ac:dyDescent="0.25">
      <c r="A218" s="647"/>
      <c r="B218" s="588"/>
      <c r="C218" s="589"/>
      <c r="D218" s="640"/>
      <c r="E218" s="640"/>
      <c r="F218" s="640"/>
      <c r="G218" s="651"/>
      <c r="H218" s="263" t="s">
        <v>9</v>
      </c>
      <c r="I218" s="263" t="s">
        <v>10</v>
      </c>
      <c r="J218" s="263" t="s">
        <v>550</v>
      </c>
      <c r="K218" s="263" t="s">
        <v>12</v>
      </c>
      <c r="L218" s="643"/>
      <c r="M218" s="652"/>
      <c r="N218" s="650"/>
    </row>
    <row r="219" spans="1:14" ht="12.75" customHeight="1" x14ac:dyDescent="0.25">
      <c r="A219" s="265">
        <v>1</v>
      </c>
      <c r="B219" s="251">
        <v>2</v>
      </c>
      <c r="C219" s="252">
        <v>3</v>
      </c>
      <c r="D219" s="263">
        <v>4</v>
      </c>
      <c r="E219" s="263">
        <v>5</v>
      </c>
      <c r="F219" s="263" t="s">
        <v>551</v>
      </c>
      <c r="G219" s="263">
        <v>7</v>
      </c>
      <c r="H219" s="263">
        <v>8</v>
      </c>
      <c r="I219" s="263">
        <v>7</v>
      </c>
      <c r="J219" s="263">
        <v>9</v>
      </c>
      <c r="K219" s="263">
        <v>10</v>
      </c>
      <c r="L219" s="263">
        <v>10</v>
      </c>
      <c r="M219" s="264">
        <v>11</v>
      </c>
      <c r="N219" s="271" t="s">
        <v>552</v>
      </c>
    </row>
    <row r="220" spans="1:14" ht="12.75" customHeight="1" x14ac:dyDescent="0.25">
      <c r="A220" s="273">
        <v>5172</v>
      </c>
      <c r="B220" s="251"/>
      <c r="C220" s="82" t="s">
        <v>202</v>
      </c>
      <c r="D220" s="256">
        <f>D221+D417</f>
        <v>82990</v>
      </c>
      <c r="E220" s="100">
        <f>E221+E417</f>
        <v>1536257</v>
      </c>
      <c r="F220" s="100">
        <f>F221+F417</f>
        <v>1619247</v>
      </c>
      <c r="G220" s="100">
        <f t="shared" ref="G220:G291" si="64">SUM(H220:M220)</f>
        <v>1587783</v>
      </c>
      <c r="H220" s="100">
        <f t="shared" ref="H220:M220" si="65">H221+H417</f>
        <v>12486</v>
      </c>
      <c r="I220" s="100">
        <f t="shared" si="65"/>
        <v>0</v>
      </c>
      <c r="J220" s="100">
        <f t="shared" si="65"/>
        <v>1699</v>
      </c>
      <c r="K220" s="100">
        <f t="shared" si="65"/>
        <v>1555965</v>
      </c>
      <c r="L220" s="100">
        <f t="shared" si="65"/>
        <v>0</v>
      </c>
      <c r="M220" s="101">
        <f t="shared" si="65"/>
        <v>17633</v>
      </c>
      <c r="N220" s="137">
        <f>G220/F220</f>
        <v>0.98056874584297515</v>
      </c>
    </row>
    <row r="221" spans="1:14" ht="12.75" customHeight="1" x14ac:dyDescent="0.25">
      <c r="A221" s="273">
        <v>5173</v>
      </c>
      <c r="B221" s="251">
        <v>400000</v>
      </c>
      <c r="C221" s="82" t="s">
        <v>203</v>
      </c>
      <c r="D221" s="256">
        <f>D222+D248+D297+D316+D344+D357+D377+D396</f>
        <v>82990</v>
      </c>
      <c r="E221" s="100">
        <f>E222+E248+E297+E316+E344+E357+E377+E396</f>
        <v>1508514</v>
      </c>
      <c r="F221" s="100">
        <f>F222+F248+F297+F316+F344+F357+F377+F396</f>
        <v>1591504</v>
      </c>
      <c r="G221" s="100">
        <f t="shared" si="64"/>
        <v>1571325</v>
      </c>
      <c r="H221" s="100">
        <f t="shared" ref="H221:M221" si="66">H222+H248+H297+H316+H344+H357+H377+H396</f>
        <v>2666</v>
      </c>
      <c r="I221" s="100">
        <f t="shared" si="66"/>
        <v>0</v>
      </c>
      <c r="J221" s="100">
        <f t="shared" si="66"/>
        <v>0</v>
      </c>
      <c r="K221" s="100">
        <f t="shared" si="66"/>
        <v>1555965</v>
      </c>
      <c r="L221" s="100">
        <f t="shared" si="66"/>
        <v>0</v>
      </c>
      <c r="M221" s="101">
        <f t="shared" si="66"/>
        <v>12694</v>
      </c>
      <c r="N221" s="137">
        <f t="shared" ref="N221:N284" si="67">G221/F221</f>
        <v>0.98732079843971488</v>
      </c>
    </row>
    <row r="222" spans="1:14" ht="12.75" customHeight="1" x14ac:dyDescent="0.25">
      <c r="A222" s="273">
        <v>5174</v>
      </c>
      <c r="B222" s="251">
        <v>410000</v>
      </c>
      <c r="C222" s="82" t="s">
        <v>204</v>
      </c>
      <c r="D222" s="256">
        <f>D223+D225+D229+D231+D240+D242+D244+D246</f>
        <v>4475</v>
      </c>
      <c r="E222" s="100">
        <f>E223+E225+E229+E231+E240+E242+E244+E246</f>
        <v>1069524</v>
      </c>
      <c r="F222" s="100">
        <f>F223+F225+F229+F231+F240+F242+F244+F246</f>
        <v>1073999</v>
      </c>
      <c r="G222" s="100">
        <f t="shared" si="64"/>
        <v>1102406</v>
      </c>
      <c r="H222" s="100">
        <f t="shared" ref="H222:M222" si="68">H223+H225+H229+H231+H240+H242+H244+H246</f>
        <v>0</v>
      </c>
      <c r="I222" s="100">
        <f t="shared" si="68"/>
        <v>0</v>
      </c>
      <c r="J222" s="100">
        <f t="shared" si="68"/>
        <v>0</v>
      </c>
      <c r="K222" s="100">
        <f t="shared" si="68"/>
        <v>1099155</v>
      </c>
      <c r="L222" s="100">
        <f t="shared" si="68"/>
        <v>0</v>
      </c>
      <c r="M222" s="101">
        <f t="shared" si="68"/>
        <v>3251</v>
      </c>
      <c r="N222" s="137">
        <f t="shared" si="67"/>
        <v>1.0264497452977144</v>
      </c>
    </row>
    <row r="223" spans="1:14" ht="12.75" customHeight="1" x14ac:dyDescent="0.25">
      <c r="A223" s="273">
        <v>5175</v>
      </c>
      <c r="B223" s="251">
        <v>411000</v>
      </c>
      <c r="C223" s="82" t="s">
        <v>205</v>
      </c>
      <c r="D223" s="256">
        <f>D224</f>
        <v>2320</v>
      </c>
      <c r="E223" s="100">
        <f>E224</f>
        <v>875010</v>
      </c>
      <c r="F223" s="233">
        <f>F224</f>
        <v>877330</v>
      </c>
      <c r="G223" s="233">
        <f t="shared" si="64"/>
        <v>901967</v>
      </c>
      <c r="H223" s="233">
        <f t="shared" ref="H223:M223" si="69">H224</f>
        <v>0</v>
      </c>
      <c r="I223" s="233">
        <f t="shared" si="69"/>
        <v>0</v>
      </c>
      <c r="J223" s="233">
        <f t="shared" si="69"/>
        <v>0</v>
      </c>
      <c r="K223" s="233">
        <f>K224</f>
        <v>899368</v>
      </c>
      <c r="L223" s="233">
        <f t="shared" si="69"/>
        <v>0</v>
      </c>
      <c r="M223" s="261">
        <f t="shared" si="69"/>
        <v>2599</v>
      </c>
      <c r="N223" s="230">
        <f t="shared" si="67"/>
        <v>1.028081793623836</v>
      </c>
    </row>
    <row r="224" spans="1:14" ht="12.75" customHeight="1" x14ac:dyDescent="0.25">
      <c r="A224" s="274">
        <v>5176</v>
      </c>
      <c r="B224" s="83">
        <v>411100</v>
      </c>
      <c r="C224" s="84" t="s">
        <v>206</v>
      </c>
      <c r="D224" s="257">
        <v>2320</v>
      </c>
      <c r="E224" s="108">
        <v>875010</v>
      </c>
      <c r="F224" s="231">
        <f>D224+E224</f>
        <v>877330</v>
      </c>
      <c r="G224" s="233">
        <f t="shared" si="64"/>
        <v>901967</v>
      </c>
      <c r="H224" s="231"/>
      <c r="I224" s="231"/>
      <c r="J224" s="231"/>
      <c r="K224" s="231">
        <v>899368</v>
      </c>
      <c r="L224" s="231"/>
      <c r="M224" s="262">
        <v>2599</v>
      </c>
      <c r="N224" s="230">
        <f t="shared" si="67"/>
        <v>1.028081793623836</v>
      </c>
    </row>
    <row r="225" spans="1:14" ht="12.75" customHeight="1" x14ac:dyDescent="0.25">
      <c r="A225" s="273">
        <v>5177</v>
      </c>
      <c r="B225" s="251">
        <v>412000</v>
      </c>
      <c r="C225" s="82" t="s">
        <v>207</v>
      </c>
      <c r="D225" s="256">
        <f>SUM(D226:D228)</f>
        <v>375</v>
      </c>
      <c r="E225" s="100">
        <f>SUM(E226:E228)</f>
        <v>141315</v>
      </c>
      <c r="F225" s="233">
        <f>SUM(F226:F228)</f>
        <v>141690</v>
      </c>
      <c r="G225" s="233">
        <f t="shared" si="64"/>
        <v>145667</v>
      </c>
      <c r="H225" s="233">
        <f t="shared" ref="H225:M225" si="70">SUM(H226:H228)</f>
        <v>0</v>
      </c>
      <c r="I225" s="233">
        <f t="shared" si="70"/>
        <v>0</v>
      </c>
      <c r="J225" s="233">
        <f t="shared" si="70"/>
        <v>0</v>
      </c>
      <c r="K225" s="233">
        <f t="shared" si="70"/>
        <v>145247</v>
      </c>
      <c r="L225" s="233">
        <f t="shared" si="70"/>
        <v>0</v>
      </c>
      <c r="M225" s="261">
        <f t="shared" si="70"/>
        <v>420</v>
      </c>
      <c r="N225" s="230">
        <f t="shared" si="67"/>
        <v>1.0280683181593619</v>
      </c>
    </row>
    <row r="226" spans="1:14" ht="12.75" customHeight="1" x14ac:dyDescent="0.25">
      <c r="A226" s="274">
        <v>5178</v>
      </c>
      <c r="B226" s="83">
        <v>412100</v>
      </c>
      <c r="C226" s="84" t="s">
        <v>208</v>
      </c>
      <c r="D226" s="257">
        <v>255</v>
      </c>
      <c r="E226" s="108">
        <v>96251</v>
      </c>
      <c r="F226" s="231">
        <f>D226+E226</f>
        <v>96506</v>
      </c>
      <c r="G226" s="233">
        <f t="shared" si="64"/>
        <v>99216</v>
      </c>
      <c r="H226" s="231"/>
      <c r="I226" s="231"/>
      <c r="J226" s="231"/>
      <c r="K226" s="231">
        <v>98930</v>
      </c>
      <c r="L226" s="231"/>
      <c r="M226" s="262">
        <v>286</v>
      </c>
      <c r="N226" s="230">
        <f t="shared" si="67"/>
        <v>1.0280811555758191</v>
      </c>
    </row>
    <row r="227" spans="1:14" ht="12.75" customHeight="1" x14ac:dyDescent="0.25">
      <c r="A227" s="274">
        <v>5179</v>
      </c>
      <c r="B227" s="83">
        <v>412200</v>
      </c>
      <c r="C227" s="84" t="s">
        <v>209</v>
      </c>
      <c r="D227" s="257">
        <v>120</v>
      </c>
      <c r="E227" s="108">
        <v>45064</v>
      </c>
      <c r="F227" s="231">
        <f t="shared" ref="F227:F230" si="71">D227+E227</f>
        <v>45184</v>
      </c>
      <c r="G227" s="233">
        <f t="shared" si="64"/>
        <v>46451</v>
      </c>
      <c r="H227" s="231"/>
      <c r="I227" s="231"/>
      <c r="J227" s="231"/>
      <c r="K227" s="231">
        <v>46317</v>
      </c>
      <c r="L227" s="231"/>
      <c r="M227" s="262">
        <v>134</v>
      </c>
      <c r="N227" s="230">
        <f t="shared" si="67"/>
        <v>1.0280408994334278</v>
      </c>
    </row>
    <row r="228" spans="1:14" ht="12.75" hidden="1" customHeight="1" x14ac:dyDescent="0.25">
      <c r="A228" s="274">
        <v>5180</v>
      </c>
      <c r="B228" s="83">
        <v>412300</v>
      </c>
      <c r="C228" s="84" t="s">
        <v>210</v>
      </c>
      <c r="D228" s="257"/>
      <c r="E228" s="108"/>
      <c r="F228" s="108">
        <f t="shared" si="71"/>
        <v>0</v>
      </c>
      <c r="G228" s="109">
        <f t="shared" si="64"/>
        <v>0</v>
      </c>
      <c r="H228" s="108"/>
      <c r="I228" s="108"/>
      <c r="J228" s="108"/>
      <c r="K228" s="108"/>
      <c r="L228" s="108"/>
      <c r="M228" s="110"/>
      <c r="N228" s="137" t="e">
        <f t="shared" si="67"/>
        <v>#DIV/0!</v>
      </c>
    </row>
    <row r="229" spans="1:14" ht="12.75" hidden="1" customHeight="1" x14ac:dyDescent="0.25">
      <c r="A229" s="273">
        <v>5181</v>
      </c>
      <c r="B229" s="251">
        <v>413000</v>
      </c>
      <c r="C229" s="82" t="s">
        <v>211</v>
      </c>
      <c r="D229" s="256"/>
      <c r="E229" s="100">
        <f>E230</f>
        <v>0</v>
      </c>
      <c r="F229" s="108">
        <f t="shared" si="71"/>
        <v>0</v>
      </c>
      <c r="G229" s="100">
        <f t="shared" si="64"/>
        <v>0</v>
      </c>
      <c r="H229" s="100">
        <f t="shared" ref="H229:M229" si="72">H230</f>
        <v>0</v>
      </c>
      <c r="I229" s="100">
        <f t="shared" si="72"/>
        <v>0</v>
      </c>
      <c r="J229" s="100">
        <f t="shared" si="72"/>
        <v>0</v>
      </c>
      <c r="K229" s="100">
        <f t="shared" si="72"/>
        <v>0</v>
      </c>
      <c r="L229" s="100">
        <f t="shared" si="72"/>
        <v>0</v>
      </c>
      <c r="M229" s="101">
        <f t="shared" si="72"/>
        <v>0</v>
      </c>
      <c r="N229" s="137" t="e">
        <f t="shared" si="67"/>
        <v>#DIV/0!</v>
      </c>
    </row>
    <row r="230" spans="1:14" ht="12.75" hidden="1" customHeight="1" x14ac:dyDescent="0.25">
      <c r="A230" s="274">
        <v>5182</v>
      </c>
      <c r="B230" s="83">
        <v>413100</v>
      </c>
      <c r="C230" s="84" t="s">
        <v>212</v>
      </c>
      <c r="D230" s="257"/>
      <c r="E230" s="108"/>
      <c r="F230" s="108">
        <f t="shared" si="71"/>
        <v>0</v>
      </c>
      <c r="G230" s="109">
        <f t="shared" si="64"/>
        <v>0</v>
      </c>
      <c r="H230" s="108"/>
      <c r="I230" s="108"/>
      <c r="J230" s="108"/>
      <c r="K230" s="108"/>
      <c r="L230" s="108"/>
      <c r="M230" s="110"/>
      <c r="N230" s="137" t="e">
        <f t="shared" si="67"/>
        <v>#DIV/0!</v>
      </c>
    </row>
    <row r="231" spans="1:14" ht="12.75" customHeight="1" x14ac:dyDescent="0.25">
      <c r="A231" s="273">
        <v>5183</v>
      </c>
      <c r="B231" s="251">
        <v>414000</v>
      </c>
      <c r="C231" s="82" t="s">
        <v>213</v>
      </c>
      <c r="D231" s="258">
        <f>SUM(D232:D239)</f>
        <v>1482</v>
      </c>
      <c r="E231" s="100">
        <f>SUM(E232:E239)</f>
        <v>18472</v>
      </c>
      <c r="F231" s="100">
        <f>SUM(F232:F239)</f>
        <v>19954</v>
      </c>
      <c r="G231" s="100">
        <f t="shared" si="64"/>
        <v>17610</v>
      </c>
      <c r="H231" s="100">
        <f t="shared" ref="H231:M231" si="73">SUM(H232:H239)</f>
        <v>0</v>
      </c>
      <c r="I231" s="100">
        <f t="shared" si="73"/>
        <v>0</v>
      </c>
      <c r="J231" s="100">
        <f t="shared" si="73"/>
        <v>0</v>
      </c>
      <c r="K231" s="100">
        <f t="shared" si="73"/>
        <v>17378</v>
      </c>
      <c r="L231" s="100">
        <f t="shared" si="73"/>
        <v>0</v>
      </c>
      <c r="M231" s="101">
        <f t="shared" si="73"/>
        <v>232</v>
      </c>
      <c r="N231" s="137">
        <f t="shared" si="67"/>
        <v>0.88252981858274027</v>
      </c>
    </row>
    <row r="232" spans="1:14" ht="12.75" hidden="1" customHeight="1" x14ac:dyDescent="0.25">
      <c r="A232" s="274">
        <v>5184</v>
      </c>
      <c r="B232" s="83">
        <v>414100</v>
      </c>
      <c r="C232" s="84" t="s">
        <v>214</v>
      </c>
      <c r="D232" s="257"/>
      <c r="E232" s="108"/>
      <c r="F232" s="108"/>
      <c r="G232" s="109">
        <f t="shared" si="64"/>
        <v>0</v>
      </c>
      <c r="H232" s="108"/>
      <c r="I232" s="108"/>
      <c r="J232" s="108"/>
      <c r="K232" s="108"/>
      <c r="L232" s="108"/>
      <c r="M232" s="110"/>
      <c r="N232" s="137" t="e">
        <f t="shared" si="67"/>
        <v>#DIV/0!</v>
      </c>
    </row>
    <row r="233" spans="1:14" ht="12.75" hidden="1" customHeight="1" x14ac:dyDescent="0.25">
      <c r="A233" s="274">
        <v>5185</v>
      </c>
      <c r="B233" s="83">
        <v>414200</v>
      </c>
      <c r="C233" s="84" t="s">
        <v>215</v>
      </c>
      <c r="D233" s="257"/>
      <c r="E233" s="108"/>
      <c r="F233" s="108"/>
      <c r="G233" s="109">
        <f t="shared" si="64"/>
        <v>0</v>
      </c>
      <c r="H233" s="108"/>
      <c r="I233" s="108"/>
      <c r="J233" s="108"/>
      <c r="K233" s="108"/>
      <c r="L233" s="108"/>
      <c r="M233" s="110"/>
      <c r="N233" s="137" t="e">
        <f t="shared" si="67"/>
        <v>#DIV/0!</v>
      </c>
    </row>
    <row r="234" spans="1:14" ht="12.75" customHeight="1" x14ac:dyDescent="0.25">
      <c r="A234" s="274">
        <v>5186</v>
      </c>
      <c r="B234" s="83">
        <v>414300</v>
      </c>
      <c r="C234" s="84" t="s">
        <v>216</v>
      </c>
      <c r="D234" s="257">
        <v>1317</v>
      </c>
      <c r="E234" s="108">
        <v>9500</v>
      </c>
      <c r="F234" s="108">
        <f>D234+E234</f>
        <v>10817</v>
      </c>
      <c r="G234" s="109">
        <f>K234+M234</f>
        <v>8500</v>
      </c>
      <c r="H234" s="108"/>
      <c r="I234" s="108"/>
      <c r="J234" s="108"/>
      <c r="K234" s="108">
        <v>8268</v>
      </c>
      <c r="L234" s="108"/>
      <c r="M234" s="110">
        <v>232</v>
      </c>
      <c r="N234" s="137">
        <f t="shared" si="67"/>
        <v>0.78580012942590372</v>
      </c>
    </row>
    <row r="235" spans="1:14" ht="12.75" hidden="1" customHeight="1" x14ac:dyDescent="0.25">
      <c r="A235" s="645" t="s">
        <v>0</v>
      </c>
      <c r="B235" s="646" t="s">
        <v>1</v>
      </c>
      <c r="C235" s="585" t="s">
        <v>2</v>
      </c>
      <c r="D235" s="259"/>
      <c r="E235" s="585"/>
      <c r="F235" s="108">
        <f t="shared" ref="F235:F239" si="74">D235+E235</f>
        <v>0</v>
      </c>
      <c r="G235" s="575"/>
      <c r="H235" s="589"/>
      <c r="I235" s="589"/>
      <c r="J235" s="589"/>
      <c r="K235" s="589"/>
      <c r="L235" s="589"/>
      <c r="M235" s="592"/>
      <c r="N235" s="137" t="e">
        <f t="shared" si="67"/>
        <v>#DIV/0!</v>
      </c>
    </row>
    <row r="236" spans="1:14" ht="12.75" hidden="1" customHeight="1" x14ac:dyDescent="0.25">
      <c r="A236" s="645"/>
      <c r="B236" s="646"/>
      <c r="C236" s="585"/>
      <c r="D236" s="259"/>
      <c r="E236" s="585"/>
      <c r="F236" s="108">
        <f t="shared" si="74"/>
        <v>0</v>
      </c>
      <c r="G236" s="575"/>
      <c r="H236" s="575"/>
      <c r="I236" s="589"/>
      <c r="J236" s="589"/>
      <c r="K236" s="589"/>
      <c r="L236" s="575"/>
      <c r="M236" s="582"/>
      <c r="N236" s="137" t="e">
        <f t="shared" si="67"/>
        <v>#DIV/0!</v>
      </c>
    </row>
    <row r="237" spans="1:14" ht="12.75" hidden="1" customHeight="1" x14ac:dyDescent="0.25">
      <c r="A237" s="645"/>
      <c r="B237" s="646"/>
      <c r="C237" s="585"/>
      <c r="D237" s="259"/>
      <c r="E237" s="585"/>
      <c r="F237" s="108">
        <f t="shared" si="74"/>
        <v>0</v>
      </c>
      <c r="G237" s="589"/>
      <c r="H237" s="252"/>
      <c r="I237" s="252"/>
      <c r="J237" s="252"/>
      <c r="K237" s="252"/>
      <c r="L237" s="589"/>
      <c r="M237" s="592"/>
      <c r="N237" s="137" t="e">
        <f t="shared" si="67"/>
        <v>#DIV/0!</v>
      </c>
    </row>
    <row r="238" spans="1:14" ht="12.75" hidden="1" customHeight="1" x14ac:dyDescent="0.25">
      <c r="A238" s="275" t="s">
        <v>18</v>
      </c>
      <c r="B238" s="95" t="s">
        <v>19</v>
      </c>
      <c r="C238" s="253" t="s">
        <v>20</v>
      </c>
      <c r="D238" s="259"/>
      <c r="E238" s="253"/>
      <c r="F238" s="108">
        <f t="shared" si="74"/>
        <v>0</v>
      </c>
      <c r="G238" s="253"/>
      <c r="H238" s="253"/>
      <c r="I238" s="253"/>
      <c r="J238" s="253"/>
      <c r="K238" s="253"/>
      <c r="L238" s="253"/>
      <c r="M238" s="99"/>
      <c r="N238" s="137" t="e">
        <f t="shared" si="67"/>
        <v>#DIV/0!</v>
      </c>
    </row>
    <row r="239" spans="1:14" ht="25.5" customHeight="1" x14ac:dyDescent="0.25">
      <c r="A239" s="274">
        <v>5187</v>
      </c>
      <c r="B239" s="83">
        <v>414400</v>
      </c>
      <c r="C239" s="84" t="s">
        <v>218</v>
      </c>
      <c r="D239" s="257">
        <v>165</v>
      </c>
      <c r="E239" s="108">
        <v>8972</v>
      </c>
      <c r="F239" s="108">
        <f t="shared" si="74"/>
        <v>9137</v>
      </c>
      <c r="G239" s="109">
        <f>K239+M239</f>
        <v>9110</v>
      </c>
      <c r="H239" s="108"/>
      <c r="I239" s="108"/>
      <c r="J239" s="108"/>
      <c r="K239" s="108">
        <v>9110</v>
      </c>
      <c r="L239" s="108"/>
      <c r="M239" s="110"/>
      <c r="N239" s="137">
        <f t="shared" si="67"/>
        <v>0.99704498194155633</v>
      </c>
    </row>
    <row r="240" spans="1:14" ht="12.75" customHeight="1" x14ac:dyDescent="0.25">
      <c r="A240" s="273">
        <v>5188</v>
      </c>
      <c r="B240" s="251">
        <v>415000</v>
      </c>
      <c r="C240" s="82" t="s">
        <v>219</v>
      </c>
      <c r="D240" s="256">
        <f>D241</f>
        <v>0</v>
      </c>
      <c r="E240" s="100">
        <f>E241</f>
        <v>20976</v>
      </c>
      <c r="F240" s="233">
        <f>F241</f>
        <v>20976</v>
      </c>
      <c r="G240" s="233">
        <f t="shared" si="64"/>
        <v>23500</v>
      </c>
      <c r="H240" s="233">
        <f t="shared" ref="H240:M240" si="75">H241</f>
        <v>0</v>
      </c>
      <c r="I240" s="233">
        <f t="shared" si="75"/>
        <v>0</v>
      </c>
      <c r="J240" s="233">
        <f t="shared" si="75"/>
        <v>0</v>
      </c>
      <c r="K240" s="233">
        <f t="shared" si="75"/>
        <v>23500</v>
      </c>
      <c r="L240" s="233">
        <f t="shared" si="75"/>
        <v>0</v>
      </c>
      <c r="M240" s="261">
        <f t="shared" si="75"/>
        <v>0</v>
      </c>
      <c r="N240" s="230">
        <f t="shared" si="67"/>
        <v>1.1203279938977879</v>
      </c>
    </row>
    <row r="241" spans="1:14" ht="12.75" customHeight="1" x14ac:dyDescent="0.25">
      <c r="A241" s="274">
        <v>5189</v>
      </c>
      <c r="B241" s="83">
        <v>415100</v>
      </c>
      <c r="C241" s="84" t="s">
        <v>220</v>
      </c>
      <c r="D241" s="257"/>
      <c r="E241" s="108">
        <v>20976</v>
      </c>
      <c r="F241" s="231">
        <f>D241+E241</f>
        <v>20976</v>
      </c>
      <c r="G241" s="234">
        <f t="shared" si="64"/>
        <v>23500</v>
      </c>
      <c r="H241" s="231"/>
      <c r="I241" s="231"/>
      <c r="J241" s="231"/>
      <c r="K241" s="231">
        <v>23500</v>
      </c>
      <c r="L241" s="231"/>
      <c r="M241" s="262"/>
      <c r="N241" s="230">
        <f t="shared" si="67"/>
        <v>1.1203279938977879</v>
      </c>
    </row>
    <row r="242" spans="1:14" ht="12.75" customHeight="1" x14ac:dyDescent="0.25">
      <c r="A242" s="273">
        <v>5190</v>
      </c>
      <c r="B242" s="251">
        <v>416000</v>
      </c>
      <c r="C242" s="82" t="s">
        <v>221</v>
      </c>
      <c r="D242" s="256">
        <f>D243</f>
        <v>298</v>
      </c>
      <c r="E242" s="100">
        <f>E243</f>
        <v>13751</v>
      </c>
      <c r="F242" s="119">
        <f>F243</f>
        <v>14049</v>
      </c>
      <c r="G242" s="119">
        <f t="shared" si="64"/>
        <v>13662</v>
      </c>
      <c r="H242" s="119">
        <f t="shared" ref="H242:M242" si="76">H243</f>
        <v>0</v>
      </c>
      <c r="I242" s="119">
        <f t="shared" si="76"/>
        <v>0</v>
      </c>
      <c r="J242" s="119">
        <f t="shared" si="76"/>
        <v>0</v>
      </c>
      <c r="K242" s="119">
        <f t="shared" si="76"/>
        <v>13662</v>
      </c>
      <c r="L242" s="119">
        <f t="shared" si="76"/>
        <v>0</v>
      </c>
      <c r="M242" s="120">
        <f t="shared" si="76"/>
        <v>0</v>
      </c>
      <c r="N242" s="137">
        <f t="shared" si="67"/>
        <v>0.97245355541319667</v>
      </c>
    </row>
    <row r="243" spans="1:14" ht="12.75" customHeight="1" x14ac:dyDescent="0.25">
      <c r="A243" s="274">
        <v>5191</v>
      </c>
      <c r="B243" s="83">
        <v>416100</v>
      </c>
      <c r="C243" s="84" t="s">
        <v>222</v>
      </c>
      <c r="D243" s="257">
        <v>298</v>
      </c>
      <c r="E243" s="108">
        <v>13751</v>
      </c>
      <c r="F243" s="108">
        <f>D243+E243</f>
        <v>14049</v>
      </c>
      <c r="G243" s="109">
        <f t="shared" si="64"/>
        <v>13662</v>
      </c>
      <c r="H243" s="108"/>
      <c r="I243" s="108"/>
      <c r="J243" s="108"/>
      <c r="K243" s="108">
        <v>13662</v>
      </c>
      <c r="L243" s="108"/>
      <c r="M243" s="110"/>
      <c r="N243" s="137">
        <f t="shared" si="67"/>
        <v>0.97245355541319667</v>
      </c>
    </row>
    <row r="244" spans="1:14" ht="12.75" hidden="1" customHeight="1" x14ac:dyDescent="0.25">
      <c r="A244" s="273">
        <v>5192</v>
      </c>
      <c r="B244" s="251">
        <v>417000</v>
      </c>
      <c r="C244" s="82" t="s">
        <v>223</v>
      </c>
      <c r="D244" s="256"/>
      <c r="E244" s="100">
        <f>E245</f>
        <v>0</v>
      </c>
      <c r="F244" s="100">
        <f>F245</f>
        <v>0</v>
      </c>
      <c r="G244" s="100">
        <f t="shared" si="64"/>
        <v>0</v>
      </c>
      <c r="H244" s="100">
        <f t="shared" ref="H244:M244" si="77">H245</f>
        <v>0</v>
      </c>
      <c r="I244" s="100">
        <f t="shared" si="77"/>
        <v>0</v>
      </c>
      <c r="J244" s="100">
        <f t="shared" si="77"/>
        <v>0</v>
      </c>
      <c r="K244" s="100">
        <f t="shared" si="77"/>
        <v>0</v>
      </c>
      <c r="L244" s="100">
        <f t="shared" si="77"/>
        <v>0</v>
      </c>
      <c r="M244" s="101">
        <f t="shared" si="77"/>
        <v>0</v>
      </c>
      <c r="N244" s="137" t="e">
        <f t="shared" si="67"/>
        <v>#DIV/0!</v>
      </c>
    </row>
    <row r="245" spans="1:14" ht="12.75" hidden="1" customHeight="1" x14ac:dyDescent="0.25">
      <c r="A245" s="274">
        <v>5193</v>
      </c>
      <c r="B245" s="83">
        <v>417100</v>
      </c>
      <c r="C245" s="84" t="s">
        <v>224</v>
      </c>
      <c r="D245" s="257"/>
      <c r="E245" s="108"/>
      <c r="F245" s="108"/>
      <c r="G245" s="109">
        <f t="shared" si="64"/>
        <v>0</v>
      </c>
      <c r="H245" s="108"/>
      <c r="I245" s="108"/>
      <c r="J245" s="108"/>
      <c r="K245" s="108"/>
      <c r="L245" s="108"/>
      <c r="M245" s="110"/>
      <c r="N245" s="137" t="e">
        <f t="shared" si="67"/>
        <v>#DIV/0!</v>
      </c>
    </row>
    <row r="246" spans="1:14" ht="12.75" hidden="1" customHeight="1" x14ac:dyDescent="0.25">
      <c r="A246" s="273">
        <v>5194</v>
      </c>
      <c r="B246" s="251">
        <v>418000</v>
      </c>
      <c r="C246" s="82" t="s">
        <v>225</v>
      </c>
      <c r="D246" s="256"/>
      <c r="E246" s="100">
        <f>E247</f>
        <v>0</v>
      </c>
      <c r="F246" s="100">
        <f>F247</f>
        <v>0</v>
      </c>
      <c r="G246" s="100">
        <f t="shared" si="64"/>
        <v>0</v>
      </c>
      <c r="H246" s="100">
        <f t="shared" ref="H246:M246" si="78">H247</f>
        <v>0</v>
      </c>
      <c r="I246" s="100">
        <f t="shared" si="78"/>
        <v>0</v>
      </c>
      <c r="J246" s="100">
        <f t="shared" si="78"/>
        <v>0</v>
      </c>
      <c r="K246" s="100">
        <f t="shared" si="78"/>
        <v>0</v>
      </c>
      <c r="L246" s="100">
        <f t="shared" si="78"/>
        <v>0</v>
      </c>
      <c r="M246" s="101">
        <f t="shared" si="78"/>
        <v>0</v>
      </c>
      <c r="N246" s="137" t="e">
        <f t="shared" si="67"/>
        <v>#DIV/0!</v>
      </c>
    </row>
    <row r="247" spans="1:14" ht="12.75" hidden="1" customHeight="1" x14ac:dyDescent="0.25">
      <c r="A247" s="274">
        <v>5195</v>
      </c>
      <c r="B247" s="83">
        <v>418100</v>
      </c>
      <c r="C247" s="84" t="s">
        <v>226</v>
      </c>
      <c r="D247" s="257"/>
      <c r="E247" s="108"/>
      <c r="F247" s="108"/>
      <c r="G247" s="109">
        <f t="shared" si="64"/>
        <v>0</v>
      </c>
      <c r="H247" s="108"/>
      <c r="I247" s="108"/>
      <c r="J247" s="108"/>
      <c r="K247" s="108"/>
      <c r="L247" s="108"/>
      <c r="M247" s="110"/>
      <c r="N247" s="137" t="e">
        <f t="shared" si="67"/>
        <v>#DIV/0!</v>
      </c>
    </row>
    <row r="248" spans="1:14" ht="12.75" customHeight="1" x14ac:dyDescent="0.25">
      <c r="A248" s="273">
        <v>5196</v>
      </c>
      <c r="B248" s="251">
        <v>420000</v>
      </c>
      <c r="C248" s="82" t="s">
        <v>227</v>
      </c>
      <c r="D248" s="256">
        <f>D249+D257+D263+D276+D284+D287</f>
        <v>78515</v>
      </c>
      <c r="E248" s="100">
        <f>E249+E257+E263+E276+E284+E287</f>
        <v>427974</v>
      </c>
      <c r="F248" s="100">
        <f>F249+F257+F263+F276+F284+F287</f>
        <v>506489</v>
      </c>
      <c r="G248" s="100">
        <f t="shared" si="64"/>
        <v>458607</v>
      </c>
      <c r="H248" s="100">
        <f t="shared" ref="H248:M248" si="79">H249+H257+H263+H276+H284+H287</f>
        <v>2624</v>
      </c>
      <c r="I248" s="100">
        <f t="shared" si="79"/>
        <v>0</v>
      </c>
      <c r="J248" s="100">
        <f t="shared" si="79"/>
        <v>0</v>
      </c>
      <c r="K248" s="100">
        <f t="shared" si="79"/>
        <v>448377</v>
      </c>
      <c r="L248" s="100">
        <f t="shared" si="79"/>
        <v>0</v>
      </c>
      <c r="M248" s="101">
        <f t="shared" si="79"/>
        <v>7606</v>
      </c>
      <c r="N248" s="137">
        <f t="shared" si="67"/>
        <v>0.90546290245197825</v>
      </c>
    </row>
    <row r="249" spans="1:14" ht="12.75" customHeight="1" x14ac:dyDescent="0.25">
      <c r="A249" s="273">
        <v>5197</v>
      </c>
      <c r="B249" s="251">
        <v>421000</v>
      </c>
      <c r="C249" s="82" t="s">
        <v>228</v>
      </c>
      <c r="D249" s="256">
        <f>SUM(D250:D256)</f>
        <v>18114</v>
      </c>
      <c r="E249" s="100">
        <f>SUM(E250:E256)</f>
        <v>108649</v>
      </c>
      <c r="F249" s="100">
        <f>SUM(F250:F256)</f>
        <v>126763</v>
      </c>
      <c r="G249" s="100">
        <f t="shared" si="64"/>
        <v>130333</v>
      </c>
      <c r="H249" s="100">
        <f t="shared" ref="H249:M249" si="80">SUM(H250:H256)</f>
        <v>0</v>
      </c>
      <c r="I249" s="100">
        <f t="shared" si="80"/>
        <v>0</v>
      </c>
      <c r="J249" s="100">
        <f t="shared" si="80"/>
        <v>0</v>
      </c>
      <c r="K249" s="100">
        <f t="shared" si="80"/>
        <v>129270</v>
      </c>
      <c r="L249" s="100">
        <f t="shared" si="80"/>
        <v>0</v>
      </c>
      <c r="M249" s="101">
        <f t="shared" si="80"/>
        <v>1063</v>
      </c>
      <c r="N249" s="137">
        <f t="shared" si="67"/>
        <v>1.0281627919818874</v>
      </c>
    </row>
    <row r="250" spans="1:14" ht="12.75" customHeight="1" x14ac:dyDescent="0.25">
      <c r="A250" s="274">
        <v>5198</v>
      </c>
      <c r="B250" s="83">
        <v>421100</v>
      </c>
      <c r="C250" s="84" t="s">
        <v>229</v>
      </c>
      <c r="D250" s="257">
        <v>242</v>
      </c>
      <c r="E250" s="108">
        <v>1413</v>
      </c>
      <c r="F250" s="108">
        <f>D250+E250</f>
        <v>1655</v>
      </c>
      <c r="G250" s="109">
        <f t="shared" si="64"/>
        <v>1490</v>
      </c>
      <c r="H250" s="108"/>
      <c r="I250" s="108"/>
      <c r="J250" s="108"/>
      <c r="K250" s="108">
        <v>1422</v>
      </c>
      <c r="L250" s="108"/>
      <c r="M250" s="110">
        <v>68</v>
      </c>
      <c r="N250" s="137">
        <f t="shared" si="67"/>
        <v>0.90030211480362543</v>
      </c>
    </row>
    <row r="251" spans="1:14" ht="12.75" customHeight="1" x14ac:dyDescent="0.25">
      <c r="A251" s="274">
        <v>5199</v>
      </c>
      <c r="B251" s="83">
        <v>421200</v>
      </c>
      <c r="C251" s="84" t="s">
        <v>230</v>
      </c>
      <c r="D251" s="257">
        <v>15232</v>
      </c>
      <c r="E251" s="231">
        <f>73600+18289</f>
        <v>91889</v>
      </c>
      <c r="F251" s="231">
        <f t="shared" ref="F251:F256" si="81">D251+E251</f>
        <v>107121</v>
      </c>
      <c r="G251" s="234">
        <f t="shared" si="64"/>
        <v>111405</v>
      </c>
      <c r="H251" s="231"/>
      <c r="I251" s="231"/>
      <c r="J251" s="231"/>
      <c r="K251" s="231">
        <v>111167</v>
      </c>
      <c r="L251" s="231"/>
      <c r="M251" s="262">
        <v>238</v>
      </c>
      <c r="N251" s="230">
        <f t="shared" si="67"/>
        <v>1.0399921584003136</v>
      </c>
    </row>
    <row r="252" spans="1:14" ht="12.75" customHeight="1" x14ac:dyDescent="0.25">
      <c r="A252" s="274">
        <v>5200</v>
      </c>
      <c r="B252" s="83">
        <v>421300</v>
      </c>
      <c r="C252" s="84" t="s">
        <v>231</v>
      </c>
      <c r="D252" s="257">
        <f>1850+300</f>
        <v>2150</v>
      </c>
      <c r="E252" s="108">
        <v>10447</v>
      </c>
      <c r="F252" s="108">
        <f t="shared" si="81"/>
        <v>12597</v>
      </c>
      <c r="G252" s="109">
        <f t="shared" si="64"/>
        <v>12570</v>
      </c>
      <c r="H252" s="108"/>
      <c r="I252" s="108"/>
      <c r="J252" s="108"/>
      <c r="K252" s="108">
        <v>11871</v>
      </c>
      <c r="L252" s="108"/>
      <c r="M252" s="110">
        <v>699</v>
      </c>
      <c r="N252" s="137">
        <f t="shared" si="67"/>
        <v>0.9978566325315551</v>
      </c>
    </row>
    <row r="253" spans="1:14" ht="12.75" customHeight="1" x14ac:dyDescent="0.25">
      <c r="A253" s="274">
        <v>5201</v>
      </c>
      <c r="B253" s="83">
        <v>421400</v>
      </c>
      <c r="C253" s="84" t="s">
        <v>232</v>
      </c>
      <c r="D253" s="257">
        <v>65</v>
      </c>
      <c r="E253" s="108">
        <v>2008</v>
      </c>
      <c r="F253" s="108">
        <f t="shared" si="81"/>
        <v>2073</v>
      </c>
      <c r="G253" s="109">
        <f t="shared" si="64"/>
        <v>2042</v>
      </c>
      <c r="H253" s="108"/>
      <c r="I253" s="108"/>
      <c r="J253" s="108"/>
      <c r="K253" s="108">
        <v>2042</v>
      </c>
      <c r="L253" s="108"/>
      <c r="M253" s="110"/>
      <c r="N253" s="137">
        <f t="shared" si="67"/>
        <v>0.98504582730342494</v>
      </c>
    </row>
    <row r="254" spans="1:14" ht="12.75" customHeight="1" x14ac:dyDescent="0.25">
      <c r="A254" s="274">
        <v>5202</v>
      </c>
      <c r="B254" s="83">
        <v>421500</v>
      </c>
      <c r="C254" s="84" t="s">
        <v>233</v>
      </c>
      <c r="D254" s="257">
        <f>505-80</f>
        <v>425</v>
      </c>
      <c r="E254" s="108">
        <v>2892</v>
      </c>
      <c r="F254" s="108">
        <f t="shared" si="81"/>
        <v>3317</v>
      </c>
      <c r="G254" s="109">
        <f t="shared" si="64"/>
        <v>2826</v>
      </c>
      <c r="H254" s="108"/>
      <c r="I254" s="108"/>
      <c r="J254" s="108"/>
      <c r="K254" s="108">
        <v>2768</v>
      </c>
      <c r="L254" s="108"/>
      <c r="M254" s="110">
        <v>58</v>
      </c>
      <c r="N254" s="137">
        <f t="shared" si="67"/>
        <v>0.85197467591196863</v>
      </c>
    </row>
    <row r="255" spans="1:14" ht="12.75" hidden="1" customHeight="1" x14ac:dyDescent="0.25">
      <c r="A255" s="274">
        <v>5203</v>
      </c>
      <c r="B255" s="83">
        <v>421600</v>
      </c>
      <c r="C255" s="84" t="s">
        <v>234</v>
      </c>
      <c r="D255" s="257"/>
      <c r="E255" s="108"/>
      <c r="F255" s="108">
        <f t="shared" si="81"/>
        <v>0</v>
      </c>
      <c r="G255" s="109">
        <f t="shared" si="64"/>
        <v>0</v>
      </c>
      <c r="H255" s="108"/>
      <c r="I255" s="108"/>
      <c r="J255" s="108"/>
      <c r="K255" s="108"/>
      <c r="L255" s="108"/>
      <c r="M255" s="110"/>
      <c r="N255" s="137" t="e">
        <f t="shared" si="67"/>
        <v>#DIV/0!</v>
      </c>
    </row>
    <row r="256" spans="1:14" ht="12.75" hidden="1" customHeight="1" x14ac:dyDescent="0.25">
      <c r="A256" s="274">
        <v>5204</v>
      </c>
      <c r="B256" s="83">
        <v>421900</v>
      </c>
      <c r="C256" s="84" t="s">
        <v>235</v>
      </c>
      <c r="D256" s="257"/>
      <c r="E256" s="108"/>
      <c r="F256" s="108">
        <f t="shared" si="81"/>
        <v>0</v>
      </c>
      <c r="G256" s="109">
        <f t="shared" si="64"/>
        <v>0</v>
      </c>
      <c r="H256" s="108"/>
      <c r="I256" s="108"/>
      <c r="J256" s="108"/>
      <c r="K256" s="108"/>
      <c r="L256" s="108"/>
      <c r="M256" s="110"/>
      <c r="N256" s="137" t="e">
        <f t="shared" si="67"/>
        <v>#DIV/0!</v>
      </c>
    </row>
    <row r="257" spans="1:14" ht="12.75" customHeight="1" x14ac:dyDescent="0.25">
      <c r="A257" s="273">
        <v>5205</v>
      </c>
      <c r="B257" s="251">
        <v>422000</v>
      </c>
      <c r="C257" s="82" t="s">
        <v>236</v>
      </c>
      <c r="D257" s="256">
        <f>SUM(D258:D262)</f>
        <v>27</v>
      </c>
      <c r="E257" s="100">
        <f>SUM(E258:E262)</f>
        <v>650</v>
      </c>
      <c r="F257" s="100">
        <f>SUM(F258:F262)</f>
        <v>677</v>
      </c>
      <c r="G257" s="100">
        <f t="shared" si="64"/>
        <v>576</v>
      </c>
      <c r="H257" s="100">
        <f t="shared" ref="H257:M257" si="82">SUM(H258:H262)</f>
        <v>0</v>
      </c>
      <c r="I257" s="100">
        <f t="shared" si="82"/>
        <v>0</v>
      </c>
      <c r="J257" s="100">
        <f t="shared" si="82"/>
        <v>0</v>
      </c>
      <c r="K257" s="100">
        <f t="shared" si="82"/>
        <v>137</v>
      </c>
      <c r="L257" s="100">
        <f t="shared" si="82"/>
        <v>0</v>
      </c>
      <c r="M257" s="101">
        <f t="shared" si="82"/>
        <v>439</v>
      </c>
      <c r="N257" s="137">
        <f t="shared" si="67"/>
        <v>0.85081240768094535</v>
      </c>
    </row>
    <row r="258" spans="1:14" ht="12.75" customHeight="1" x14ac:dyDescent="0.25">
      <c r="A258" s="274">
        <v>5206</v>
      </c>
      <c r="B258" s="83">
        <v>422100</v>
      </c>
      <c r="C258" s="84" t="s">
        <v>237</v>
      </c>
      <c r="D258" s="257">
        <v>27</v>
      </c>
      <c r="E258" s="108">
        <v>650</v>
      </c>
      <c r="F258" s="108">
        <f>D258+E258</f>
        <v>677</v>
      </c>
      <c r="G258" s="109">
        <f t="shared" si="64"/>
        <v>576</v>
      </c>
      <c r="H258" s="108"/>
      <c r="I258" s="108"/>
      <c r="J258" s="108"/>
      <c r="K258" s="108">
        <v>137</v>
      </c>
      <c r="L258" s="108"/>
      <c r="M258" s="110">
        <v>439</v>
      </c>
      <c r="N258" s="137">
        <f t="shared" si="67"/>
        <v>0.85081240768094535</v>
      </c>
    </row>
    <row r="259" spans="1:14" ht="12.75" hidden="1" customHeight="1" x14ac:dyDescent="0.25">
      <c r="A259" s="274">
        <v>5207</v>
      </c>
      <c r="B259" s="83">
        <v>422200</v>
      </c>
      <c r="C259" s="84" t="s">
        <v>238</v>
      </c>
      <c r="D259" s="257"/>
      <c r="E259" s="108"/>
      <c r="F259" s="108"/>
      <c r="G259" s="109">
        <f t="shared" si="64"/>
        <v>0</v>
      </c>
      <c r="H259" s="108"/>
      <c r="I259" s="108"/>
      <c r="J259" s="108"/>
      <c r="K259" s="108"/>
      <c r="L259" s="108"/>
      <c r="M259" s="110"/>
      <c r="N259" s="137" t="e">
        <f t="shared" si="67"/>
        <v>#DIV/0!</v>
      </c>
    </row>
    <row r="260" spans="1:14" ht="12.75" hidden="1" customHeight="1" x14ac:dyDescent="0.25">
      <c r="A260" s="274">
        <v>5208</v>
      </c>
      <c r="B260" s="83">
        <v>422300</v>
      </c>
      <c r="C260" s="84" t="s">
        <v>239</v>
      </c>
      <c r="D260" s="257"/>
      <c r="E260" s="108"/>
      <c r="F260" s="108"/>
      <c r="G260" s="109">
        <f t="shared" si="64"/>
        <v>0</v>
      </c>
      <c r="H260" s="108"/>
      <c r="I260" s="108"/>
      <c r="J260" s="108"/>
      <c r="K260" s="108"/>
      <c r="L260" s="108"/>
      <c r="M260" s="110"/>
      <c r="N260" s="137" t="e">
        <f t="shared" si="67"/>
        <v>#DIV/0!</v>
      </c>
    </row>
    <row r="261" spans="1:14" ht="12.75" hidden="1" customHeight="1" x14ac:dyDescent="0.25">
      <c r="A261" s="274">
        <v>5209</v>
      </c>
      <c r="B261" s="83">
        <v>422400</v>
      </c>
      <c r="C261" s="84" t="s">
        <v>240</v>
      </c>
      <c r="D261" s="257"/>
      <c r="E261" s="108"/>
      <c r="F261" s="108"/>
      <c r="G261" s="109">
        <f t="shared" si="64"/>
        <v>0</v>
      </c>
      <c r="H261" s="108"/>
      <c r="I261" s="108"/>
      <c r="J261" s="108"/>
      <c r="K261" s="108"/>
      <c r="L261" s="108"/>
      <c r="M261" s="110"/>
      <c r="N261" s="137" t="e">
        <f t="shared" si="67"/>
        <v>#DIV/0!</v>
      </c>
    </row>
    <row r="262" spans="1:14" ht="12.75" hidden="1" customHeight="1" x14ac:dyDescent="0.25">
      <c r="A262" s="274">
        <v>5210</v>
      </c>
      <c r="B262" s="83">
        <v>422900</v>
      </c>
      <c r="C262" s="84" t="s">
        <v>241</v>
      </c>
      <c r="D262" s="257"/>
      <c r="E262" s="108"/>
      <c r="F262" s="108"/>
      <c r="G262" s="109">
        <f t="shared" si="64"/>
        <v>0</v>
      </c>
      <c r="H262" s="108"/>
      <c r="I262" s="108"/>
      <c r="J262" s="108"/>
      <c r="K262" s="108"/>
      <c r="L262" s="108"/>
      <c r="M262" s="110"/>
      <c r="N262" s="137" t="e">
        <f t="shared" si="67"/>
        <v>#DIV/0!</v>
      </c>
    </row>
    <row r="263" spans="1:14" ht="12.75" customHeight="1" x14ac:dyDescent="0.25">
      <c r="A263" s="273">
        <v>5211</v>
      </c>
      <c r="B263" s="251">
        <v>423000</v>
      </c>
      <c r="C263" s="82" t="s">
        <v>242</v>
      </c>
      <c r="D263" s="256">
        <f>SUM(D264:D275)</f>
        <v>1197</v>
      </c>
      <c r="E263" s="100">
        <f>SUM(E264:E275)</f>
        <v>8361</v>
      </c>
      <c r="F263" s="100">
        <f>SUM(F264:F275)</f>
        <v>9558</v>
      </c>
      <c r="G263" s="100">
        <f t="shared" si="64"/>
        <v>9320</v>
      </c>
      <c r="H263" s="100">
        <f t="shared" ref="H263:M263" si="83">SUM(H264:H275)</f>
        <v>0</v>
      </c>
      <c r="I263" s="100">
        <f t="shared" si="83"/>
        <v>0</v>
      </c>
      <c r="J263" s="100">
        <f t="shared" si="83"/>
        <v>0</v>
      </c>
      <c r="K263" s="100">
        <f t="shared" si="83"/>
        <v>6940</v>
      </c>
      <c r="L263" s="100">
        <f t="shared" si="83"/>
        <v>0</v>
      </c>
      <c r="M263" s="101">
        <f t="shared" si="83"/>
        <v>2380</v>
      </c>
      <c r="N263" s="137">
        <f t="shared" si="67"/>
        <v>0.97509939317848926</v>
      </c>
    </row>
    <row r="264" spans="1:14" ht="12.75" hidden="1" customHeight="1" x14ac:dyDescent="0.25">
      <c r="A264" s="274">
        <v>5212</v>
      </c>
      <c r="B264" s="83">
        <v>423100</v>
      </c>
      <c r="C264" s="84" t="s">
        <v>243</v>
      </c>
      <c r="D264" s="257"/>
      <c r="E264" s="108"/>
      <c r="F264" s="108"/>
      <c r="G264" s="109">
        <f t="shared" si="64"/>
        <v>0</v>
      </c>
      <c r="H264" s="108"/>
      <c r="I264" s="108"/>
      <c r="J264" s="108"/>
      <c r="K264" s="108"/>
      <c r="L264" s="108"/>
      <c r="M264" s="110"/>
      <c r="N264" s="137" t="e">
        <f t="shared" si="67"/>
        <v>#DIV/0!</v>
      </c>
    </row>
    <row r="265" spans="1:14" ht="12.75" customHeight="1" x14ac:dyDescent="0.25">
      <c r="A265" s="274">
        <v>5213</v>
      </c>
      <c r="B265" s="83">
        <v>423200</v>
      </c>
      <c r="C265" s="84" t="s">
        <v>244</v>
      </c>
      <c r="D265" s="257">
        <v>634</v>
      </c>
      <c r="E265" s="108">
        <v>3556</v>
      </c>
      <c r="F265" s="108">
        <f>D265+E265</f>
        <v>4190</v>
      </c>
      <c r="G265" s="109">
        <f t="shared" si="64"/>
        <v>4047</v>
      </c>
      <c r="H265" s="108"/>
      <c r="I265" s="108"/>
      <c r="J265" s="108"/>
      <c r="K265" s="108">
        <v>4047</v>
      </c>
      <c r="L265" s="108"/>
      <c r="M265" s="110"/>
      <c r="N265" s="137">
        <f t="shared" si="67"/>
        <v>0.96587112171837708</v>
      </c>
    </row>
    <row r="266" spans="1:14" ht="12.75" customHeight="1" x14ac:dyDescent="0.25">
      <c r="A266" s="274">
        <v>5214</v>
      </c>
      <c r="B266" s="83">
        <v>423300</v>
      </c>
      <c r="C266" s="84" t="s">
        <v>245</v>
      </c>
      <c r="D266" s="257">
        <f>454+29+80</f>
        <v>563</v>
      </c>
      <c r="E266" s="108">
        <v>3060</v>
      </c>
      <c r="F266" s="108">
        <f t="shared" ref="F266:F275" si="84">D266+E266</f>
        <v>3623</v>
      </c>
      <c r="G266" s="109">
        <f t="shared" si="64"/>
        <v>3622</v>
      </c>
      <c r="H266" s="108"/>
      <c r="I266" s="108"/>
      <c r="J266" s="108"/>
      <c r="K266" s="108">
        <v>2801</v>
      </c>
      <c r="L266" s="108"/>
      <c r="M266" s="110">
        <v>821</v>
      </c>
      <c r="N266" s="137">
        <f t="shared" si="67"/>
        <v>0.99972398564725362</v>
      </c>
    </row>
    <row r="267" spans="1:14" ht="12.75" customHeight="1" x14ac:dyDescent="0.25">
      <c r="A267" s="274">
        <v>5215</v>
      </c>
      <c r="B267" s="83">
        <v>423400</v>
      </c>
      <c r="C267" s="84" t="s">
        <v>246</v>
      </c>
      <c r="D267" s="257">
        <f>29-29</f>
        <v>0</v>
      </c>
      <c r="E267" s="108">
        <v>160</v>
      </c>
      <c r="F267" s="108">
        <f t="shared" si="84"/>
        <v>160</v>
      </c>
      <c r="G267" s="109">
        <f t="shared" si="64"/>
        <v>92</v>
      </c>
      <c r="H267" s="108"/>
      <c r="I267" s="108"/>
      <c r="J267" s="108"/>
      <c r="K267" s="108">
        <v>92</v>
      </c>
      <c r="L267" s="108"/>
      <c r="M267" s="110"/>
      <c r="N267" s="137">
        <f t="shared" si="67"/>
        <v>0.57499999999999996</v>
      </c>
    </row>
    <row r="268" spans="1:14" ht="12.75" customHeight="1" x14ac:dyDescent="0.25">
      <c r="A268" s="274">
        <v>5216</v>
      </c>
      <c r="B268" s="83">
        <v>423500</v>
      </c>
      <c r="C268" s="84" t="s">
        <v>247</v>
      </c>
      <c r="D268" s="257"/>
      <c r="E268" s="108">
        <v>1125</v>
      </c>
      <c r="F268" s="108">
        <f t="shared" si="84"/>
        <v>1125</v>
      </c>
      <c r="G268" s="109">
        <f t="shared" si="64"/>
        <v>1125</v>
      </c>
      <c r="H268" s="108"/>
      <c r="I268" s="108"/>
      <c r="J268" s="108"/>
      <c r="K268" s="108"/>
      <c r="L268" s="108"/>
      <c r="M268" s="110">
        <v>1125</v>
      </c>
      <c r="N268" s="137">
        <f t="shared" si="67"/>
        <v>1</v>
      </c>
    </row>
    <row r="269" spans="1:14" ht="12.75" hidden="1" customHeight="1" x14ac:dyDescent="0.25">
      <c r="A269" s="274">
        <v>5217</v>
      </c>
      <c r="B269" s="83">
        <v>423600</v>
      </c>
      <c r="C269" s="84" t="s">
        <v>248</v>
      </c>
      <c r="D269" s="257"/>
      <c r="E269" s="108"/>
      <c r="F269" s="108">
        <f t="shared" si="84"/>
        <v>0</v>
      </c>
      <c r="G269" s="109">
        <f t="shared" si="64"/>
        <v>0</v>
      </c>
      <c r="H269" s="108"/>
      <c r="I269" s="108"/>
      <c r="J269" s="108"/>
      <c r="K269" s="108"/>
      <c r="L269" s="108"/>
      <c r="M269" s="110"/>
      <c r="N269" s="137" t="e">
        <f t="shared" si="67"/>
        <v>#DIV/0!</v>
      </c>
    </row>
    <row r="270" spans="1:14" ht="12.75" customHeight="1" x14ac:dyDescent="0.25">
      <c r="A270" s="274">
        <v>5218</v>
      </c>
      <c r="B270" s="83">
        <v>423700</v>
      </c>
      <c r="C270" s="84" t="s">
        <v>249</v>
      </c>
      <c r="D270" s="257"/>
      <c r="E270" s="108">
        <v>200</v>
      </c>
      <c r="F270" s="108">
        <f t="shared" si="84"/>
        <v>200</v>
      </c>
      <c r="G270" s="109">
        <f t="shared" si="64"/>
        <v>192</v>
      </c>
      <c r="H270" s="108"/>
      <c r="I270" s="108"/>
      <c r="J270" s="108"/>
      <c r="K270" s="108"/>
      <c r="L270" s="108"/>
      <c r="M270" s="110">
        <v>192</v>
      </c>
      <c r="N270" s="137">
        <f t="shared" si="67"/>
        <v>0.96</v>
      </c>
    </row>
    <row r="271" spans="1:14" ht="12.75" hidden="1" customHeight="1" x14ac:dyDescent="0.25">
      <c r="A271" s="645" t="s">
        <v>0</v>
      </c>
      <c r="B271" s="646" t="s">
        <v>1</v>
      </c>
      <c r="C271" s="585" t="s">
        <v>2</v>
      </c>
      <c r="D271" s="259"/>
      <c r="E271" s="585"/>
      <c r="F271" s="108">
        <f t="shared" si="84"/>
        <v>0</v>
      </c>
      <c r="G271" s="575" t="s">
        <v>198</v>
      </c>
      <c r="H271" s="589"/>
      <c r="I271" s="589"/>
      <c r="J271" s="589"/>
      <c r="K271" s="589"/>
      <c r="L271" s="589"/>
      <c r="M271" s="592"/>
      <c r="N271" s="137" t="e">
        <f t="shared" si="67"/>
        <v>#VALUE!</v>
      </c>
    </row>
    <row r="272" spans="1:14" ht="12.75" hidden="1" customHeight="1" x14ac:dyDescent="0.25">
      <c r="A272" s="645"/>
      <c r="B272" s="646"/>
      <c r="C272" s="585"/>
      <c r="D272" s="259"/>
      <c r="E272" s="585"/>
      <c r="F272" s="108">
        <f t="shared" si="84"/>
        <v>0</v>
      </c>
      <c r="G272" s="575" t="s">
        <v>199</v>
      </c>
      <c r="H272" s="575" t="s">
        <v>200</v>
      </c>
      <c r="I272" s="589"/>
      <c r="J272" s="589"/>
      <c r="K272" s="589"/>
      <c r="L272" s="575" t="s">
        <v>7</v>
      </c>
      <c r="M272" s="582" t="s">
        <v>8</v>
      </c>
      <c r="N272" s="137" t="e">
        <f t="shared" si="67"/>
        <v>#VALUE!</v>
      </c>
    </row>
    <row r="273" spans="1:14" ht="12.75" hidden="1" customHeight="1" x14ac:dyDescent="0.25">
      <c r="A273" s="645"/>
      <c r="B273" s="646"/>
      <c r="C273" s="585"/>
      <c r="D273" s="259"/>
      <c r="E273" s="585"/>
      <c r="F273" s="108">
        <f t="shared" si="84"/>
        <v>0</v>
      </c>
      <c r="G273" s="589"/>
      <c r="H273" s="252" t="s">
        <v>201</v>
      </c>
      <c r="I273" s="252" t="s">
        <v>10</v>
      </c>
      <c r="J273" s="252" t="s">
        <v>11</v>
      </c>
      <c r="K273" s="252" t="s">
        <v>12</v>
      </c>
      <c r="L273" s="589"/>
      <c r="M273" s="592"/>
      <c r="N273" s="137" t="e">
        <f t="shared" si="67"/>
        <v>#DIV/0!</v>
      </c>
    </row>
    <row r="274" spans="1:14" ht="12.75" hidden="1" customHeight="1" x14ac:dyDescent="0.25">
      <c r="A274" s="275" t="s">
        <v>18</v>
      </c>
      <c r="B274" s="95" t="s">
        <v>19</v>
      </c>
      <c r="C274" s="253" t="s">
        <v>20</v>
      </c>
      <c r="D274" s="259"/>
      <c r="E274" s="253"/>
      <c r="F274" s="108">
        <f t="shared" si="84"/>
        <v>0</v>
      </c>
      <c r="G274" s="253" t="s">
        <v>22</v>
      </c>
      <c r="H274" s="253" t="s">
        <v>23</v>
      </c>
      <c r="I274" s="253" t="s">
        <v>24</v>
      </c>
      <c r="J274" s="253" t="s">
        <v>25</v>
      </c>
      <c r="K274" s="253" t="s">
        <v>26</v>
      </c>
      <c r="L274" s="253" t="s">
        <v>27</v>
      </c>
      <c r="M274" s="99" t="s">
        <v>28</v>
      </c>
      <c r="N274" s="137" t="e">
        <f t="shared" si="67"/>
        <v>#DIV/0!</v>
      </c>
    </row>
    <row r="275" spans="1:14" ht="12.75" customHeight="1" x14ac:dyDescent="0.25">
      <c r="A275" s="274">
        <v>5219</v>
      </c>
      <c r="B275" s="83">
        <v>423900</v>
      </c>
      <c r="C275" s="84" t="s">
        <v>250</v>
      </c>
      <c r="D275" s="257"/>
      <c r="E275" s="108">
        <v>260</v>
      </c>
      <c r="F275" s="108">
        <f t="shared" si="84"/>
        <v>260</v>
      </c>
      <c r="G275" s="109">
        <f t="shared" si="64"/>
        <v>242</v>
      </c>
      <c r="H275" s="108"/>
      <c r="I275" s="108"/>
      <c r="J275" s="108"/>
      <c r="K275" s="108"/>
      <c r="L275" s="108"/>
      <c r="M275" s="110">
        <v>242</v>
      </c>
      <c r="N275" s="137">
        <f t="shared" si="67"/>
        <v>0.93076923076923079</v>
      </c>
    </row>
    <row r="276" spans="1:14" ht="12.75" customHeight="1" x14ac:dyDescent="0.25">
      <c r="A276" s="273">
        <v>5220</v>
      </c>
      <c r="B276" s="251">
        <v>424000</v>
      </c>
      <c r="C276" s="82" t="s">
        <v>251</v>
      </c>
      <c r="D276" s="256">
        <f>SUM(D277:D283)</f>
        <v>214</v>
      </c>
      <c r="E276" s="100">
        <f>SUM(E277:E283)</f>
        <v>6095</v>
      </c>
      <c r="F276" s="100">
        <f>SUM(F277:F283)</f>
        <v>6309</v>
      </c>
      <c r="G276" s="100">
        <f t="shared" si="64"/>
        <v>4550</v>
      </c>
      <c r="H276" s="100">
        <f t="shared" ref="H276:M276" si="85">SUM(H277:H283)</f>
        <v>1546</v>
      </c>
      <c r="I276" s="100">
        <f t="shared" si="85"/>
        <v>0</v>
      </c>
      <c r="J276" s="100">
        <f t="shared" si="85"/>
        <v>0</v>
      </c>
      <c r="K276" s="100">
        <f t="shared" si="85"/>
        <v>1409</v>
      </c>
      <c r="L276" s="100">
        <f t="shared" si="85"/>
        <v>0</v>
      </c>
      <c r="M276" s="101">
        <f t="shared" si="85"/>
        <v>1595</v>
      </c>
      <c r="N276" s="137">
        <f t="shared" si="67"/>
        <v>0.72119194801077824</v>
      </c>
    </row>
    <row r="277" spans="1:14" ht="12.75" hidden="1" customHeight="1" x14ac:dyDescent="0.25">
      <c r="A277" s="274">
        <v>5221</v>
      </c>
      <c r="B277" s="83">
        <v>424100</v>
      </c>
      <c r="C277" s="84" t="s">
        <v>252</v>
      </c>
      <c r="D277" s="257"/>
      <c r="E277" s="108"/>
      <c r="F277" s="108"/>
      <c r="G277" s="109">
        <f t="shared" si="64"/>
        <v>0</v>
      </c>
      <c r="H277" s="108"/>
      <c r="I277" s="108"/>
      <c r="J277" s="108"/>
      <c r="K277" s="108"/>
      <c r="L277" s="108"/>
      <c r="M277" s="110"/>
      <c r="N277" s="137" t="e">
        <f t="shared" si="67"/>
        <v>#DIV/0!</v>
      </c>
    </row>
    <row r="278" spans="1:14" ht="12.75" hidden="1" customHeight="1" x14ac:dyDescent="0.25">
      <c r="A278" s="274">
        <v>5222</v>
      </c>
      <c r="B278" s="83">
        <v>424200</v>
      </c>
      <c r="C278" s="84" t="s">
        <v>253</v>
      </c>
      <c r="D278" s="257"/>
      <c r="E278" s="108"/>
      <c r="F278" s="108"/>
      <c r="G278" s="109">
        <f t="shared" si="64"/>
        <v>0</v>
      </c>
      <c r="H278" s="108"/>
      <c r="I278" s="108"/>
      <c r="J278" s="108"/>
      <c r="K278" s="108"/>
      <c r="L278" s="108"/>
      <c r="M278" s="110"/>
      <c r="N278" s="137" t="e">
        <f t="shared" si="67"/>
        <v>#DIV/0!</v>
      </c>
    </row>
    <row r="279" spans="1:14" ht="12.75" customHeight="1" x14ac:dyDescent="0.25">
      <c r="A279" s="274">
        <v>5223</v>
      </c>
      <c r="B279" s="83">
        <v>424300</v>
      </c>
      <c r="C279" s="84" t="s">
        <v>254</v>
      </c>
      <c r="D279" s="257">
        <v>214</v>
      </c>
      <c r="E279" s="108">
        <v>1380</v>
      </c>
      <c r="F279" s="108">
        <f>D279+E279</f>
        <v>1594</v>
      </c>
      <c r="G279" s="109">
        <f t="shared" si="64"/>
        <v>1408</v>
      </c>
      <c r="H279" s="108"/>
      <c r="I279" s="108"/>
      <c r="J279" s="108"/>
      <c r="K279" s="108">
        <v>1408</v>
      </c>
      <c r="L279" s="108"/>
      <c r="M279" s="110"/>
      <c r="N279" s="137">
        <f t="shared" si="67"/>
        <v>0.88331242158092849</v>
      </c>
    </row>
    <row r="280" spans="1:14" ht="12.75" hidden="1" customHeight="1" x14ac:dyDescent="0.25">
      <c r="A280" s="274">
        <v>5224</v>
      </c>
      <c r="B280" s="83">
        <v>424400</v>
      </c>
      <c r="C280" s="84" t="s">
        <v>255</v>
      </c>
      <c r="D280" s="257"/>
      <c r="E280" s="108"/>
      <c r="F280" s="108">
        <f t="shared" ref="F280:F283" si="86">D280+E280</f>
        <v>0</v>
      </c>
      <c r="G280" s="109">
        <f t="shared" si="64"/>
        <v>0</v>
      </c>
      <c r="H280" s="108"/>
      <c r="I280" s="108"/>
      <c r="J280" s="108"/>
      <c r="K280" s="108"/>
      <c r="L280" s="108"/>
      <c r="M280" s="110"/>
      <c r="N280" s="137" t="e">
        <f t="shared" si="67"/>
        <v>#DIV/0!</v>
      </c>
    </row>
    <row r="281" spans="1:14" ht="12.75" hidden="1" customHeight="1" x14ac:dyDescent="0.25">
      <c r="A281" s="274">
        <v>5225</v>
      </c>
      <c r="B281" s="83">
        <v>424500</v>
      </c>
      <c r="C281" s="84" t="s">
        <v>256</v>
      </c>
      <c r="D281" s="257"/>
      <c r="E281" s="108"/>
      <c r="F281" s="108">
        <f t="shared" si="86"/>
        <v>0</v>
      </c>
      <c r="G281" s="109">
        <f t="shared" si="64"/>
        <v>0</v>
      </c>
      <c r="H281" s="108"/>
      <c r="I281" s="108"/>
      <c r="J281" s="108"/>
      <c r="K281" s="108"/>
      <c r="L281" s="108"/>
      <c r="M281" s="110"/>
      <c r="N281" s="137" t="e">
        <f t="shared" si="67"/>
        <v>#DIV/0!</v>
      </c>
    </row>
    <row r="282" spans="1:14" ht="12.75" customHeight="1" x14ac:dyDescent="0.25">
      <c r="A282" s="274">
        <v>5226</v>
      </c>
      <c r="B282" s="83">
        <v>424600</v>
      </c>
      <c r="C282" s="84" t="s">
        <v>257</v>
      </c>
      <c r="D282" s="257"/>
      <c r="E282" s="108">
        <v>300</v>
      </c>
      <c r="F282" s="108">
        <f t="shared" si="86"/>
        <v>300</v>
      </c>
      <c r="G282" s="109">
        <f t="shared" si="64"/>
        <v>240</v>
      </c>
      <c r="H282" s="108"/>
      <c r="I282" s="108"/>
      <c r="J282" s="108"/>
      <c r="K282" s="108">
        <v>1</v>
      </c>
      <c r="L282" s="108"/>
      <c r="M282" s="110">
        <v>239</v>
      </c>
      <c r="N282" s="137">
        <f t="shared" si="67"/>
        <v>0.8</v>
      </c>
    </row>
    <row r="283" spans="1:14" ht="12.75" customHeight="1" x14ac:dyDescent="0.25">
      <c r="A283" s="274">
        <v>5227</v>
      </c>
      <c r="B283" s="83">
        <v>424900</v>
      </c>
      <c r="C283" s="84" t="s">
        <v>258</v>
      </c>
      <c r="D283" s="257"/>
      <c r="E283" s="146">
        <v>4415</v>
      </c>
      <c r="F283" s="108">
        <f t="shared" si="86"/>
        <v>4415</v>
      </c>
      <c r="G283" s="147">
        <f t="shared" si="64"/>
        <v>2902</v>
      </c>
      <c r="H283" s="146">
        <v>1546</v>
      </c>
      <c r="I283" s="146"/>
      <c r="J283" s="146"/>
      <c r="K283" s="146"/>
      <c r="L283" s="146"/>
      <c r="M283" s="148">
        <v>1356</v>
      </c>
      <c r="N283" s="137">
        <f t="shared" si="67"/>
        <v>0.6573046432616082</v>
      </c>
    </row>
    <row r="284" spans="1:14" ht="12.75" customHeight="1" x14ac:dyDescent="0.25">
      <c r="A284" s="273">
        <v>5228</v>
      </c>
      <c r="B284" s="251">
        <v>425000</v>
      </c>
      <c r="C284" s="82" t="s">
        <v>259</v>
      </c>
      <c r="D284" s="256">
        <f>D285+D286</f>
        <v>2473</v>
      </c>
      <c r="E284" s="100">
        <f>E285+E286</f>
        <v>13775</v>
      </c>
      <c r="F284" s="100">
        <f>F285+F286</f>
        <v>16248</v>
      </c>
      <c r="G284" s="100">
        <f t="shared" si="64"/>
        <v>15844</v>
      </c>
      <c r="H284" s="100">
        <f t="shared" ref="H284:M284" si="87">H285+H286</f>
        <v>0</v>
      </c>
      <c r="I284" s="100">
        <f t="shared" si="87"/>
        <v>0</v>
      </c>
      <c r="J284" s="100">
        <f t="shared" si="87"/>
        <v>0</v>
      </c>
      <c r="K284" s="100">
        <f t="shared" si="87"/>
        <v>15515</v>
      </c>
      <c r="L284" s="100">
        <f t="shared" si="87"/>
        <v>0</v>
      </c>
      <c r="M284" s="101">
        <f t="shared" si="87"/>
        <v>329</v>
      </c>
      <c r="N284" s="137">
        <f t="shared" si="67"/>
        <v>0.97513540128015752</v>
      </c>
    </row>
    <row r="285" spans="1:14" ht="12.75" customHeight="1" x14ac:dyDescent="0.25">
      <c r="A285" s="274">
        <v>5229</v>
      </c>
      <c r="B285" s="83">
        <v>425100</v>
      </c>
      <c r="C285" s="84" t="s">
        <v>260</v>
      </c>
      <c r="D285" s="257">
        <f>131+300</f>
        <v>431</v>
      </c>
      <c r="E285" s="108">
        <v>720</v>
      </c>
      <c r="F285" s="108">
        <f>D285+E285</f>
        <v>1151</v>
      </c>
      <c r="G285" s="109">
        <f t="shared" si="64"/>
        <v>1076</v>
      </c>
      <c r="H285" s="108"/>
      <c r="I285" s="108"/>
      <c r="J285" s="108"/>
      <c r="K285" s="108">
        <v>1076</v>
      </c>
      <c r="L285" s="108"/>
      <c r="M285" s="110"/>
      <c r="N285" s="137">
        <f t="shared" ref="N285:N348" si="88">G285/F285</f>
        <v>0.93483927019982627</v>
      </c>
    </row>
    <row r="286" spans="1:14" ht="12.75" customHeight="1" x14ac:dyDescent="0.25">
      <c r="A286" s="274">
        <v>5230</v>
      </c>
      <c r="B286" s="83">
        <v>425200</v>
      </c>
      <c r="C286" s="84" t="s">
        <v>261</v>
      </c>
      <c r="D286" s="257">
        <f>2342-300</f>
        <v>2042</v>
      </c>
      <c r="E286" s="108">
        <v>13055</v>
      </c>
      <c r="F286" s="108">
        <f>D286+E286</f>
        <v>15097</v>
      </c>
      <c r="G286" s="109">
        <f t="shared" si="64"/>
        <v>14768</v>
      </c>
      <c r="H286" s="108"/>
      <c r="I286" s="108"/>
      <c r="J286" s="108"/>
      <c r="K286" s="108">
        <v>14439</v>
      </c>
      <c r="L286" s="108"/>
      <c r="M286" s="110">
        <v>329</v>
      </c>
      <c r="N286" s="137">
        <f t="shared" si="88"/>
        <v>0.97820759091210174</v>
      </c>
    </row>
    <row r="287" spans="1:14" ht="12.75" customHeight="1" x14ac:dyDescent="0.25">
      <c r="A287" s="273">
        <v>5231</v>
      </c>
      <c r="B287" s="251">
        <v>426000</v>
      </c>
      <c r="C287" s="82" t="s">
        <v>262</v>
      </c>
      <c r="D287" s="256">
        <f>SUM(D288:D296)</f>
        <v>56490</v>
      </c>
      <c r="E287" s="100">
        <f>SUM(E288:E296)</f>
        <v>290444</v>
      </c>
      <c r="F287" s="100">
        <f>SUM(F288:F296)</f>
        <v>346934</v>
      </c>
      <c r="G287" s="100">
        <f t="shared" si="64"/>
        <v>297984</v>
      </c>
      <c r="H287" s="100">
        <f t="shared" ref="H287:M287" si="89">SUM(H288:H296)</f>
        <v>1078</v>
      </c>
      <c r="I287" s="100">
        <f t="shared" si="89"/>
        <v>0</v>
      </c>
      <c r="J287" s="100">
        <f t="shared" si="89"/>
        <v>0</v>
      </c>
      <c r="K287" s="100">
        <f t="shared" si="89"/>
        <v>295106</v>
      </c>
      <c r="L287" s="100">
        <f t="shared" si="89"/>
        <v>0</v>
      </c>
      <c r="M287" s="101">
        <f t="shared" si="89"/>
        <v>1800</v>
      </c>
      <c r="N287" s="137">
        <f t="shared" si="88"/>
        <v>0.85890688142413252</v>
      </c>
    </row>
    <row r="288" spans="1:14" ht="12.75" customHeight="1" x14ac:dyDescent="0.25">
      <c r="A288" s="274">
        <v>5232</v>
      </c>
      <c r="B288" s="83">
        <v>426100</v>
      </c>
      <c r="C288" s="84" t="s">
        <v>263</v>
      </c>
      <c r="D288" s="257">
        <v>1021</v>
      </c>
      <c r="E288" s="108">
        <v>5619</v>
      </c>
      <c r="F288" s="108">
        <f>D288+E288</f>
        <v>6640</v>
      </c>
      <c r="G288" s="109">
        <f t="shared" si="64"/>
        <v>5161</v>
      </c>
      <c r="H288" s="108"/>
      <c r="I288" s="108"/>
      <c r="J288" s="108"/>
      <c r="K288" s="108">
        <v>5161</v>
      </c>
      <c r="L288" s="108"/>
      <c r="M288" s="110"/>
      <c r="N288" s="137">
        <f t="shared" si="88"/>
        <v>0.77725903614457836</v>
      </c>
    </row>
    <row r="289" spans="1:14" ht="12.75" hidden="1" customHeight="1" x14ac:dyDescent="0.25">
      <c r="A289" s="274">
        <v>5233</v>
      </c>
      <c r="B289" s="83">
        <v>426200</v>
      </c>
      <c r="C289" s="84" t="s">
        <v>264</v>
      </c>
      <c r="D289" s="257"/>
      <c r="E289" s="108"/>
      <c r="F289" s="108">
        <f t="shared" ref="F289:F296" si="90">D289+E289</f>
        <v>0</v>
      </c>
      <c r="G289" s="109">
        <f t="shared" si="64"/>
        <v>0</v>
      </c>
      <c r="H289" s="108"/>
      <c r="I289" s="108"/>
      <c r="J289" s="108"/>
      <c r="K289" s="108"/>
      <c r="L289" s="108"/>
      <c r="M289" s="110"/>
      <c r="N289" s="137" t="e">
        <f t="shared" si="88"/>
        <v>#DIV/0!</v>
      </c>
    </row>
    <row r="290" spans="1:14" ht="12.75" customHeight="1" x14ac:dyDescent="0.25">
      <c r="A290" s="274">
        <v>5234</v>
      </c>
      <c r="B290" s="83">
        <v>426300</v>
      </c>
      <c r="C290" s="84" t="s">
        <v>265</v>
      </c>
      <c r="D290" s="257"/>
      <c r="E290" s="108">
        <v>200</v>
      </c>
      <c r="F290" s="108">
        <f t="shared" si="90"/>
        <v>200</v>
      </c>
      <c r="G290" s="109">
        <f t="shared" si="64"/>
        <v>134</v>
      </c>
      <c r="H290" s="108"/>
      <c r="I290" s="108"/>
      <c r="J290" s="108"/>
      <c r="K290" s="108"/>
      <c r="L290" s="108"/>
      <c r="M290" s="110">
        <v>134</v>
      </c>
      <c r="N290" s="137">
        <f t="shared" si="88"/>
        <v>0.67</v>
      </c>
    </row>
    <row r="291" spans="1:14" ht="12.75" customHeight="1" x14ac:dyDescent="0.25">
      <c r="A291" s="274">
        <v>5235</v>
      </c>
      <c r="B291" s="83">
        <v>426400</v>
      </c>
      <c r="C291" s="84" t="s">
        <v>266</v>
      </c>
      <c r="D291" s="257">
        <v>56</v>
      </c>
      <c r="E291" s="108">
        <v>1950</v>
      </c>
      <c r="F291" s="108">
        <f t="shared" si="90"/>
        <v>2006</v>
      </c>
      <c r="G291" s="109">
        <f t="shared" si="64"/>
        <v>2006</v>
      </c>
      <c r="H291" s="111"/>
      <c r="I291" s="111"/>
      <c r="J291" s="111"/>
      <c r="K291" s="111">
        <v>2002</v>
      </c>
      <c r="L291" s="111"/>
      <c r="M291" s="112">
        <v>4</v>
      </c>
      <c r="N291" s="137">
        <f t="shared" si="88"/>
        <v>1</v>
      </c>
    </row>
    <row r="292" spans="1:14" ht="12.75" hidden="1" customHeight="1" x14ac:dyDescent="0.25">
      <c r="A292" s="274">
        <v>5236</v>
      </c>
      <c r="B292" s="83">
        <v>426500</v>
      </c>
      <c r="C292" s="84" t="s">
        <v>267</v>
      </c>
      <c r="D292" s="257"/>
      <c r="E292" s="108"/>
      <c r="F292" s="108">
        <f t="shared" si="90"/>
        <v>0</v>
      </c>
      <c r="G292" s="109">
        <f t="shared" ref="G292:G367" si="91">SUM(H292:M292)</f>
        <v>0</v>
      </c>
      <c r="H292" s="108"/>
      <c r="I292" s="108"/>
      <c r="J292" s="108"/>
      <c r="K292" s="108"/>
      <c r="L292" s="108"/>
      <c r="M292" s="110"/>
      <c r="N292" s="137" t="e">
        <f t="shared" si="88"/>
        <v>#DIV/0!</v>
      </c>
    </row>
    <row r="293" spans="1:14" ht="12.75" hidden="1" customHeight="1" x14ac:dyDescent="0.25">
      <c r="A293" s="274">
        <v>5237</v>
      </c>
      <c r="B293" s="83">
        <v>426600</v>
      </c>
      <c r="C293" s="84" t="s">
        <v>268</v>
      </c>
      <c r="D293" s="257"/>
      <c r="E293" s="108"/>
      <c r="F293" s="108">
        <f t="shared" si="90"/>
        <v>0</v>
      </c>
      <c r="G293" s="109">
        <f t="shared" si="91"/>
        <v>0</v>
      </c>
      <c r="H293" s="108"/>
      <c r="I293" s="108"/>
      <c r="J293" s="108"/>
      <c r="K293" s="108"/>
      <c r="L293" s="108"/>
      <c r="M293" s="110"/>
      <c r="N293" s="137" t="e">
        <f t="shared" si="88"/>
        <v>#DIV/0!</v>
      </c>
    </row>
    <row r="294" spans="1:14" ht="12.75" customHeight="1" x14ac:dyDescent="0.25">
      <c r="A294" s="274">
        <v>5238</v>
      </c>
      <c r="B294" s="83">
        <v>426700</v>
      </c>
      <c r="C294" s="84" t="s">
        <v>269</v>
      </c>
      <c r="D294" s="257">
        <f>14959+10913+2957+5893+7122+47-280+311-1227-362-400+12801</f>
        <v>52734</v>
      </c>
      <c r="E294" s="108">
        <f>250607+2586</f>
        <v>253193</v>
      </c>
      <c r="F294" s="108">
        <f t="shared" si="90"/>
        <v>305927</v>
      </c>
      <c r="G294" s="109">
        <f t="shared" si="91"/>
        <v>264879</v>
      </c>
      <c r="H294" s="108"/>
      <c r="I294" s="108"/>
      <c r="J294" s="108"/>
      <c r="K294" s="108">
        <v>263533</v>
      </c>
      <c r="L294" s="108"/>
      <c r="M294" s="110">
        <v>1346</v>
      </c>
      <c r="N294" s="137">
        <f t="shared" si="88"/>
        <v>0.8658241998908236</v>
      </c>
    </row>
    <row r="295" spans="1:14" ht="12.75" customHeight="1" x14ac:dyDescent="0.25">
      <c r="A295" s="274">
        <v>5239</v>
      </c>
      <c r="B295" s="83">
        <v>426800</v>
      </c>
      <c r="C295" s="84" t="s">
        <v>515</v>
      </c>
      <c r="D295" s="257">
        <f>708+1136</f>
        <v>1844</v>
      </c>
      <c r="E295" s="108">
        <f>13287+2813</f>
        <v>16100</v>
      </c>
      <c r="F295" s="108">
        <f t="shared" si="90"/>
        <v>17944</v>
      </c>
      <c r="G295" s="109">
        <f t="shared" si="91"/>
        <v>17485</v>
      </c>
      <c r="H295" s="108"/>
      <c r="I295" s="108"/>
      <c r="J295" s="108"/>
      <c r="K295" s="108">
        <v>17485</v>
      </c>
      <c r="L295" s="108"/>
      <c r="M295" s="110"/>
      <c r="N295" s="137">
        <f t="shared" si="88"/>
        <v>0.97442041908158716</v>
      </c>
    </row>
    <row r="296" spans="1:14" ht="12.75" customHeight="1" x14ac:dyDescent="0.25">
      <c r="A296" s="274">
        <v>5240</v>
      </c>
      <c r="B296" s="83">
        <v>426900</v>
      </c>
      <c r="C296" s="84" t="s">
        <v>270</v>
      </c>
      <c r="D296" s="257">
        <v>835</v>
      </c>
      <c r="E296" s="108">
        <v>13382</v>
      </c>
      <c r="F296" s="108">
        <f t="shared" si="90"/>
        <v>14217</v>
      </c>
      <c r="G296" s="109">
        <f t="shared" si="91"/>
        <v>8319</v>
      </c>
      <c r="H296" s="108">
        <v>1078</v>
      </c>
      <c r="I296" s="108"/>
      <c r="J296" s="108"/>
      <c r="K296" s="108">
        <v>6925</v>
      </c>
      <c r="L296" s="108"/>
      <c r="M296" s="110">
        <v>316</v>
      </c>
      <c r="N296" s="137">
        <f t="shared" si="88"/>
        <v>0.58514454526271364</v>
      </c>
    </row>
    <row r="297" spans="1:14" ht="12.75" hidden="1" customHeight="1" x14ac:dyDescent="0.25">
      <c r="A297" s="273">
        <v>5241</v>
      </c>
      <c r="B297" s="251">
        <v>430000</v>
      </c>
      <c r="C297" s="82" t="s">
        <v>271</v>
      </c>
      <c r="D297" s="256"/>
      <c r="E297" s="100">
        <f>E298+E306+E308+E310+E314</f>
        <v>0</v>
      </c>
      <c r="F297" s="100">
        <f>F298+F306+F308+F310+F314</f>
        <v>0</v>
      </c>
      <c r="G297" s="100">
        <f t="shared" si="91"/>
        <v>0</v>
      </c>
      <c r="H297" s="100">
        <f t="shared" ref="H297:M297" si="92">H298+H306+H308+H310+H314</f>
        <v>0</v>
      </c>
      <c r="I297" s="100">
        <f t="shared" si="92"/>
        <v>0</v>
      </c>
      <c r="J297" s="100">
        <f t="shared" si="92"/>
        <v>0</v>
      </c>
      <c r="K297" s="100">
        <f t="shared" si="92"/>
        <v>0</v>
      </c>
      <c r="L297" s="100">
        <f t="shared" si="92"/>
        <v>0</v>
      </c>
      <c r="M297" s="101">
        <f t="shared" si="92"/>
        <v>0</v>
      </c>
      <c r="N297" s="137" t="e">
        <f t="shared" si="88"/>
        <v>#DIV/0!</v>
      </c>
    </row>
    <row r="298" spans="1:14" ht="12.75" hidden="1" customHeight="1" x14ac:dyDescent="0.25">
      <c r="A298" s="273">
        <v>5242</v>
      </c>
      <c r="B298" s="251">
        <v>431000</v>
      </c>
      <c r="C298" s="82" t="s">
        <v>272</v>
      </c>
      <c r="D298" s="256"/>
      <c r="E298" s="100">
        <f>SUM(E299:E301)</f>
        <v>0</v>
      </c>
      <c r="F298" s="100">
        <f>SUM(F299:F301)</f>
        <v>0</v>
      </c>
      <c r="G298" s="100">
        <f t="shared" si="91"/>
        <v>0</v>
      </c>
      <c r="H298" s="100">
        <f t="shared" ref="H298:M298" si="93">SUM(H299:H301)</f>
        <v>0</v>
      </c>
      <c r="I298" s="100">
        <f t="shared" si="93"/>
        <v>0</v>
      </c>
      <c r="J298" s="100">
        <f t="shared" si="93"/>
        <v>0</v>
      </c>
      <c r="K298" s="100">
        <f t="shared" si="93"/>
        <v>0</v>
      </c>
      <c r="L298" s="100">
        <f t="shared" si="93"/>
        <v>0</v>
      </c>
      <c r="M298" s="101">
        <f t="shared" si="93"/>
        <v>0</v>
      </c>
      <c r="N298" s="137" t="e">
        <f t="shared" si="88"/>
        <v>#DIV/0!</v>
      </c>
    </row>
    <row r="299" spans="1:14" ht="12.75" hidden="1" customHeight="1" x14ac:dyDescent="0.25">
      <c r="A299" s="274">
        <v>5243</v>
      </c>
      <c r="B299" s="83">
        <v>431100</v>
      </c>
      <c r="C299" s="84" t="s">
        <v>273</v>
      </c>
      <c r="D299" s="257"/>
      <c r="E299" s="108"/>
      <c r="F299" s="108"/>
      <c r="G299" s="109">
        <f t="shared" si="91"/>
        <v>0</v>
      </c>
      <c r="H299" s="108"/>
      <c r="I299" s="108"/>
      <c r="J299" s="108"/>
      <c r="K299" s="108"/>
      <c r="L299" s="108"/>
      <c r="M299" s="110"/>
      <c r="N299" s="137" t="e">
        <f t="shared" si="88"/>
        <v>#DIV/0!</v>
      </c>
    </row>
    <row r="300" spans="1:14" ht="12.75" hidden="1" customHeight="1" x14ac:dyDescent="0.25">
      <c r="A300" s="274">
        <v>5244</v>
      </c>
      <c r="B300" s="83">
        <v>431200</v>
      </c>
      <c r="C300" s="84" t="s">
        <v>274</v>
      </c>
      <c r="D300" s="257"/>
      <c r="E300" s="108"/>
      <c r="F300" s="108"/>
      <c r="G300" s="109">
        <f t="shared" si="91"/>
        <v>0</v>
      </c>
      <c r="H300" s="108"/>
      <c r="I300" s="108"/>
      <c r="J300" s="108"/>
      <c r="K300" s="108"/>
      <c r="L300" s="108"/>
      <c r="M300" s="110"/>
      <c r="N300" s="137" t="e">
        <f t="shared" si="88"/>
        <v>#DIV/0!</v>
      </c>
    </row>
    <row r="301" spans="1:14" ht="12.75" hidden="1" customHeight="1" x14ac:dyDescent="0.25">
      <c r="A301" s="274">
        <v>5245</v>
      </c>
      <c r="B301" s="83">
        <v>431300</v>
      </c>
      <c r="C301" s="84" t="s">
        <v>275</v>
      </c>
      <c r="D301" s="257"/>
      <c r="E301" s="108"/>
      <c r="F301" s="108"/>
      <c r="G301" s="109">
        <f t="shared" si="91"/>
        <v>0</v>
      </c>
      <c r="H301" s="108"/>
      <c r="I301" s="108"/>
      <c r="J301" s="108"/>
      <c r="K301" s="108"/>
      <c r="L301" s="108"/>
      <c r="M301" s="110"/>
      <c r="N301" s="137" t="e">
        <f t="shared" si="88"/>
        <v>#DIV/0!</v>
      </c>
    </row>
    <row r="302" spans="1:14" ht="12.75" hidden="1" customHeight="1" x14ac:dyDescent="0.25">
      <c r="A302" s="645" t="s">
        <v>0</v>
      </c>
      <c r="B302" s="646" t="s">
        <v>1</v>
      </c>
      <c r="C302" s="585" t="s">
        <v>2</v>
      </c>
      <c r="D302" s="259"/>
      <c r="E302" s="585" t="s">
        <v>217</v>
      </c>
      <c r="F302" s="254" t="s">
        <v>217</v>
      </c>
      <c r="G302" s="575" t="s">
        <v>198</v>
      </c>
      <c r="H302" s="589"/>
      <c r="I302" s="589"/>
      <c r="J302" s="589"/>
      <c r="K302" s="589"/>
      <c r="L302" s="589"/>
      <c r="M302" s="592"/>
      <c r="N302" s="137" t="e">
        <f t="shared" si="88"/>
        <v>#VALUE!</v>
      </c>
    </row>
    <row r="303" spans="1:14" ht="12.75" hidden="1" customHeight="1" x14ac:dyDescent="0.25">
      <c r="A303" s="645"/>
      <c r="B303" s="646"/>
      <c r="C303" s="585"/>
      <c r="D303" s="259"/>
      <c r="E303" s="585"/>
      <c r="F303" s="254"/>
      <c r="G303" s="575" t="s">
        <v>199</v>
      </c>
      <c r="H303" s="575" t="s">
        <v>200</v>
      </c>
      <c r="I303" s="589"/>
      <c r="J303" s="589"/>
      <c r="K303" s="589"/>
      <c r="L303" s="575" t="s">
        <v>7</v>
      </c>
      <c r="M303" s="582" t="s">
        <v>8</v>
      </c>
      <c r="N303" s="137" t="e">
        <f t="shared" si="88"/>
        <v>#VALUE!</v>
      </c>
    </row>
    <row r="304" spans="1:14" ht="12.75" hidden="1" customHeight="1" x14ac:dyDescent="0.25">
      <c r="A304" s="645"/>
      <c r="B304" s="646"/>
      <c r="C304" s="585"/>
      <c r="D304" s="259"/>
      <c r="E304" s="585"/>
      <c r="F304" s="254"/>
      <c r="G304" s="589"/>
      <c r="H304" s="252" t="s">
        <v>201</v>
      </c>
      <c r="I304" s="252" t="s">
        <v>10</v>
      </c>
      <c r="J304" s="252" t="s">
        <v>11</v>
      </c>
      <c r="K304" s="252" t="s">
        <v>12</v>
      </c>
      <c r="L304" s="589"/>
      <c r="M304" s="592"/>
      <c r="N304" s="137" t="e">
        <f t="shared" si="88"/>
        <v>#DIV/0!</v>
      </c>
    </row>
    <row r="305" spans="1:14" ht="12.75" hidden="1" customHeight="1" x14ac:dyDescent="0.25">
      <c r="A305" s="275" t="s">
        <v>18</v>
      </c>
      <c r="B305" s="95" t="s">
        <v>19</v>
      </c>
      <c r="C305" s="253" t="s">
        <v>20</v>
      </c>
      <c r="D305" s="259"/>
      <c r="E305" s="253" t="s">
        <v>21</v>
      </c>
      <c r="F305" s="253" t="s">
        <v>21</v>
      </c>
      <c r="G305" s="253" t="s">
        <v>22</v>
      </c>
      <c r="H305" s="253" t="s">
        <v>23</v>
      </c>
      <c r="I305" s="253" t="s">
        <v>24</v>
      </c>
      <c r="J305" s="253" t="s">
        <v>25</v>
      </c>
      <c r="K305" s="253" t="s">
        <v>26</v>
      </c>
      <c r="L305" s="253" t="s">
        <v>27</v>
      </c>
      <c r="M305" s="99" t="s">
        <v>28</v>
      </c>
      <c r="N305" s="137">
        <f t="shared" si="88"/>
        <v>1.25</v>
      </c>
    </row>
    <row r="306" spans="1:14" ht="12.75" hidden="1" customHeight="1" x14ac:dyDescent="0.25">
      <c r="A306" s="273">
        <v>5246</v>
      </c>
      <c r="B306" s="251">
        <v>432000</v>
      </c>
      <c r="C306" s="82" t="s">
        <v>276</v>
      </c>
      <c r="D306" s="256"/>
      <c r="E306" s="100">
        <f>E307</f>
        <v>0</v>
      </c>
      <c r="F306" s="100">
        <f>F307</f>
        <v>0</v>
      </c>
      <c r="G306" s="100">
        <f t="shared" si="91"/>
        <v>0</v>
      </c>
      <c r="H306" s="100">
        <f t="shared" ref="H306:M306" si="94">H307</f>
        <v>0</v>
      </c>
      <c r="I306" s="100">
        <f t="shared" si="94"/>
        <v>0</v>
      </c>
      <c r="J306" s="100">
        <f t="shared" si="94"/>
        <v>0</v>
      </c>
      <c r="K306" s="100">
        <f t="shared" si="94"/>
        <v>0</v>
      </c>
      <c r="L306" s="100">
        <f t="shared" si="94"/>
        <v>0</v>
      </c>
      <c r="M306" s="101">
        <f t="shared" si="94"/>
        <v>0</v>
      </c>
      <c r="N306" s="137" t="e">
        <f t="shared" si="88"/>
        <v>#DIV/0!</v>
      </c>
    </row>
    <row r="307" spans="1:14" ht="12.75" hidden="1" customHeight="1" x14ac:dyDescent="0.25">
      <c r="A307" s="274">
        <v>5247</v>
      </c>
      <c r="B307" s="83">
        <v>432100</v>
      </c>
      <c r="C307" s="84" t="s">
        <v>277</v>
      </c>
      <c r="D307" s="257"/>
      <c r="E307" s="108"/>
      <c r="F307" s="108"/>
      <c r="G307" s="109">
        <f t="shared" si="91"/>
        <v>0</v>
      </c>
      <c r="H307" s="108"/>
      <c r="I307" s="108"/>
      <c r="J307" s="108"/>
      <c r="K307" s="108"/>
      <c r="L307" s="108"/>
      <c r="M307" s="110"/>
      <c r="N307" s="137" t="e">
        <f t="shared" si="88"/>
        <v>#DIV/0!</v>
      </c>
    </row>
    <row r="308" spans="1:14" ht="12.75" hidden="1" customHeight="1" x14ac:dyDescent="0.25">
      <c r="A308" s="273">
        <v>5248</v>
      </c>
      <c r="B308" s="251">
        <v>433000</v>
      </c>
      <c r="C308" s="82" t="s">
        <v>278</v>
      </c>
      <c r="D308" s="256"/>
      <c r="E308" s="100">
        <f>E309</f>
        <v>0</v>
      </c>
      <c r="F308" s="100">
        <f>F309</f>
        <v>0</v>
      </c>
      <c r="G308" s="100">
        <f t="shared" si="91"/>
        <v>0</v>
      </c>
      <c r="H308" s="100">
        <f t="shared" ref="H308:M308" si="95">H309</f>
        <v>0</v>
      </c>
      <c r="I308" s="100">
        <f t="shared" si="95"/>
        <v>0</v>
      </c>
      <c r="J308" s="100">
        <f t="shared" si="95"/>
        <v>0</v>
      </c>
      <c r="K308" s="100">
        <f t="shared" si="95"/>
        <v>0</v>
      </c>
      <c r="L308" s="100">
        <f t="shared" si="95"/>
        <v>0</v>
      </c>
      <c r="M308" s="101">
        <f t="shared" si="95"/>
        <v>0</v>
      </c>
      <c r="N308" s="137" t="e">
        <f t="shared" si="88"/>
        <v>#DIV/0!</v>
      </c>
    </row>
    <row r="309" spans="1:14" ht="12.75" hidden="1" customHeight="1" x14ac:dyDescent="0.25">
      <c r="A309" s="274">
        <v>5249</v>
      </c>
      <c r="B309" s="83">
        <v>433100</v>
      </c>
      <c r="C309" s="84" t="s">
        <v>279</v>
      </c>
      <c r="D309" s="257"/>
      <c r="E309" s="108"/>
      <c r="F309" s="108"/>
      <c r="G309" s="109">
        <f t="shared" si="91"/>
        <v>0</v>
      </c>
      <c r="H309" s="108"/>
      <c r="I309" s="108"/>
      <c r="J309" s="108"/>
      <c r="K309" s="108"/>
      <c r="L309" s="108"/>
      <c r="M309" s="110"/>
      <c r="N309" s="137" t="e">
        <f t="shared" si="88"/>
        <v>#DIV/0!</v>
      </c>
    </row>
    <row r="310" spans="1:14" ht="12.75" hidden="1" customHeight="1" x14ac:dyDescent="0.25">
      <c r="A310" s="273">
        <v>5250</v>
      </c>
      <c r="B310" s="251">
        <v>434000</v>
      </c>
      <c r="C310" s="82" t="s">
        <v>280</v>
      </c>
      <c r="D310" s="256"/>
      <c r="E310" s="100">
        <f>SUM(E311:E313)</f>
        <v>0</v>
      </c>
      <c r="F310" s="100">
        <f>SUM(F311:F313)</f>
        <v>0</v>
      </c>
      <c r="G310" s="100">
        <f t="shared" si="91"/>
        <v>0</v>
      </c>
      <c r="H310" s="100">
        <f t="shared" ref="H310:M310" si="96">SUM(H311:H313)</f>
        <v>0</v>
      </c>
      <c r="I310" s="100">
        <f t="shared" si="96"/>
        <v>0</v>
      </c>
      <c r="J310" s="100">
        <f t="shared" si="96"/>
        <v>0</v>
      </c>
      <c r="K310" s="100">
        <f t="shared" si="96"/>
        <v>0</v>
      </c>
      <c r="L310" s="100">
        <f t="shared" si="96"/>
        <v>0</v>
      </c>
      <c r="M310" s="101">
        <f t="shared" si="96"/>
        <v>0</v>
      </c>
      <c r="N310" s="137" t="e">
        <f t="shared" si="88"/>
        <v>#DIV/0!</v>
      </c>
    </row>
    <row r="311" spans="1:14" ht="12.75" hidden="1" customHeight="1" x14ac:dyDescent="0.25">
      <c r="A311" s="274">
        <v>5251</v>
      </c>
      <c r="B311" s="83">
        <v>434100</v>
      </c>
      <c r="C311" s="84" t="s">
        <v>281</v>
      </c>
      <c r="D311" s="257"/>
      <c r="E311" s="108"/>
      <c r="F311" s="108"/>
      <c r="G311" s="109">
        <f t="shared" si="91"/>
        <v>0</v>
      </c>
      <c r="H311" s="108"/>
      <c r="I311" s="108"/>
      <c r="J311" s="108"/>
      <c r="K311" s="108"/>
      <c r="L311" s="108"/>
      <c r="M311" s="110"/>
      <c r="N311" s="137" t="e">
        <f t="shared" si="88"/>
        <v>#DIV/0!</v>
      </c>
    </row>
    <row r="312" spans="1:14" ht="12.75" hidden="1" customHeight="1" x14ac:dyDescent="0.25">
      <c r="A312" s="274">
        <v>5252</v>
      </c>
      <c r="B312" s="83">
        <v>434200</v>
      </c>
      <c r="C312" s="84" t="s">
        <v>282</v>
      </c>
      <c r="D312" s="257"/>
      <c r="E312" s="108"/>
      <c r="F312" s="108"/>
      <c r="G312" s="109">
        <f t="shared" si="91"/>
        <v>0</v>
      </c>
      <c r="H312" s="108"/>
      <c r="I312" s="108"/>
      <c r="J312" s="108"/>
      <c r="K312" s="108"/>
      <c r="L312" s="108"/>
      <c r="M312" s="110"/>
      <c r="N312" s="137" t="e">
        <f t="shared" si="88"/>
        <v>#DIV/0!</v>
      </c>
    </row>
    <row r="313" spans="1:14" ht="12.75" hidden="1" customHeight="1" x14ac:dyDescent="0.25">
      <c r="A313" s="274">
        <v>5253</v>
      </c>
      <c r="B313" s="83">
        <v>434300</v>
      </c>
      <c r="C313" s="84" t="s">
        <v>283</v>
      </c>
      <c r="D313" s="257"/>
      <c r="E313" s="108"/>
      <c r="F313" s="108"/>
      <c r="G313" s="109">
        <f t="shared" si="91"/>
        <v>0</v>
      </c>
      <c r="H313" s="108"/>
      <c r="I313" s="108"/>
      <c r="J313" s="108"/>
      <c r="K313" s="108"/>
      <c r="L313" s="108"/>
      <c r="M313" s="110"/>
      <c r="N313" s="137" t="e">
        <f t="shared" si="88"/>
        <v>#DIV/0!</v>
      </c>
    </row>
    <row r="314" spans="1:14" ht="12.75" hidden="1" customHeight="1" x14ac:dyDescent="0.25">
      <c r="A314" s="273">
        <v>5254</v>
      </c>
      <c r="B314" s="251">
        <v>435000</v>
      </c>
      <c r="C314" s="82" t="s">
        <v>284</v>
      </c>
      <c r="D314" s="256"/>
      <c r="E314" s="100">
        <f>E315</f>
        <v>0</v>
      </c>
      <c r="F314" s="100">
        <f>F315</f>
        <v>0</v>
      </c>
      <c r="G314" s="100">
        <f t="shared" si="91"/>
        <v>0</v>
      </c>
      <c r="H314" s="100">
        <f t="shared" ref="H314:M314" si="97">H315</f>
        <v>0</v>
      </c>
      <c r="I314" s="100">
        <f t="shared" si="97"/>
        <v>0</v>
      </c>
      <c r="J314" s="100">
        <f t="shared" si="97"/>
        <v>0</v>
      </c>
      <c r="K314" s="100">
        <f t="shared" si="97"/>
        <v>0</v>
      </c>
      <c r="L314" s="100">
        <f t="shared" si="97"/>
        <v>0</v>
      </c>
      <c r="M314" s="101">
        <f t="shared" si="97"/>
        <v>0</v>
      </c>
      <c r="N314" s="137" t="e">
        <f t="shared" si="88"/>
        <v>#DIV/0!</v>
      </c>
    </row>
    <row r="315" spans="1:14" ht="12.75" hidden="1" customHeight="1" x14ac:dyDescent="0.25">
      <c r="A315" s="274">
        <v>5255</v>
      </c>
      <c r="B315" s="83">
        <v>435100</v>
      </c>
      <c r="C315" s="84" t="s">
        <v>285</v>
      </c>
      <c r="D315" s="257"/>
      <c r="E315" s="108"/>
      <c r="F315" s="108"/>
      <c r="G315" s="109">
        <f t="shared" si="91"/>
        <v>0</v>
      </c>
      <c r="H315" s="108"/>
      <c r="I315" s="108"/>
      <c r="J315" s="108"/>
      <c r="K315" s="108"/>
      <c r="L315" s="108"/>
      <c r="M315" s="110"/>
      <c r="N315" s="137" t="e">
        <f t="shared" si="88"/>
        <v>#DIV/0!</v>
      </c>
    </row>
    <row r="316" spans="1:14" ht="12.75" customHeight="1" x14ac:dyDescent="0.25">
      <c r="A316" s="273">
        <v>5256</v>
      </c>
      <c r="B316" s="251">
        <v>440000</v>
      </c>
      <c r="C316" s="82" t="s">
        <v>286</v>
      </c>
      <c r="D316" s="256">
        <f>D317+D327+D338+D340</f>
        <v>0</v>
      </c>
      <c r="E316" s="100">
        <f>E317+E327+E338+E340</f>
        <v>1631</v>
      </c>
      <c r="F316" s="100">
        <f>F317+F327+F338+F340</f>
        <v>1631</v>
      </c>
      <c r="G316" s="100">
        <f t="shared" si="91"/>
        <v>1585</v>
      </c>
      <c r="H316" s="100">
        <f t="shared" ref="H316:M316" si="98">H317+H327+H338+H340</f>
        <v>0</v>
      </c>
      <c r="I316" s="100">
        <f t="shared" si="98"/>
        <v>0</v>
      </c>
      <c r="J316" s="100">
        <f t="shared" si="98"/>
        <v>0</v>
      </c>
      <c r="K316" s="100">
        <f t="shared" si="98"/>
        <v>0</v>
      </c>
      <c r="L316" s="100">
        <f t="shared" si="98"/>
        <v>0</v>
      </c>
      <c r="M316" s="101">
        <f t="shared" si="98"/>
        <v>1585</v>
      </c>
      <c r="N316" s="137">
        <f t="shared" si="88"/>
        <v>0.97179644389944819</v>
      </c>
    </row>
    <row r="317" spans="1:14" ht="12.75" customHeight="1" x14ac:dyDescent="0.25">
      <c r="A317" s="273">
        <v>5257</v>
      </c>
      <c r="B317" s="251">
        <v>441000</v>
      </c>
      <c r="C317" s="82" t="s">
        <v>287</v>
      </c>
      <c r="D317" s="256">
        <f>SUM(D318:D326)</f>
        <v>0</v>
      </c>
      <c r="E317" s="100">
        <f>SUM(E318:E326)</f>
        <v>1631</v>
      </c>
      <c r="F317" s="100">
        <f>SUM(F318:F326)</f>
        <v>1631</v>
      </c>
      <c r="G317" s="100">
        <f t="shared" si="91"/>
        <v>1585</v>
      </c>
      <c r="H317" s="100">
        <f t="shared" ref="H317:M317" si="99">SUM(H318:H326)</f>
        <v>0</v>
      </c>
      <c r="I317" s="100">
        <f t="shared" si="99"/>
        <v>0</v>
      </c>
      <c r="J317" s="100">
        <f t="shared" si="99"/>
        <v>0</v>
      </c>
      <c r="K317" s="100">
        <f t="shared" si="99"/>
        <v>0</v>
      </c>
      <c r="L317" s="100">
        <f t="shared" si="99"/>
        <v>0</v>
      </c>
      <c r="M317" s="101">
        <f t="shared" si="99"/>
        <v>1585</v>
      </c>
      <c r="N317" s="137">
        <f t="shared" si="88"/>
        <v>0.97179644389944819</v>
      </c>
    </row>
    <row r="318" spans="1:14" ht="12.75" hidden="1" customHeight="1" x14ac:dyDescent="0.25">
      <c r="A318" s="274">
        <v>5258</v>
      </c>
      <c r="B318" s="83">
        <v>441100</v>
      </c>
      <c r="C318" s="84" t="s">
        <v>288</v>
      </c>
      <c r="D318" s="257"/>
      <c r="E318" s="108"/>
      <c r="F318" s="108"/>
      <c r="G318" s="109">
        <f t="shared" si="91"/>
        <v>0</v>
      </c>
      <c r="H318" s="108"/>
      <c r="I318" s="108"/>
      <c r="J318" s="108"/>
      <c r="K318" s="108"/>
      <c r="L318" s="108"/>
      <c r="M318" s="110"/>
      <c r="N318" s="137" t="e">
        <f t="shared" si="88"/>
        <v>#DIV/0!</v>
      </c>
    </row>
    <row r="319" spans="1:14" ht="12.75" hidden="1" customHeight="1" x14ac:dyDescent="0.25">
      <c r="A319" s="274">
        <v>5259</v>
      </c>
      <c r="B319" s="83">
        <v>441200</v>
      </c>
      <c r="C319" s="84" t="s">
        <v>289</v>
      </c>
      <c r="D319" s="257"/>
      <c r="E319" s="108"/>
      <c r="F319" s="108"/>
      <c r="G319" s="109">
        <f t="shared" si="91"/>
        <v>0</v>
      </c>
      <c r="H319" s="108"/>
      <c r="I319" s="108"/>
      <c r="J319" s="108"/>
      <c r="K319" s="108"/>
      <c r="L319" s="108"/>
      <c r="M319" s="110"/>
      <c r="N319" s="137" t="e">
        <f t="shared" si="88"/>
        <v>#DIV/0!</v>
      </c>
    </row>
    <row r="320" spans="1:14" ht="12.75" hidden="1" customHeight="1" x14ac:dyDescent="0.25">
      <c r="A320" s="274">
        <v>5260</v>
      </c>
      <c r="B320" s="83">
        <v>441300</v>
      </c>
      <c r="C320" s="84" t="s">
        <v>290</v>
      </c>
      <c r="D320" s="257"/>
      <c r="E320" s="108"/>
      <c r="F320" s="108"/>
      <c r="G320" s="109">
        <f t="shared" si="91"/>
        <v>0</v>
      </c>
      <c r="H320" s="108"/>
      <c r="I320" s="108"/>
      <c r="J320" s="108"/>
      <c r="K320" s="108"/>
      <c r="L320" s="108"/>
      <c r="M320" s="110"/>
      <c r="N320" s="137" t="e">
        <f t="shared" si="88"/>
        <v>#DIV/0!</v>
      </c>
    </row>
    <row r="321" spans="1:14" ht="12.75" hidden="1" customHeight="1" x14ac:dyDescent="0.25">
      <c r="A321" s="274">
        <v>5261</v>
      </c>
      <c r="B321" s="83">
        <v>441400</v>
      </c>
      <c r="C321" s="84" t="s">
        <v>291</v>
      </c>
      <c r="D321" s="257"/>
      <c r="E321" s="108"/>
      <c r="F321" s="108"/>
      <c r="G321" s="109">
        <f t="shared" si="91"/>
        <v>0</v>
      </c>
      <c r="H321" s="108"/>
      <c r="I321" s="108"/>
      <c r="J321" s="108"/>
      <c r="K321" s="108"/>
      <c r="L321" s="108"/>
      <c r="M321" s="110"/>
      <c r="N321" s="137" t="e">
        <f t="shared" si="88"/>
        <v>#DIV/0!</v>
      </c>
    </row>
    <row r="322" spans="1:14" ht="12.75" customHeight="1" x14ac:dyDescent="0.25">
      <c r="A322" s="274">
        <v>5262</v>
      </c>
      <c r="B322" s="83">
        <v>441500</v>
      </c>
      <c r="C322" s="84" t="s">
        <v>292</v>
      </c>
      <c r="D322" s="257"/>
      <c r="E322" s="231">
        <v>1631</v>
      </c>
      <c r="F322" s="231">
        <f>D322+E322</f>
        <v>1631</v>
      </c>
      <c r="G322" s="109">
        <f t="shared" si="91"/>
        <v>1585</v>
      </c>
      <c r="H322" s="108"/>
      <c r="I322" s="108"/>
      <c r="J322" s="108"/>
      <c r="K322" s="108"/>
      <c r="L322" s="108"/>
      <c r="M322" s="110">
        <v>1585</v>
      </c>
      <c r="N322" s="137">
        <f t="shared" si="88"/>
        <v>0.97179644389944819</v>
      </c>
    </row>
    <row r="323" spans="1:14" ht="12.75" hidden="1" customHeight="1" x14ac:dyDescent="0.25">
      <c r="A323" s="274">
        <v>5263</v>
      </c>
      <c r="B323" s="83">
        <v>441600</v>
      </c>
      <c r="C323" s="84" t="s">
        <v>293</v>
      </c>
      <c r="D323" s="257"/>
      <c r="E323" s="108"/>
      <c r="F323" s="108"/>
      <c r="G323" s="109">
        <f t="shared" si="91"/>
        <v>0</v>
      </c>
      <c r="H323" s="108"/>
      <c r="I323" s="108"/>
      <c r="J323" s="108"/>
      <c r="K323" s="108"/>
      <c r="L323" s="108"/>
      <c r="M323" s="110"/>
      <c r="N323" s="137" t="e">
        <f t="shared" si="88"/>
        <v>#DIV/0!</v>
      </c>
    </row>
    <row r="324" spans="1:14" ht="12.75" hidden="1" customHeight="1" x14ac:dyDescent="0.25">
      <c r="A324" s="274">
        <v>5264</v>
      </c>
      <c r="B324" s="83">
        <v>441700</v>
      </c>
      <c r="C324" s="84" t="s">
        <v>294</v>
      </c>
      <c r="D324" s="257"/>
      <c r="E324" s="108"/>
      <c r="F324" s="108"/>
      <c r="G324" s="109">
        <f t="shared" si="91"/>
        <v>0</v>
      </c>
      <c r="H324" s="108"/>
      <c r="I324" s="108"/>
      <c r="J324" s="108"/>
      <c r="K324" s="108"/>
      <c r="L324" s="108"/>
      <c r="M324" s="110"/>
      <c r="N324" s="137" t="e">
        <f t="shared" si="88"/>
        <v>#DIV/0!</v>
      </c>
    </row>
    <row r="325" spans="1:14" ht="12.75" hidden="1" customHeight="1" x14ac:dyDescent="0.25">
      <c r="A325" s="274">
        <v>5265</v>
      </c>
      <c r="B325" s="83">
        <v>441800</v>
      </c>
      <c r="C325" s="84" t="s">
        <v>295</v>
      </c>
      <c r="D325" s="257"/>
      <c r="E325" s="108"/>
      <c r="F325" s="108"/>
      <c r="G325" s="109">
        <f t="shared" si="91"/>
        <v>0</v>
      </c>
      <c r="H325" s="108"/>
      <c r="I325" s="108"/>
      <c r="J325" s="108"/>
      <c r="K325" s="108"/>
      <c r="L325" s="108"/>
      <c r="M325" s="110"/>
      <c r="N325" s="137" t="e">
        <f t="shared" si="88"/>
        <v>#DIV/0!</v>
      </c>
    </row>
    <row r="326" spans="1:14" ht="12.75" hidden="1" customHeight="1" x14ac:dyDescent="0.25">
      <c r="A326" s="274">
        <v>5266</v>
      </c>
      <c r="B326" s="83">
        <v>441900</v>
      </c>
      <c r="C326" s="84" t="s">
        <v>99</v>
      </c>
      <c r="D326" s="257"/>
      <c r="E326" s="108"/>
      <c r="F326" s="108"/>
      <c r="G326" s="109">
        <f t="shared" si="91"/>
        <v>0</v>
      </c>
      <c r="H326" s="108"/>
      <c r="I326" s="108"/>
      <c r="J326" s="108"/>
      <c r="K326" s="108"/>
      <c r="L326" s="108"/>
      <c r="M326" s="110"/>
      <c r="N326" s="137" t="e">
        <f t="shared" si="88"/>
        <v>#DIV/0!</v>
      </c>
    </row>
    <row r="327" spans="1:14" ht="12.75" hidden="1" customHeight="1" x14ac:dyDescent="0.25">
      <c r="A327" s="273">
        <v>5267</v>
      </c>
      <c r="B327" s="251">
        <v>442000</v>
      </c>
      <c r="C327" s="82" t="s">
        <v>296</v>
      </c>
      <c r="D327" s="256">
        <f>SUM(D328:D337)</f>
        <v>0</v>
      </c>
      <c r="E327" s="100">
        <f>SUM(E328:E337)</f>
        <v>0</v>
      </c>
      <c r="F327" s="100">
        <f>SUM(F328:F337)</f>
        <v>0</v>
      </c>
      <c r="G327" s="100">
        <f t="shared" si="91"/>
        <v>0</v>
      </c>
      <c r="H327" s="100">
        <f t="shared" ref="H327:M327" si="100">SUM(H328:H337)</f>
        <v>0</v>
      </c>
      <c r="I327" s="100">
        <f t="shared" si="100"/>
        <v>0</v>
      </c>
      <c r="J327" s="100">
        <f t="shared" si="100"/>
        <v>0</v>
      </c>
      <c r="K327" s="100">
        <f t="shared" si="100"/>
        <v>0</v>
      </c>
      <c r="L327" s="100">
        <f t="shared" si="100"/>
        <v>0</v>
      </c>
      <c r="M327" s="101">
        <f t="shared" si="100"/>
        <v>0</v>
      </c>
      <c r="N327" s="137" t="e">
        <f t="shared" si="88"/>
        <v>#DIV/0!</v>
      </c>
    </row>
    <row r="328" spans="1:14" ht="12.75" hidden="1" customHeight="1" x14ac:dyDescent="0.25">
      <c r="A328" s="274">
        <v>5268</v>
      </c>
      <c r="B328" s="83">
        <v>442100</v>
      </c>
      <c r="C328" s="84" t="s">
        <v>297</v>
      </c>
      <c r="D328" s="257"/>
      <c r="E328" s="108"/>
      <c r="F328" s="108"/>
      <c r="G328" s="109">
        <f t="shared" si="91"/>
        <v>0</v>
      </c>
      <c r="H328" s="108"/>
      <c r="I328" s="108"/>
      <c r="J328" s="108"/>
      <c r="K328" s="108"/>
      <c r="L328" s="108"/>
      <c r="M328" s="110"/>
      <c r="N328" s="137" t="e">
        <f t="shared" si="88"/>
        <v>#DIV/0!</v>
      </c>
    </row>
    <row r="329" spans="1:14" ht="12.75" hidden="1" customHeight="1" x14ac:dyDescent="0.25">
      <c r="A329" s="274">
        <v>5269</v>
      </c>
      <c r="B329" s="83">
        <v>442200</v>
      </c>
      <c r="C329" s="84" t="s">
        <v>298</v>
      </c>
      <c r="D329" s="257"/>
      <c r="E329" s="108"/>
      <c r="F329" s="108"/>
      <c r="G329" s="109">
        <f t="shared" si="91"/>
        <v>0</v>
      </c>
      <c r="H329" s="108"/>
      <c r="I329" s="108"/>
      <c r="J329" s="108"/>
      <c r="K329" s="108"/>
      <c r="L329" s="108"/>
      <c r="M329" s="110"/>
      <c r="N329" s="137" t="e">
        <f t="shared" si="88"/>
        <v>#DIV/0!</v>
      </c>
    </row>
    <row r="330" spans="1:14" ht="12.75" hidden="1" customHeight="1" x14ac:dyDescent="0.25">
      <c r="A330" s="274">
        <v>5270</v>
      </c>
      <c r="B330" s="83">
        <v>442300</v>
      </c>
      <c r="C330" s="84" t="s">
        <v>299</v>
      </c>
      <c r="D330" s="257"/>
      <c r="E330" s="108"/>
      <c r="F330" s="108"/>
      <c r="G330" s="109">
        <f t="shared" si="91"/>
        <v>0</v>
      </c>
      <c r="H330" s="108"/>
      <c r="I330" s="108"/>
      <c r="J330" s="108"/>
      <c r="K330" s="108"/>
      <c r="L330" s="108"/>
      <c r="M330" s="110"/>
      <c r="N330" s="137" t="e">
        <f t="shared" si="88"/>
        <v>#DIV/0!</v>
      </c>
    </row>
    <row r="331" spans="1:14" ht="12.75" hidden="1" customHeight="1" x14ac:dyDescent="0.25">
      <c r="A331" s="274">
        <v>5271</v>
      </c>
      <c r="B331" s="83">
        <v>442400</v>
      </c>
      <c r="C331" s="84" t="s">
        <v>300</v>
      </c>
      <c r="D331" s="257"/>
      <c r="E331" s="108"/>
      <c r="F331" s="108"/>
      <c r="G331" s="109">
        <f t="shared" si="91"/>
        <v>0</v>
      </c>
      <c r="H331" s="108"/>
      <c r="I331" s="108"/>
      <c r="J331" s="108"/>
      <c r="K331" s="108"/>
      <c r="L331" s="108"/>
      <c r="M331" s="110"/>
      <c r="N331" s="137" t="e">
        <f t="shared" si="88"/>
        <v>#DIV/0!</v>
      </c>
    </row>
    <row r="332" spans="1:14" ht="12.75" hidden="1" customHeight="1" x14ac:dyDescent="0.25">
      <c r="A332" s="645" t="s">
        <v>0</v>
      </c>
      <c r="B332" s="646" t="s">
        <v>1</v>
      </c>
      <c r="C332" s="585" t="s">
        <v>2</v>
      </c>
      <c r="D332" s="259" t="s">
        <v>217</v>
      </c>
      <c r="E332" s="585" t="s">
        <v>217</v>
      </c>
      <c r="F332" s="254" t="s">
        <v>217</v>
      </c>
      <c r="G332" s="575" t="s">
        <v>198</v>
      </c>
      <c r="H332" s="589"/>
      <c r="I332" s="589"/>
      <c r="J332" s="589"/>
      <c r="K332" s="589"/>
      <c r="L332" s="589"/>
      <c r="M332" s="592"/>
      <c r="N332" s="137" t="e">
        <f t="shared" si="88"/>
        <v>#VALUE!</v>
      </c>
    </row>
    <row r="333" spans="1:14" ht="12.75" hidden="1" customHeight="1" x14ac:dyDescent="0.25">
      <c r="A333" s="645"/>
      <c r="B333" s="646"/>
      <c r="C333" s="585"/>
      <c r="D333" s="259"/>
      <c r="E333" s="585"/>
      <c r="F333" s="254"/>
      <c r="G333" s="575" t="s">
        <v>199</v>
      </c>
      <c r="H333" s="575" t="s">
        <v>200</v>
      </c>
      <c r="I333" s="589"/>
      <c r="J333" s="589"/>
      <c r="K333" s="589"/>
      <c r="L333" s="575" t="s">
        <v>7</v>
      </c>
      <c r="M333" s="582" t="s">
        <v>8</v>
      </c>
      <c r="N333" s="137" t="e">
        <f t="shared" si="88"/>
        <v>#VALUE!</v>
      </c>
    </row>
    <row r="334" spans="1:14" ht="12.75" hidden="1" customHeight="1" x14ac:dyDescent="0.25">
      <c r="A334" s="645"/>
      <c r="B334" s="646"/>
      <c r="C334" s="585"/>
      <c r="D334" s="259"/>
      <c r="E334" s="585"/>
      <c r="F334" s="254"/>
      <c r="G334" s="589"/>
      <c r="H334" s="252" t="s">
        <v>201</v>
      </c>
      <c r="I334" s="252" t="s">
        <v>10</v>
      </c>
      <c r="J334" s="252" t="s">
        <v>11</v>
      </c>
      <c r="K334" s="252" t="s">
        <v>12</v>
      </c>
      <c r="L334" s="589"/>
      <c r="M334" s="592"/>
      <c r="N334" s="137" t="e">
        <f t="shared" si="88"/>
        <v>#DIV/0!</v>
      </c>
    </row>
    <row r="335" spans="1:14" ht="12.75" hidden="1" customHeight="1" x14ac:dyDescent="0.25">
      <c r="A335" s="275" t="s">
        <v>18</v>
      </c>
      <c r="B335" s="95" t="s">
        <v>19</v>
      </c>
      <c r="C335" s="253" t="s">
        <v>20</v>
      </c>
      <c r="D335" s="259" t="s">
        <v>21</v>
      </c>
      <c r="E335" s="253" t="s">
        <v>21</v>
      </c>
      <c r="F335" s="253" t="s">
        <v>21</v>
      </c>
      <c r="G335" s="253" t="s">
        <v>22</v>
      </c>
      <c r="H335" s="253" t="s">
        <v>23</v>
      </c>
      <c r="I335" s="253" t="s">
        <v>24</v>
      </c>
      <c r="J335" s="253" t="s">
        <v>25</v>
      </c>
      <c r="K335" s="253" t="s">
        <v>26</v>
      </c>
      <c r="L335" s="253" t="s">
        <v>27</v>
      </c>
      <c r="M335" s="99" t="s">
        <v>28</v>
      </c>
      <c r="N335" s="137">
        <f t="shared" si="88"/>
        <v>1.25</v>
      </c>
    </row>
    <row r="336" spans="1:14" ht="12.75" hidden="1" customHeight="1" x14ac:dyDescent="0.25">
      <c r="A336" s="274">
        <v>5272</v>
      </c>
      <c r="B336" s="83">
        <v>442500</v>
      </c>
      <c r="C336" s="84" t="s">
        <v>301</v>
      </c>
      <c r="D336" s="257"/>
      <c r="E336" s="108"/>
      <c r="F336" s="108"/>
      <c r="G336" s="109">
        <f t="shared" si="91"/>
        <v>0</v>
      </c>
      <c r="H336" s="108"/>
      <c r="I336" s="108"/>
      <c r="J336" s="108"/>
      <c r="K336" s="108"/>
      <c r="L336" s="108"/>
      <c r="M336" s="110"/>
      <c r="N336" s="137" t="e">
        <f t="shared" si="88"/>
        <v>#DIV/0!</v>
      </c>
    </row>
    <row r="337" spans="1:14" ht="12.75" hidden="1" customHeight="1" x14ac:dyDescent="0.25">
      <c r="A337" s="274">
        <v>5273</v>
      </c>
      <c r="B337" s="83">
        <v>442600</v>
      </c>
      <c r="C337" s="84" t="s">
        <v>302</v>
      </c>
      <c r="D337" s="257"/>
      <c r="E337" s="108"/>
      <c r="F337" s="108"/>
      <c r="G337" s="109">
        <f t="shared" si="91"/>
        <v>0</v>
      </c>
      <c r="H337" s="108"/>
      <c r="I337" s="108"/>
      <c r="J337" s="108"/>
      <c r="K337" s="108"/>
      <c r="L337" s="108"/>
      <c r="M337" s="110"/>
      <c r="N337" s="137" t="e">
        <f t="shared" si="88"/>
        <v>#DIV/0!</v>
      </c>
    </row>
    <row r="338" spans="1:14" ht="12.75" hidden="1" customHeight="1" x14ac:dyDescent="0.25">
      <c r="A338" s="273">
        <v>5274</v>
      </c>
      <c r="B338" s="251">
        <v>443000</v>
      </c>
      <c r="C338" s="82" t="s">
        <v>303</v>
      </c>
      <c r="D338" s="256">
        <f>D339</f>
        <v>0</v>
      </c>
      <c r="E338" s="100">
        <f>E339</f>
        <v>0</v>
      </c>
      <c r="F338" s="100">
        <f>F339</f>
        <v>0</v>
      </c>
      <c r="G338" s="100">
        <f t="shared" si="91"/>
        <v>0</v>
      </c>
      <c r="H338" s="100">
        <f t="shared" ref="H338:M338" si="101">H339</f>
        <v>0</v>
      </c>
      <c r="I338" s="100">
        <f t="shared" si="101"/>
        <v>0</v>
      </c>
      <c r="J338" s="100">
        <f t="shared" si="101"/>
        <v>0</v>
      </c>
      <c r="K338" s="100">
        <f t="shared" si="101"/>
        <v>0</v>
      </c>
      <c r="L338" s="100">
        <f t="shared" si="101"/>
        <v>0</v>
      </c>
      <c r="M338" s="101">
        <f t="shared" si="101"/>
        <v>0</v>
      </c>
      <c r="N338" s="137" t="e">
        <f t="shared" si="88"/>
        <v>#DIV/0!</v>
      </c>
    </row>
    <row r="339" spans="1:14" ht="12.75" hidden="1" customHeight="1" x14ac:dyDescent="0.25">
      <c r="A339" s="274">
        <v>5275</v>
      </c>
      <c r="B339" s="83">
        <v>443100</v>
      </c>
      <c r="C339" s="84" t="s">
        <v>304</v>
      </c>
      <c r="D339" s="257"/>
      <c r="E339" s="108"/>
      <c r="F339" s="108"/>
      <c r="G339" s="109">
        <f t="shared" si="91"/>
        <v>0</v>
      </c>
      <c r="H339" s="108"/>
      <c r="I339" s="108"/>
      <c r="J339" s="108"/>
      <c r="K339" s="108"/>
      <c r="L339" s="108"/>
      <c r="M339" s="110"/>
      <c r="N339" s="137" t="e">
        <f t="shared" si="88"/>
        <v>#DIV/0!</v>
      </c>
    </row>
    <row r="340" spans="1:14" ht="12.75" hidden="1" customHeight="1" x14ac:dyDescent="0.25">
      <c r="A340" s="273">
        <v>5276</v>
      </c>
      <c r="B340" s="251">
        <v>444000</v>
      </c>
      <c r="C340" s="82" t="s">
        <v>305</v>
      </c>
      <c r="D340" s="256">
        <f>SUM(D341:D343)</f>
        <v>0</v>
      </c>
      <c r="E340" s="100">
        <f>SUM(E341:E343)</f>
        <v>0</v>
      </c>
      <c r="F340" s="100">
        <f>SUM(F341:F343)</f>
        <v>0</v>
      </c>
      <c r="G340" s="100">
        <f t="shared" si="91"/>
        <v>0</v>
      </c>
      <c r="H340" s="100">
        <f t="shared" ref="H340:M340" si="102">SUM(H341:H343)</f>
        <v>0</v>
      </c>
      <c r="I340" s="100">
        <f t="shared" si="102"/>
        <v>0</v>
      </c>
      <c r="J340" s="100">
        <f t="shared" si="102"/>
        <v>0</v>
      </c>
      <c r="K340" s="100">
        <f t="shared" si="102"/>
        <v>0</v>
      </c>
      <c r="L340" s="100">
        <f t="shared" si="102"/>
        <v>0</v>
      </c>
      <c r="M340" s="101">
        <f t="shared" si="102"/>
        <v>0</v>
      </c>
      <c r="N340" s="137" t="e">
        <f t="shared" si="88"/>
        <v>#DIV/0!</v>
      </c>
    </row>
    <row r="341" spans="1:14" ht="12.75" hidden="1" customHeight="1" x14ac:dyDescent="0.25">
      <c r="A341" s="274">
        <v>5277</v>
      </c>
      <c r="B341" s="83">
        <v>444100</v>
      </c>
      <c r="C341" s="84" t="s">
        <v>306</v>
      </c>
      <c r="D341" s="257"/>
      <c r="E341" s="108"/>
      <c r="F341" s="108"/>
      <c r="G341" s="109">
        <f t="shared" si="91"/>
        <v>0</v>
      </c>
      <c r="H341" s="108"/>
      <c r="I341" s="108"/>
      <c r="J341" s="108"/>
      <c r="K341" s="108"/>
      <c r="L341" s="108"/>
      <c r="M341" s="110"/>
      <c r="N341" s="137" t="e">
        <f t="shared" si="88"/>
        <v>#DIV/0!</v>
      </c>
    </row>
    <row r="342" spans="1:14" ht="12.75" hidden="1" customHeight="1" x14ac:dyDescent="0.25">
      <c r="A342" s="274">
        <v>5278</v>
      </c>
      <c r="B342" s="83">
        <v>444200</v>
      </c>
      <c r="C342" s="84" t="s">
        <v>307</v>
      </c>
      <c r="D342" s="257"/>
      <c r="E342" s="108"/>
      <c r="F342" s="108"/>
      <c r="G342" s="109">
        <f t="shared" si="91"/>
        <v>0</v>
      </c>
      <c r="H342" s="108"/>
      <c r="I342" s="108"/>
      <c r="J342" s="108"/>
      <c r="K342" s="108"/>
      <c r="L342" s="108"/>
      <c r="M342" s="110"/>
      <c r="N342" s="137" t="e">
        <f t="shared" si="88"/>
        <v>#DIV/0!</v>
      </c>
    </row>
    <row r="343" spans="1:14" ht="12.75" hidden="1" customHeight="1" x14ac:dyDescent="0.25">
      <c r="A343" s="274">
        <v>5279</v>
      </c>
      <c r="B343" s="83">
        <v>444300</v>
      </c>
      <c r="C343" s="84" t="s">
        <v>308</v>
      </c>
      <c r="D343" s="257"/>
      <c r="E343" s="108"/>
      <c r="F343" s="108"/>
      <c r="G343" s="109">
        <f t="shared" si="91"/>
        <v>0</v>
      </c>
      <c r="H343" s="108"/>
      <c r="I343" s="108"/>
      <c r="J343" s="108"/>
      <c r="K343" s="108"/>
      <c r="L343" s="108"/>
      <c r="M343" s="110"/>
      <c r="N343" s="137" t="e">
        <f t="shared" si="88"/>
        <v>#DIV/0!</v>
      </c>
    </row>
    <row r="344" spans="1:14" ht="12.75" hidden="1" customHeight="1" x14ac:dyDescent="0.25">
      <c r="A344" s="273">
        <v>5280</v>
      </c>
      <c r="B344" s="251">
        <v>450000</v>
      </c>
      <c r="C344" s="82" t="s">
        <v>309</v>
      </c>
      <c r="D344" s="256">
        <f>D345+D348+D351+D354</f>
        <v>0</v>
      </c>
      <c r="E344" s="100">
        <f>E345+E348+E351+E354</f>
        <v>0</v>
      </c>
      <c r="F344" s="100">
        <f>F345+F348+F351+F354</f>
        <v>0</v>
      </c>
      <c r="G344" s="100">
        <f t="shared" si="91"/>
        <v>0</v>
      </c>
      <c r="H344" s="100">
        <f t="shared" ref="H344:M344" si="103">H345+H348+H351+H354</f>
        <v>0</v>
      </c>
      <c r="I344" s="100">
        <f t="shared" si="103"/>
        <v>0</v>
      </c>
      <c r="J344" s="100">
        <f t="shared" si="103"/>
        <v>0</v>
      </c>
      <c r="K344" s="100">
        <f t="shared" si="103"/>
        <v>0</v>
      </c>
      <c r="L344" s="100">
        <f t="shared" si="103"/>
        <v>0</v>
      </c>
      <c r="M344" s="101">
        <f t="shared" si="103"/>
        <v>0</v>
      </c>
      <c r="N344" s="137" t="e">
        <f t="shared" si="88"/>
        <v>#DIV/0!</v>
      </c>
    </row>
    <row r="345" spans="1:14" ht="12.75" hidden="1" customHeight="1" x14ac:dyDescent="0.25">
      <c r="A345" s="273">
        <v>5281</v>
      </c>
      <c r="B345" s="251">
        <v>451000</v>
      </c>
      <c r="C345" s="82" t="s">
        <v>310</v>
      </c>
      <c r="D345" s="256">
        <f>D346+D347</f>
        <v>0</v>
      </c>
      <c r="E345" s="100">
        <f>E346+E347</f>
        <v>0</v>
      </c>
      <c r="F345" s="100">
        <f>F346+F347</f>
        <v>0</v>
      </c>
      <c r="G345" s="100">
        <f t="shared" si="91"/>
        <v>0</v>
      </c>
      <c r="H345" s="100">
        <f t="shared" ref="H345:M345" si="104">H346+H347</f>
        <v>0</v>
      </c>
      <c r="I345" s="100">
        <f t="shared" si="104"/>
        <v>0</v>
      </c>
      <c r="J345" s="100">
        <f t="shared" si="104"/>
        <v>0</v>
      </c>
      <c r="K345" s="100">
        <f t="shared" si="104"/>
        <v>0</v>
      </c>
      <c r="L345" s="100">
        <f t="shared" si="104"/>
        <v>0</v>
      </c>
      <c r="M345" s="101">
        <f t="shared" si="104"/>
        <v>0</v>
      </c>
      <c r="N345" s="137" t="e">
        <f t="shared" si="88"/>
        <v>#DIV/0!</v>
      </c>
    </row>
    <row r="346" spans="1:14" ht="12.75" hidden="1" customHeight="1" x14ac:dyDescent="0.25">
      <c r="A346" s="274">
        <v>5282</v>
      </c>
      <c r="B346" s="83">
        <v>451100</v>
      </c>
      <c r="C346" s="84" t="s">
        <v>311</v>
      </c>
      <c r="D346" s="257"/>
      <c r="E346" s="108"/>
      <c r="F346" s="108"/>
      <c r="G346" s="109">
        <f t="shared" si="91"/>
        <v>0</v>
      </c>
      <c r="H346" s="108"/>
      <c r="I346" s="108"/>
      <c r="J346" s="108"/>
      <c r="K346" s="108"/>
      <c r="L346" s="108"/>
      <c r="M346" s="110"/>
      <c r="N346" s="137" t="e">
        <f t="shared" si="88"/>
        <v>#DIV/0!</v>
      </c>
    </row>
    <row r="347" spans="1:14" ht="12.75" hidden="1" customHeight="1" x14ac:dyDescent="0.25">
      <c r="A347" s="274">
        <v>5283</v>
      </c>
      <c r="B347" s="83">
        <v>451200</v>
      </c>
      <c r="C347" s="84" t="s">
        <v>312</v>
      </c>
      <c r="D347" s="257"/>
      <c r="E347" s="108"/>
      <c r="F347" s="108"/>
      <c r="G347" s="109">
        <f t="shared" si="91"/>
        <v>0</v>
      </c>
      <c r="H347" s="108"/>
      <c r="I347" s="108"/>
      <c r="J347" s="108"/>
      <c r="K347" s="108"/>
      <c r="L347" s="108"/>
      <c r="M347" s="110"/>
      <c r="N347" s="137" t="e">
        <f t="shared" si="88"/>
        <v>#DIV/0!</v>
      </c>
    </row>
    <row r="348" spans="1:14" ht="12.75" hidden="1" customHeight="1" x14ac:dyDescent="0.25">
      <c r="A348" s="273">
        <v>5284</v>
      </c>
      <c r="B348" s="251">
        <v>452000</v>
      </c>
      <c r="C348" s="82" t="s">
        <v>313</v>
      </c>
      <c r="D348" s="256">
        <f>D349+D350</f>
        <v>0</v>
      </c>
      <c r="E348" s="100">
        <f>E349+E350</f>
        <v>0</v>
      </c>
      <c r="F348" s="100">
        <f>F349+F350</f>
        <v>0</v>
      </c>
      <c r="G348" s="100">
        <f t="shared" si="91"/>
        <v>0</v>
      </c>
      <c r="H348" s="100">
        <f t="shared" ref="H348:M348" si="105">H349+H350</f>
        <v>0</v>
      </c>
      <c r="I348" s="100">
        <f t="shared" si="105"/>
        <v>0</v>
      </c>
      <c r="J348" s="100">
        <f t="shared" si="105"/>
        <v>0</v>
      </c>
      <c r="K348" s="100">
        <f t="shared" si="105"/>
        <v>0</v>
      </c>
      <c r="L348" s="100">
        <f t="shared" si="105"/>
        <v>0</v>
      </c>
      <c r="M348" s="101">
        <f t="shared" si="105"/>
        <v>0</v>
      </c>
      <c r="N348" s="137" t="e">
        <f t="shared" si="88"/>
        <v>#DIV/0!</v>
      </c>
    </row>
    <row r="349" spans="1:14" ht="12.75" hidden="1" customHeight="1" x14ac:dyDescent="0.25">
      <c r="A349" s="274">
        <v>5285</v>
      </c>
      <c r="B349" s="83">
        <v>452100</v>
      </c>
      <c r="C349" s="84" t="s">
        <v>314</v>
      </c>
      <c r="D349" s="257"/>
      <c r="E349" s="108"/>
      <c r="F349" s="108"/>
      <c r="G349" s="109">
        <f t="shared" si="91"/>
        <v>0</v>
      </c>
      <c r="H349" s="108"/>
      <c r="I349" s="108"/>
      <c r="J349" s="108"/>
      <c r="K349" s="108"/>
      <c r="L349" s="108"/>
      <c r="M349" s="110"/>
      <c r="N349" s="137" t="e">
        <f t="shared" ref="N349:N412" si="106">G349/F349</f>
        <v>#DIV/0!</v>
      </c>
    </row>
    <row r="350" spans="1:14" ht="12.75" hidden="1" customHeight="1" x14ac:dyDescent="0.25">
      <c r="A350" s="274">
        <v>5286</v>
      </c>
      <c r="B350" s="83">
        <v>452200</v>
      </c>
      <c r="C350" s="84" t="s">
        <v>315</v>
      </c>
      <c r="D350" s="257"/>
      <c r="E350" s="108"/>
      <c r="F350" s="108"/>
      <c r="G350" s="109">
        <f t="shared" si="91"/>
        <v>0</v>
      </c>
      <c r="H350" s="108"/>
      <c r="I350" s="108"/>
      <c r="J350" s="108"/>
      <c r="K350" s="108"/>
      <c r="L350" s="108"/>
      <c r="M350" s="110"/>
      <c r="N350" s="137" t="e">
        <f t="shared" si="106"/>
        <v>#DIV/0!</v>
      </c>
    </row>
    <row r="351" spans="1:14" ht="12.75" hidden="1" customHeight="1" x14ac:dyDescent="0.25">
      <c r="A351" s="273">
        <v>5287</v>
      </c>
      <c r="B351" s="251">
        <v>453000</v>
      </c>
      <c r="C351" s="82" t="s">
        <v>316</v>
      </c>
      <c r="D351" s="256">
        <f>D352+D353</f>
        <v>0</v>
      </c>
      <c r="E351" s="100">
        <f>E352+E353</f>
        <v>0</v>
      </c>
      <c r="F351" s="100">
        <f>F352+F353</f>
        <v>0</v>
      </c>
      <c r="G351" s="100">
        <f t="shared" si="91"/>
        <v>0</v>
      </c>
      <c r="H351" s="100">
        <f t="shared" ref="H351:M351" si="107">H352+H353</f>
        <v>0</v>
      </c>
      <c r="I351" s="100">
        <f t="shared" si="107"/>
        <v>0</v>
      </c>
      <c r="J351" s="100">
        <f t="shared" si="107"/>
        <v>0</v>
      </c>
      <c r="K351" s="100">
        <f t="shared" si="107"/>
        <v>0</v>
      </c>
      <c r="L351" s="100">
        <f t="shared" si="107"/>
        <v>0</v>
      </c>
      <c r="M351" s="101">
        <f t="shared" si="107"/>
        <v>0</v>
      </c>
      <c r="N351" s="137" t="e">
        <f t="shared" si="106"/>
        <v>#DIV/0!</v>
      </c>
    </row>
    <row r="352" spans="1:14" ht="12.75" hidden="1" customHeight="1" x14ac:dyDescent="0.25">
      <c r="A352" s="274">
        <v>5288</v>
      </c>
      <c r="B352" s="83">
        <v>453100</v>
      </c>
      <c r="C352" s="84" t="s">
        <v>317</v>
      </c>
      <c r="D352" s="257"/>
      <c r="E352" s="108"/>
      <c r="F352" s="108"/>
      <c r="G352" s="109">
        <f t="shared" si="91"/>
        <v>0</v>
      </c>
      <c r="H352" s="108"/>
      <c r="I352" s="108"/>
      <c r="J352" s="108"/>
      <c r="K352" s="108"/>
      <c r="L352" s="108"/>
      <c r="M352" s="110"/>
      <c r="N352" s="137" t="e">
        <f t="shared" si="106"/>
        <v>#DIV/0!</v>
      </c>
    </row>
    <row r="353" spans="1:14" ht="12.75" hidden="1" customHeight="1" x14ac:dyDescent="0.25">
      <c r="A353" s="274">
        <v>5289</v>
      </c>
      <c r="B353" s="83">
        <v>453200</v>
      </c>
      <c r="C353" s="84" t="s">
        <v>318</v>
      </c>
      <c r="D353" s="257"/>
      <c r="E353" s="108"/>
      <c r="F353" s="108"/>
      <c r="G353" s="109">
        <f t="shared" si="91"/>
        <v>0</v>
      </c>
      <c r="H353" s="108"/>
      <c r="I353" s="108"/>
      <c r="J353" s="108"/>
      <c r="K353" s="108"/>
      <c r="L353" s="108"/>
      <c r="M353" s="110"/>
      <c r="N353" s="137" t="e">
        <f t="shared" si="106"/>
        <v>#DIV/0!</v>
      </c>
    </row>
    <row r="354" spans="1:14" ht="12.75" hidden="1" customHeight="1" x14ac:dyDescent="0.25">
      <c r="A354" s="273">
        <v>5290</v>
      </c>
      <c r="B354" s="251">
        <v>454000</v>
      </c>
      <c r="C354" s="82" t="s">
        <v>319</v>
      </c>
      <c r="D354" s="256">
        <f>D355+D356</f>
        <v>0</v>
      </c>
      <c r="E354" s="100">
        <f>E355+E356</f>
        <v>0</v>
      </c>
      <c r="F354" s="100">
        <f>F355+F356</f>
        <v>0</v>
      </c>
      <c r="G354" s="100">
        <f t="shared" si="91"/>
        <v>0</v>
      </c>
      <c r="H354" s="100">
        <f t="shared" ref="H354:M354" si="108">H355+H356</f>
        <v>0</v>
      </c>
      <c r="I354" s="100">
        <f t="shared" si="108"/>
        <v>0</v>
      </c>
      <c r="J354" s="100">
        <f t="shared" si="108"/>
        <v>0</v>
      </c>
      <c r="K354" s="100">
        <f t="shared" si="108"/>
        <v>0</v>
      </c>
      <c r="L354" s="100">
        <f t="shared" si="108"/>
        <v>0</v>
      </c>
      <c r="M354" s="101">
        <f t="shared" si="108"/>
        <v>0</v>
      </c>
      <c r="N354" s="137" t="e">
        <f t="shared" si="106"/>
        <v>#DIV/0!</v>
      </c>
    </row>
    <row r="355" spans="1:14" ht="12.75" hidden="1" customHeight="1" x14ac:dyDescent="0.25">
      <c r="A355" s="274">
        <v>5291</v>
      </c>
      <c r="B355" s="83">
        <v>454100</v>
      </c>
      <c r="C355" s="84" t="s">
        <v>320</v>
      </c>
      <c r="D355" s="257"/>
      <c r="E355" s="108"/>
      <c r="F355" s="108"/>
      <c r="G355" s="109">
        <f t="shared" si="91"/>
        <v>0</v>
      </c>
      <c r="H355" s="108"/>
      <c r="I355" s="108"/>
      <c r="J355" s="108"/>
      <c r="K355" s="108"/>
      <c r="L355" s="108"/>
      <c r="M355" s="110"/>
      <c r="N355" s="137" t="e">
        <f t="shared" si="106"/>
        <v>#DIV/0!</v>
      </c>
    </row>
    <row r="356" spans="1:14" ht="12.75" hidden="1" customHeight="1" x14ac:dyDescent="0.25">
      <c r="A356" s="274">
        <v>5292</v>
      </c>
      <c r="B356" s="83">
        <v>454200</v>
      </c>
      <c r="C356" s="84" t="s">
        <v>321</v>
      </c>
      <c r="D356" s="257"/>
      <c r="E356" s="108"/>
      <c r="F356" s="108"/>
      <c r="G356" s="109">
        <f t="shared" si="91"/>
        <v>0</v>
      </c>
      <c r="H356" s="108"/>
      <c r="I356" s="108"/>
      <c r="J356" s="108"/>
      <c r="K356" s="108"/>
      <c r="L356" s="108"/>
      <c r="M356" s="110"/>
      <c r="N356" s="137" t="e">
        <f t="shared" si="106"/>
        <v>#DIV/0!</v>
      </c>
    </row>
    <row r="357" spans="1:14" ht="12.75" customHeight="1" x14ac:dyDescent="0.25">
      <c r="A357" s="273">
        <v>5293</v>
      </c>
      <c r="B357" s="251">
        <v>460000</v>
      </c>
      <c r="C357" s="82" t="s">
        <v>322</v>
      </c>
      <c r="D357" s="256">
        <f>D362+D365+D368+D371+D374</f>
        <v>0</v>
      </c>
      <c r="E357" s="100">
        <f>E362+E365+E368+E371+E374</f>
        <v>9210</v>
      </c>
      <c r="F357" s="100">
        <f>F362+F365+F368+F371+F374</f>
        <v>9210</v>
      </c>
      <c r="G357" s="100">
        <f t="shared" si="91"/>
        <v>8448</v>
      </c>
      <c r="H357" s="100">
        <f t="shared" ref="H357:M357" si="109">H362+H365+H368+H371+H374</f>
        <v>42</v>
      </c>
      <c r="I357" s="100">
        <f t="shared" si="109"/>
        <v>0</v>
      </c>
      <c r="J357" s="100">
        <f t="shared" si="109"/>
        <v>0</v>
      </c>
      <c r="K357" s="100">
        <f t="shared" si="109"/>
        <v>8406</v>
      </c>
      <c r="L357" s="100">
        <f t="shared" si="109"/>
        <v>0</v>
      </c>
      <c r="M357" s="101">
        <f t="shared" si="109"/>
        <v>0</v>
      </c>
      <c r="N357" s="137">
        <f t="shared" si="106"/>
        <v>0.91726384364820845</v>
      </c>
    </row>
    <row r="358" spans="1:14" ht="12.75" hidden="1" customHeight="1" x14ac:dyDescent="0.25">
      <c r="A358" s="645" t="s">
        <v>0</v>
      </c>
      <c r="B358" s="646" t="s">
        <v>1</v>
      </c>
      <c r="C358" s="585" t="s">
        <v>2</v>
      </c>
      <c r="D358" s="259" t="s">
        <v>217</v>
      </c>
      <c r="E358" s="585" t="s">
        <v>217</v>
      </c>
      <c r="F358" s="254" t="s">
        <v>217</v>
      </c>
      <c r="G358" s="575" t="s">
        <v>198</v>
      </c>
      <c r="H358" s="589"/>
      <c r="I358" s="589"/>
      <c r="J358" s="589"/>
      <c r="K358" s="589"/>
      <c r="L358" s="589"/>
      <c r="M358" s="592"/>
      <c r="N358" s="137" t="e">
        <f t="shared" si="106"/>
        <v>#VALUE!</v>
      </c>
    </row>
    <row r="359" spans="1:14" ht="12.75" hidden="1" customHeight="1" x14ac:dyDescent="0.25">
      <c r="A359" s="645"/>
      <c r="B359" s="646"/>
      <c r="C359" s="585"/>
      <c r="D359" s="259"/>
      <c r="E359" s="585"/>
      <c r="F359" s="254"/>
      <c r="G359" s="575" t="s">
        <v>199</v>
      </c>
      <c r="H359" s="575" t="s">
        <v>200</v>
      </c>
      <c r="I359" s="589"/>
      <c r="J359" s="589"/>
      <c r="K359" s="589"/>
      <c r="L359" s="575" t="s">
        <v>7</v>
      </c>
      <c r="M359" s="582" t="s">
        <v>8</v>
      </c>
      <c r="N359" s="137" t="e">
        <f t="shared" si="106"/>
        <v>#VALUE!</v>
      </c>
    </row>
    <row r="360" spans="1:14" ht="12.75" hidden="1" customHeight="1" x14ac:dyDescent="0.25">
      <c r="A360" s="645"/>
      <c r="B360" s="646"/>
      <c r="C360" s="585"/>
      <c r="D360" s="259"/>
      <c r="E360" s="585"/>
      <c r="F360" s="254"/>
      <c r="G360" s="589"/>
      <c r="H360" s="252" t="s">
        <v>201</v>
      </c>
      <c r="I360" s="252" t="s">
        <v>10</v>
      </c>
      <c r="J360" s="252" t="s">
        <v>11</v>
      </c>
      <c r="K360" s="252" t="s">
        <v>12</v>
      </c>
      <c r="L360" s="589"/>
      <c r="M360" s="592"/>
      <c r="N360" s="137" t="e">
        <f t="shared" si="106"/>
        <v>#DIV/0!</v>
      </c>
    </row>
    <row r="361" spans="1:14" ht="12.75" hidden="1" customHeight="1" x14ac:dyDescent="0.25">
      <c r="A361" s="275" t="s">
        <v>18</v>
      </c>
      <c r="B361" s="95" t="s">
        <v>19</v>
      </c>
      <c r="C361" s="253" t="s">
        <v>20</v>
      </c>
      <c r="D361" s="259" t="s">
        <v>21</v>
      </c>
      <c r="E361" s="253" t="s">
        <v>21</v>
      </c>
      <c r="F361" s="253" t="s">
        <v>21</v>
      </c>
      <c r="G361" s="253" t="s">
        <v>22</v>
      </c>
      <c r="H361" s="253" t="s">
        <v>23</v>
      </c>
      <c r="I361" s="253" t="s">
        <v>24</v>
      </c>
      <c r="J361" s="253" t="s">
        <v>25</v>
      </c>
      <c r="K361" s="253" t="s">
        <v>26</v>
      </c>
      <c r="L361" s="253" t="s">
        <v>27</v>
      </c>
      <c r="M361" s="99" t="s">
        <v>28</v>
      </c>
      <c r="N361" s="137">
        <f t="shared" si="106"/>
        <v>1.25</v>
      </c>
    </row>
    <row r="362" spans="1:14" ht="12.75" hidden="1" customHeight="1" x14ac:dyDescent="0.25">
      <c r="A362" s="273">
        <v>5294</v>
      </c>
      <c r="B362" s="251">
        <v>461000</v>
      </c>
      <c r="C362" s="82" t="s">
        <v>323</v>
      </c>
      <c r="D362" s="256">
        <f>D363+D364</f>
        <v>0</v>
      </c>
      <c r="E362" s="100">
        <f>E363+E364</f>
        <v>0</v>
      </c>
      <c r="F362" s="100">
        <f>F363+F364</f>
        <v>0</v>
      </c>
      <c r="G362" s="100">
        <f t="shared" si="91"/>
        <v>0</v>
      </c>
      <c r="H362" s="100">
        <f t="shared" ref="H362:M362" si="110">H363+H364</f>
        <v>0</v>
      </c>
      <c r="I362" s="100">
        <f t="shared" si="110"/>
        <v>0</v>
      </c>
      <c r="J362" s="100">
        <f t="shared" si="110"/>
        <v>0</v>
      </c>
      <c r="K362" s="100">
        <f t="shared" si="110"/>
        <v>0</v>
      </c>
      <c r="L362" s="100">
        <f t="shared" si="110"/>
        <v>0</v>
      </c>
      <c r="M362" s="101">
        <f t="shared" si="110"/>
        <v>0</v>
      </c>
      <c r="N362" s="137" t="e">
        <f t="shared" si="106"/>
        <v>#DIV/0!</v>
      </c>
    </row>
    <row r="363" spans="1:14" ht="12.75" hidden="1" customHeight="1" x14ac:dyDescent="0.25">
      <c r="A363" s="274">
        <v>5295</v>
      </c>
      <c r="B363" s="83">
        <v>461100</v>
      </c>
      <c r="C363" s="84" t="s">
        <v>324</v>
      </c>
      <c r="D363" s="257"/>
      <c r="E363" s="108"/>
      <c r="F363" s="108"/>
      <c r="G363" s="109">
        <f t="shared" si="91"/>
        <v>0</v>
      </c>
      <c r="H363" s="108"/>
      <c r="I363" s="108"/>
      <c r="J363" s="108"/>
      <c r="K363" s="108"/>
      <c r="L363" s="108"/>
      <c r="M363" s="110"/>
      <c r="N363" s="137" t="e">
        <f t="shared" si="106"/>
        <v>#DIV/0!</v>
      </c>
    </row>
    <row r="364" spans="1:14" ht="12.75" hidden="1" customHeight="1" x14ac:dyDescent="0.25">
      <c r="A364" s="274">
        <v>5296</v>
      </c>
      <c r="B364" s="83">
        <v>461200</v>
      </c>
      <c r="C364" s="84" t="s">
        <v>325</v>
      </c>
      <c r="D364" s="257"/>
      <c r="E364" s="108"/>
      <c r="F364" s="108"/>
      <c r="G364" s="109">
        <f t="shared" si="91"/>
        <v>0</v>
      </c>
      <c r="H364" s="108"/>
      <c r="I364" s="108"/>
      <c r="J364" s="108"/>
      <c r="K364" s="108"/>
      <c r="L364" s="108"/>
      <c r="M364" s="110"/>
      <c r="N364" s="137" t="e">
        <f t="shared" si="106"/>
        <v>#DIV/0!</v>
      </c>
    </row>
    <row r="365" spans="1:14" ht="12.75" hidden="1" customHeight="1" x14ac:dyDescent="0.25">
      <c r="A365" s="273">
        <v>5297</v>
      </c>
      <c r="B365" s="251">
        <v>462000</v>
      </c>
      <c r="C365" s="82" t="s">
        <v>326</v>
      </c>
      <c r="D365" s="256">
        <f>D366+D367</f>
        <v>0</v>
      </c>
      <c r="E365" s="100">
        <f>E366+E367</f>
        <v>0</v>
      </c>
      <c r="F365" s="100">
        <f>F366+F367</f>
        <v>0</v>
      </c>
      <c r="G365" s="100">
        <f t="shared" si="91"/>
        <v>0</v>
      </c>
      <c r="H365" s="100">
        <f t="shared" ref="H365:M365" si="111">H366+H367</f>
        <v>0</v>
      </c>
      <c r="I365" s="100">
        <f t="shared" si="111"/>
        <v>0</v>
      </c>
      <c r="J365" s="100">
        <f t="shared" si="111"/>
        <v>0</v>
      </c>
      <c r="K365" s="100">
        <f t="shared" si="111"/>
        <v>0</v>
      </c>
      <c r="L365" s="100">
        <f t="shared" si="111"/>
        <v>0</v>
      </c>
      <c r="M365" s="101">
        <f t="shared" si="111"/>
        <v>0</v>
      </c>
      <c r="N365" s="137" t="e">
        <f t="shared" si="106"/>
        <v>#DIV/0!</v>
      </c>
    </row>
    <row r="366" spans="1:14" ht="12.75" hidden="1" customHeight="1" x14ac:dyDescent="0.25">
      <c r="A366" s="274">
        <v>5298</v>
      </c>
      <c r="B366" s="83">
        <v>462100</v>
      </c>
      <c r="C366" s="84" t="s">
        <v>327</v>
      </c>
      <c r="D366" s="257"/>
      <c r="E366" s="108"/>
      <c r="F366" s="108"/>
      <c r="G366" s="109">
        <f t="shared" si="91"/>
        <v>0</v>
      </c>
      <c r="H366" s="108"/>
      <c r="I366" s="108"/>
      <c r="J366" s="108"/>
      <c r="K366" s="108"/>
      <c r="L366" s="108"/>
      <c r="M366" s="110"/>
      <c r="N366" s="137" t="e">
        <f t="shared" si="106"/>
        <v>#DIV/0!</v>
      </c>
    </row>
    <row r="367" spans="1:14" ht="12.75" hidden="1" customHeight="1" x14ac:dyDescent="0.25">
      <c r="A367" s="274">
        <v>5299</v>
      </c>
      <c r="B367" s="83">
        <v>462200</v>
      </c>
      <c r="C367" s="84" t="s">
        <v>328</v>
      </c>
      <c r="D367" s="257"/>
      <c r="E367" s="108"/>
      <c r="F367" s="108"/>
      <c r="G367" s="109">
        <f t="shared" si="91"/>
        <v>0</v>
      </c>
      <c r="H367" s="108"/>
      <c r="I367" s="108"/>
      <c r="J367" s="108"/>
      <c r="K367" s="108"/>
      <c r="L367" s="108"/>
      <c r="M367" s="110"/>
      <c r="N367" s="137" t="e">
        <f t="shared" si="106"/>
        <v>#DIV/0!</v>
      </c>
    </row>
    <row r="368" spans="1:14" ht="12.75" hidden="1" customHeight="1" x14ac:dyDescent="0.25">
      <c r="A368" s="273">
        <v>5300</v>
      </c>
      <c r="B368" s="251">
        <v>463000</v>
      </c>
      <c r="C368" s="82" t="s">
        <v>329</v>
      </c>
      <c r="D368" s="256">
        <f>D369+D370</f>
        <v>0</v>
      </c>
      <c r="E368" s="100">
        <f>E369+E370</f>
        <v>0</v>
      </c>
      <c r="F368" s="100">
        <f>F369+F370</f>
        <v>0</v>
      </c>
      <c r="G368" s="100">
        <f t="shared" ref="G368:G440" si="112">SUM(H368:M368)</f>
        <v>0</v>
      </c>
      <c r="H368" s="100">
        <f t="shared" ref="H368:M368" si="113">H369+H370</f>
        <v>0</v>
      </c>
      <c r="I368" s="100">
        <f t="shared" si="113"/>
        <v>0</v>
      </c>
      <c r="J368" s="100">
        <f t="shared" si="113"/>
        <v>0</v>
      </c>
      <c r="K368" s="100">
        <f t="shared" si="113"/>
        <v>0</v>
      </c>
      <c r="L368" s="100">
        <f t="shared" si="113"/>
        <v>0</v>
      </c>
      <c r="M368" s="101">
        <f t="shared" si="113"/>
        <v>0</v>
      </c>
      <c r="N368" s="137" t="e">
        <f t="shared" si="106"/>
        <v>#DIV/0!</v>
      </c>
    </row>
    <row r="369" spans="1:14" ht="12.75" hidden="1" customHeight="1" x14ac:dyDescent="0.25">
      <c r="A369" s="274">
        <v>5301</v>
      </c>
      <c r="B369" s="83">
        <v>463100</v>
      </c>
      <c r="C369" s="84" t="s">
        <v>330</v>
      </c>
      <c r="D369" s="257"/>
      <c r="E369" s="108"/>
      <c r="F369" s="108"/>
      <c r="G369" s="109">
        <f t="shared" si="112"/>
        <v>0</v>
      </c>
      <c r="H369" s="108"/>
      <c r="I369" s="108"/>
      <c r="J369" s="108"/>
      <c r="K369" s="108"/>
      <c r="L369" s="108"/>
      <c r="M369" s="110"/>
      <c r="N369" s="137" t="e">
        <f t="shared" si="106"/>
        <v>#DIV/0!</v>
      </c>
    </row>
    <row r="370" spans="1:14" ht="12.75" hidden="1" customHeight="1" x14ac:dyDescent="0.25">
      <c r="A370" s="274">
        <v>5302</v>
      </c>
      <c r="B370" s="83">
        <v>463200</v>
      </c>
      <c r="C370" s="84" t="s">
        <v>331</v>
      </c>
      <c r="D370" s="257"/>
      <c r="E370" s="108"/>
      <c r="F370" s="108"/>
      <c r="G370" s="109">
        <f t="shared" si="112"/>
        <v>0</v>
      </c>
      <c r="H370" s="108"/>
      <c r="I370" s="108"/>
      <c r="J370" s="108"/>
      <c r="K370" s="108"/>
      <c r="L370" s="108"/>
      <c r="M370" s="110"/>
      <c r="N370" s="137" t="e">
        <f t="shared" si="106"/>
        <v>#DIV/0!</v>
      </c>
    </row>
    <row r="371" spans="1:14" ht="12.75" hidden="1" customHeight="1" x14ac:dyDescent="0.25">
      <c r="A371" s="273">
        <v>5303</v>
      </c>
      <c r="B371" s="251">
        <v>464000</v>
      </c>
      <c r="C371" s="82" t="s">
        <v>332</v>
      </c>
      <c r="D371" s="256">
        <f>D372+D373</f>
        <v>0</v>
      </c>
      <c r="E371" s="100">
        <f>E372+E373</f>
        <v>0</v>
      </c>
      <c r="F371" s="100">
        <f>F372+F373</f>
        <v>0</v>
      </c>
      <c r="G371" s="100">
        <f t="shared" si="112"/>
        <v>0</v>
      </c>
      <c r="H371" s="100">
        <f t="shared" ref="H371:M371" si="114">H372+H373</f>
        <v>0</v>
      </c>
      <c r="I371" s="100">
        <f t="shared" si="114"/>
        <v>0</v>
      </c>
      <c r="J371" s="100">
        <f t="shared" si="114"/>
        <v>0</v>
      </c>
      <c r="K371" s="100">
        <f t="shared" si="114"/>
        <v>0</v>
      </c>
      <c r="L371" s="100">
        <f t="shared" si="114"/>
        <v>0</v>
      </c>
      <c r="M371" s="101">
        <f t="shared" si="114"/>
        <v>0</v>
      </c>
      <c r="N371" s="137" t="e">
        <f t="shared" si="106"/>
        <v>#DIV/0!</v>
      </c>
    </row>
    <row r="372" spans="1:14" ht="12.75" hidden="1" customHeight="1" x14ac:dyDescent="0.25">
      <c r="A372" s="274">
        <v>5304</v>
      </c>
      <c r="B372" s="83">
        <v>464100</v>
      </c>
      <c r="C372" s="84" t="s">
        <v>333</v>
      </c>
      <c r="D372" s="257"/>
      <c r="E372" s="108"/>
      <c r="F372" s="108"/>
      <c r="G372" s="109">
        <f t="shared" si="112"/>
        <v>0</v>
      </c>
      <c r="H372" s="108"/>
      <c r="I372" s="108"/>
      <c r="J372" s="108"/>
      <c r="K372" s="108"/>
      <c r="L372" s="108"/>
      <c r="M372" s="110"/>
      <c r="N372" s="137" t="e">
        <f t="shared" si="106"/>
        <v>#DIV/0!</v>
      </c>
    </row>
    <row r="373" spans="1:14" ht="12.75" hidden="1" customHeight="1" x14ac:dyDescent="0.25">
      <c r="A373" s="274">
        <v>5305</v>
      </c>
      <c r="B373" s="83">
        <v>464200</v>
      </c>
      <c r="C373" s="84" t="s">
        <v>334</v>
      </c>
      <c r="D373" s="257"/>
      <c r="E373" s="108"/>
      <c r="F373" s="108"/>
      <c r="G373" s="109">
        <f t="shared" si="112"/>
        <v>0</v>
      </c>
      <c r="H373" s="108"/>
      <c r="I373" s="108"/>
      <c r="J373" s="108"/>
      <c r="K373" s="108"/>
      <c r="L373" s="108"/>
      <c r="M373" s="110"/>
      <c r="N373" s="137" t="e">
        <f t="shared" si="106"/>
        <v>#DIV/0!</v>
      </c>
    </row>
    <row r="374" spans="1:14" ht="12.75" customHeight="1" x14ac:dyDescent="0.25">
      <c r="A374" s="273">
        <v>5306</v>
      </c>
      <c r="B374" s="251">
        <v>465000</v>
      </c>
      <c r="C374" s="82" t="s">
        <v>335</v>
      </c>
      <c r="D374" s="256">
        <f>D375+D376</f>
        <v>0</v>
      </c>
      <c r="E374" s="100">
        <f>E375+E376</f>
        <v>9210</v>
      </c>
      <c r="F374" s="100">
        <f>F375+F376</f>
        <v>9210</v>
      </c>
      <c r="G374" s="100">
        <f t="shared" si="112"/>
        <v>8448</v>
      </c>
      <c r="H374" s="100">
        <f t="shared" ref="H374:M374" si="115">H375+H376</f>
        <v>42</v>
      </c>
      <c r="I374" s="100">
        <f t="shared" si="115"/>
        <v>0</v>
      </c>
      <c r="J374" s="100">
        <f t="shared" si="115"/>
        <v>0</v>
      </c>
      <c r="K374" s="100">
        <f t="shared" si="115"/>
        <v>8406</v>
      </c>
      <c r="L374" s="100">
        <f t="shared" si="115"/>
        <v>0</v>
      </c>
      <c r="M374" s="101">
        <f t="shared" si="115"/>
        <v>0</v>
      </c>
      <c r="N374" s="137">
        <f t="shared" si="106"/>
        <v>0.91726384364820845</v>
      </c>
    </row>
    <row r="375" spans="1:14" ht="12.75" customHeight="1" x14ac:dyDescent="0.25">
      <c r="A375" s="274">
        <v>5307</v>
      </c>
      <c r="B375" s="83">
        <v>465100</v>
      </c>
      <c r="C375" s="84" t="s">
        <v>336</v>
      </c>
      <c r="D375" s="257"/>
      <c r="E375" s="108">
        <v>9210</v>
      </c>
      <c r="F375" s="108">
        <f>D375+E375</f>
        <v>9210</v>
      </c>
      <c r="G375" s="109">
        <f t="shared" si="112"/>
        <v>8448</v>
      </c>
      <c r="H375" s="108">
        <v>42</v>
      </c>
      <c r="I375" s="108"/>
      <c r="J375" s="108"/>
      <c r="K375" s="108">
        <v>8406</v>
      </c>
      <c r="L375" s="108"/>
      <c r="M375" s="110"/>
      <c r="N375" s="137">
        <f t="shared" si="106"/>
        <v>0.91726384364820845</v>
      </c>
    </row>
    <row r="376" spans="1:14" ht="12.75" hidden="1" customHeight="1" x14ac:dyDescent="0.25">
      <c r="A376" s="274">
        <v>5308</v>
      </c>
      <c r="B376" s="83">
        <v>465200</v>
      </c>
      <c r="C376" s="84" t="s">
        <v>337</v>
      </c>
      <c r="D376" s="257"/>
      <c r="E376" s="108"/>
      <c r="F376" s="108"/>
      <c r="G376" s="109">
        <f t="shared" si="112"/>
        <v>0</v>
      </c>
      <c r="H376" s="108"/>
      <c r="I376" s="108"/>
      <c r="J376" s="108"/>
      <c r="K376" s="108"/>
      <c r="L376" s="108"/>
      <c r="M376" s="110"/>
      <c r="N376" s="137" t="e">
        <f t="shared" si="106"/>
        <v>#DIV/0!</v>
      </c>
    </row>
    <row r="377" spans="1:14" ht="12.75" hidden="1" customHeight="1" x14ac:dyDescent="0.25">
      <c r="A377" s="273">
        <v>5309</v>
      </c>
      <c r="B377" s="251">
        <v>470000</v>
      </c>
      <c r="C377" s="82" t="s">
        <v>338</v>
      </c>
      <c r="D377" s="256">
        <f>D378+D382</f>
        <v>0</v>
      </c>
      <c r="E377" s="100">
        <f>E378+E382</f>
        <v>0</v>
      </c>
      <c r="F377" s="100">
        <f>F378+F382</f>
        <v>0</v>
      </c>
      <c r="G377" s="100">
        <f t="shared" si="112"/>
        <v>0</v>
      </c>
      <c r="H377" s="100">
        <f t="shared" ref="H377:M377" si="116">H378+H382</f>
        <v>0</v>
      </c>
      <c r="I377" s="100">
        <f t="shared" si="116"/>
        <v>0</v>
      </c>
      <c r="J377" s="100">
        <f t="shared" si="116"/>
        <v>0</v>
      </c>
      <c r="K377" s="100">
        <f t="shared" si="116"/>
        <v>0</v>
      </c>
      <c r="L377" s="100">
        <f t="shared" si="116"/>
        <v>0</v>
      </c>
      <c r="M377" s="101">
        <f t="shared" si="116"/>
        <v>0</v>
      </c>
      <c r="N377" s="137" t="e">
        <f t="shared" si="106"/>
        <v>#DIV/0!</v>
      </c>
    </row>
    <row r="378" spans="1:14" ht="12.75" hidden="1" customHeight="1" x14ac:dyDescent="0.25">
      <c r="A378" s="273">
        <v>5310</v>
      </c>
      <c r="B378" s="251">
        <v>471000</v>
      </c>
      <c r="C378" s="82" t="s">
        <v>339</v>
      </c>
      <c r="D378" s="256">
        <f>SUM(D379:D381)</f>
        <v>0</v>
      </c>
      <c r="E378" s="100">
        <f>SUM(E379:E381)</f>
        <v>0</v>
      </c>
      <c r="F378" s="100">
        <f>SUM(F379:F381)</f>
        <v>0</v>
      </c>
      <c r="G378" s="100">
        <f t="shared" si="112"/>
        <v>0</v>
      </c>
      <c r="H378" s="100">
        <f t="shared" ref="H378:M378" si="117">SUM(H379:H381)</f>
        <v>0</v>
      </c>
      <c r="I378" s="100">
        <f t="shared" si="117"/>
        <v>0</v>
      </c>
      <c r="J378" s="100">
        <f t="shared" si="117"/>
        <v>0</v>
      </c>
      <c r="K378" s="100">
        <f t="shared" si="117"/>
        <v>0</v>
      </c>
      <c r="L378" s="100">
        <f t="shared" si="117"/>
        <v>0</v>
      </c>
      <c r="M378" s="101">
        <f t="shared" si="117"/>
        <v>0</v>
      </c>
      <c r="N378" s="137" t="e">
        <f t="shared" si="106"/>
        <v>#DIV/0!</v>
      </c>
    </row>
    <row r="379" spans="1:14" ht="12.75" hidden="1" customHeight="1" x14ac:dyDescent="0.25">
      <c r="A379" s="274">
        <v>5311</v>
      </c>
      <c r="B379" s="83">
        <v>471100</v>
      </c>
      <c r="C379" s="84" t="s">
        <v>340</v>
      </c>
      <c r="D379" s="257"/>
      <c r="E379" s="108"/>
      <c r="F379" s="108"/>
      <c r="G379" s="109">
        <f t="shared" si="112"/>
        <v>0</v>
      </c>
      <c r="H379" s="108"/>
      <c r="I379" s="108"/>
      <c r="J379" s="108"/>
      <c r="K379" s="108"/>
      <c r="L379" s="108"/>
      <c r="M379" s="110"/>
      <c r="N379" s="137" t="e">
        <f t="shared" si="106"/>
        <v>#DIV/0!</v>
      </c>
    </row>
    <row r="380" spans="1:14" ht="12.75" hidden="1" customHeight="1" x14ac:dyDescent="0.25">
      <c r="A380" s="274">
        <v>5312</v>
      </c>
      <c r="B380" s="83">
        <v>471200</v>
      </c>
      <c r="C380" s="84" t="s">
        <v>341</v>
      </c>
      <c r="D380" s="257"/>
      <c r="E380" s="108"/>
      <c r="F380" s="108"/>
      <c r="G380" s="109">
        <f t="shared" si="112"/>
        <v>0</v>
      </c>
      <c r="H380" s="108"/>
      <c r="I380" s="108"/>
      <c r="J380" s="108"/>
      <c r="K380" s="108"/>
      <c r="L380" s="108"/>
      <c r="M380" s="110"/>
      <c r="N380" s="137" t="e">
        <f t="shared" si="106"/>
        <v>#DIV/0!</v>
      </c>
    </row>
    <row r="381" spans="1:14" ht="12.75" hidden="1" customHeight="1" x14ac:dyDescent="0.25">
      <c r="A381" s="274">
        <v>5313</v>
      </c>
      <c r="B381" s="83">
        <v>471900</v>
      </c>
      <c r="C381" s="84" t="s">
        <v>342</v>
      </c>
      <c r="D381" s="257"/>
      <c r="E381" s="108"/>
      <c r="F381" s="108"/>
      <c r="G381" s="109">
        <f t="shared" si="112"/>
        <v>0</v>
      </c>
      <c r="H381" s="108"/>
      <c r="I381" s="108"/>
      <c r="J381" s="108"/>
      <c r="K381" s="108"/>
      <c r="L381" s="108"/>
      <c r="M381" s="110"/>
      <c r="N381" s="137" t="e">
        <f t="shared" si="106"/>
        <v>#DIV/0!</v>
      </c>
    </row>
    <row r="382" spans="1:14" ht="12.75" hidden="1" customHeight="1" x14ac:dyDescent="0.25">
      <c r="A382" s="273">
        <v>5314</v>
      </c>
      <c r="B382" s="251">
        <v>472000</v>
      </c>
      <c r="C382" s="82" t="s">
        <v>343</v>
      </c>
      <c r="D382" s="256">
        <f>SUM(D387:D395)</f>
        <v>0</v>
      </c>
      <c r="E382" s="100">
        <f>SUM(E387:E395)</f>
        <v>0</v>
      </c>
      <c r="F382" s="100">
        <f>SUM(F387:F395)</f>
        <v>0</v>
      </c>
      <c r="G382" s="100">
        <f t="shared" si="112"/>
        <v>0</v>
      </c>
      <c r="H382" s="100">
        <f t="shared" ref="H382:M382" si="118">SUM(H387:H395)</f>
        <v>0</v>
      </c>
      <c r="I382" s="100">
        <f t="shared" si="118"/>
        <v>0</v>
      </c>
      <c r="J382" s="100">
        <f t="shared" si="118"/>
        <v>0</v>
      </c>
      <c r="K382" s="100">
        <f t="shared" si="118"/>
        <v>0</v>
      </c>
      <c r="L382" s="100">
        <f t="shared" si="118"/>
        <v>0</v>
      </c>
      <c r="M382" s="101">
        <f t="shared" si="118"/>
        <v>0</v>
      </c>
      <c r="N382" s="137" t="e">
        <f t="shared" si="106"/>
        <v>#DIV/0!</v>
      </c>
    </row>
    <row r="383" spans="1:14" ht="12.75" hidden="1" customHeight="1" x14ac:dyDescent="0.25">
      <c r="A383" s="645" t="s">
        <v>0</v>
      </c>
      <c r="B383" s="646" t="s">
        <v>1</v>
      </c>
      <c r="C383" s="585" t="s">
        <v>2</v>
      </c>
      <c r="D383" s="259" t="s">
        <v>217</v>
      </c>
      <c r="E383" s="585" t="s">
        <v>217</v>
      </c>
      <c r="F383" s="254" t="s">
        <v>217</v>
      </c>
      <c r="G383" s="575" t="s">
        <v>198</v>
      </c>
      <c r="H383" s="589"/>
      <c r="I383" s="589"/>
      <c r="J383" s="589"/>
      <c r="K383" s="589"/>
      <c r="L383" s="589"/>
      <c r="M383" s="592"/>
      <c r="N383" s="137" t="e">
        <f t="shared" si="106"/>
        <v>#VALUE!</v>
      </c>
    </row>
    <row r="384" spans="1:14" ht="12.75" hidden="1" customHeight="1" x14ac:dyDescent="0.25">
      <c r="A384" s="645"/>
      <c r="B384" s="646"/>
      <c r="C384" s="585"/>
      <c r="D384" s="259"/>
      <c r="E384" s="585"/>
      <c r="F384" s="254"/>
      <c r="G384" s="575" t="s">
        <v>199</v>
      </c>
      <c r="H384" s="575" t="s">
        <v>200</v>
      </c>
      <c r="I384" s="589"/>
      <c r="J384" s="589"/>
      <c r="K384" s="589"/>
      <c r="L384" s="575" t="s">
        <v>7</v>
      </c>
      <c r="M384" s="582" t="s">
        <v>8</v>
      </c>
      <c r="N384" s="137" t="e">
        <f t="shared" si="106"/>
        <v>#VALUE!</v>
      </c>
    </row>
    <row r="385" spans="1:14" ht="12.75" hidden="1" customHeight="1" x14ac:dyDescent="0.25">
      <c r="A385" s="645"/>
      <c r="B385" s="646"/>
      <c r="C385" s="585"/>
      <c r="D385" s="259"/>
      <c r="E385" s="585"/>
      <c r="F385" s="254"/>
      <c r="G385" s="589"/>
      <c r="H385" s="252" t="s">
        <v>201</v>
      </c>
      <c r="I385" s="252" t="s">
        <v>10</v>
      </c>
      <c r="J385" s="252" t="s">
        <v>11</v>
      </c>
      <c r="K385" s="252" t="s">
        <v>12</v>
      </c>
      <c r="L385" s="589"/>
      <c r="M385" s="592"/>
      <c r="N385" s="137" t="e">
        <f t="shared" si="106"/>
        <v>#DIV/0!</v>
      </c>
    </row>
    <row r="386" spans="1:14" ht="12.75" hidden="1" customHeight="1" x14ac:dyDescent="0.25">
      <c r="A386" s="275" t="s">
        <v>18</v>
      </c>
      <c r="B386" s="95" t="s">
        <v>19</v>
      </c>
      <c r="C386" s="253" t="s">
        <v>20</v>
      </c>
      <c r="D386" s="259" t="s">
        <v>21</v>
      </c>
      <c r="E386" s="253" t="s">
        <v>21</v>
      </c>
      <c r="F386" s="253" t="s">
        <v>21</v>
      </c>
      <c r="G386" s="253" t="s">
        <v>22</v>
      </c>
      <c r="H386" s="253" t="s">
        <v>23</v>
      </c>
      <c r="I386" s="253" t="s">
        <v>24</v>
      </c>
      <c r="J386" s="253" t="s">
        <v>25</v>
      </c>
      <c r="K386" s="253" t="s">
        <v>26</v>
      </c>
      <c r="L386" s="253" t="s">
        <v>27</v>
      </c>
      <c r="M386" s="99" t="s">
        <v>28</v>
      </c>
      <c r="N386" s="137">
        <f t="shared" si="106"/>
        <v>1.25</v>
      </c>
    </row>
    <row r="387" spans="1:14" ht="12.75" hidden="1" customHeight="1" x14ac:dyDescent="0.25">
      <c r="A387" s="274">
        <v>5315</v>
      </c>
      <c r="B387" s="83">
        <v>472100</v>
      </c>
      <c r="C387" s="84" t="s">
        <v>344</v>
      </c>
      <c r="D387" s="257"/>
      <c r="E387" s="108"/>
      <c r="F387" s="108"/>
      <c r="G387" s="109">
        <f t="shared" si="112"/>
        <v>0</v>
      </c>
      <c r="H387" s="108"/>
      <c r="I387" s="108"/>
      <c r="J387" s="108"/>
      <c r="K387" s="108"/>
      <c r="L387" s="108"/>
      <c r="M387" s="110"/>
      <c r="N387" s="137" t="e">
        <f t="shared" si="106"/>
        <v>#DIV/0!</v>
      </c>
    </row>
    <row r="388" spans="1:14" ht="12.75" hidden="1" customHeight="1" x14ac:dyDescent="0.25">
      <c r="A388" s="274">
        <v>5316</v>
      </c>
      <c r="B388" s="83">
        <v>472200</v>
      </c>
      <c r="C388" s="84" t="s">
        <v>345</v>
      </c>
      <c r="D388" s="257"/>
      <c r="E388" s="108"/>
      <c r="F388" s="108"/>
      <c r="G388" s="109">
        <f t="shared" si="112"/>
        <v>0</v>
      </c>
      <c r="H388" s="108"/>
      <c r="I388" s="108"/>
      <c r="J388" s="108"/>
      <c r="K388" s="108"/>
      <c r="L388" s="108"/>
      <c r="M388" s="110"/>
      <c r="N388" s="137" t="e">
        <f t="shared" si="106"/>
        <v>#DIV/0!</v>
      </c>
    </row>
    <row r="389" spans="1:14" ht="12.75" hidden="1" customHeight="1" x14ac:dyDescent="0.25">
      <c r="A389" s="274">
        <v>5317</v>
      </c>
      <c r="B389" s="83">
        <v>472300</v>
      </c>
      <c r="C389" s="84" t="s">
        <v>346</v>
      </c>
      <c r="D389" s="257"/>
      <c r="E389" s="108"/>
      <c r="F389" s="108"/>
      <c r="G389" s="109">
        <f t="shared" si="112"/>
        <v>0</v>
      </c>
      <c r="H389" s="108"/>
      <c r="I389" s="108"/>
      <c r="J389" s="108"/>
      <c r="K389" s="108"/>
      <c r="L389" s="108"/>
      <c r="M389" s="110"/>
      <c r="N389" s="137" t="e">
        <f t="shared" si="106"/>
        <v>#DIV/0!</v>
      </c>
    </row>
    <row r="390" spans="1:14" ht="12.75" hidden="1" customHeight="1" x14ac:dyDescent="0.25">
      <c r="A390" s="274">
        <v>5318</v>
      </c>
      <c r="B390" s="83">
        <v>472400</v>
      </c>
      <c r="C390" s="84" t="s">
        <v>347</v>
      </c>
      <c r="D390" s="257"/>
      <c r="E390" s="108"/>
      <c r="F390" s="108"/>
      <c r="G390" s="109">
        <f t="shared" si="112"/>
        <v>0</v>
      </c>
      <c r="H390" s="108"/>
      <c r="I390" s="108"/>
      <c r="J390" s="108"/>
      <c r="K390" s="108"/>
      <c r="L390" s="108"/>
      <c r="M390" s="110"/>
      <c r="N390" s="137" t="e">
        <f t="shared" si="106"/>
        <v>#DIV/0!</v>
      </c>
    </row>
    <row r="391" spans="1:14" ht="12.75" hidden="1" customHeight="1" x14ac:dyDescent="0.25">
      <c r="A391" s="274">
        <v>5319</v>
      </c>
      <c r="B391" s="83">
        <v>472500</v>
      </c>
      <c r="C391" s="84" t="s">
        <v>348</v>
      </c>
      <c r="D391" s="257"/>
      <c r="E391" s="108"/>
      <c r="F391" s="108"/>
      <c r="G391" s="109">
        <f t="shared" si="112"/>
        <v>0</v>
      </c>
      <c r="H391" s="108"/>
      <c r="I391" s="108"/>
      <c r="J391" s="108"/>
      <c r="K391" s="108"/>
      <c r="L391" s="108"/>
      <c r="M391" s="110"/>
      <c r="N391" s="137" t="e">
        <f t="shared" si="106"/>
        <v>#DIV/0!</v>
      </c>
    </row>
    <row r="392" spans="1:14" ht="12.75" hidden="1" customHeight="1" x14ac:dyDescent="0.25">
      <c r="A392" s="274">
        <v>5320</v>
      </c>
      <c r="B392" s="83">
        <v>472600</v>
      </c>
      <c r="C392" s="84" t="s">
        <v>349</v>
      </c>
      <c r="D392" s="257"/>
      <c r="E392" s="108"/>
      <c r="F392" s="108"/>
      <c r="G392" s="109">
        <f t="shared" si="112"/>
        <v>0</v>
      </c>
      <c r="H392" s="108"/>
      <c r="I392" s="108"/>
      <c r="J392" s="108"/>
      <c r="K392" s="108"/>
      <c r="L392" s="108"/>
      <c r="M392" s="110"/>
      <c r="N392" s="137" t="e">
        <f t="shared" si="106"/>
        <v>#DIV/0!</v>
      </c>
    </row>
    <row r="393" spans="1:14" ht="12.75" hidden="1" customHeight="1" x14ac:dyDescent="0.25">
      <c r="A393" s="274">
        <v>5321</v>
      </c>
      <c r="B393" s="83">
        <v>472700</v>
      </c>
      <c r="C393" s="84" t="s">
        <v>350</v>
      </c>
      <c r="D393" s="257"/>
      <c r="E393" s="108"/>
      <c r="F393" s="108"/>
      <c r="G393" s="109">
        <f t="shared" si="112"/>
        <v>0</v>
      </c>
      <c r="H393" s="108"/>
      <c r="I393" s="108"/>
      <c r="J393" s="108"/>
      <c r="K393" s="108"/>
      <c r="L393" s="108"/>
      <c r="M393" s="110"/>
      <c r="N393" s="137" t="e">
        <f t="shared" si="106"/>
        <v>#DIV/0!</v>
      </c>
    </row>
    <row r="394" spans="1:14" ht="12.75" hidden="1" customHeight="1" x14ac:dyDescent="0.25">
      <c r="A394" s="274">
        <v>5322</v>
      </c>
      <c r="B394" s="83">
        <v>472800</v>
      </c>
      <c r="C394" s="84" t="s">
        <v>351</v>
      </c>
      <c r="D394" s="257"/>
      <c r="E394" s="108"/>
      <c r="F394" s="108"/>
      <c r="G394" s="109">
        <f t="shared" si="112"/>
        <v>0</v>
      </c>
      <c r="H394" s="108"/>
      <c r="I394" s="108"/>
      <c r="J394" s="108"/>
      <c r="K394" s="108"/>
      <c r="L394" s="108"/>
      <c r="M394" s="110"/>
      <c r="N394" s="137" t="e">
        <f t="shared" si="106"/>
        <v>#DIV/0!</v>
      </c>
    </row>
    <row r="395" spans="1:14" ht="12.75" hidden="1" customHeight="1" x14ac:dyDescent="0.25">
      <c r="A395" s="274">
        <v>5323</v>
      </c>
      <c r="B395" s="83">
        <v>472900</v>
      </c>
      <c r="C395" s="84" t="s">
        <v>352</v>
      </c>
      <c r="D395" s="257"/>
      <c r="E395" s="108"/>
      <c r="F395" s="108"/>
      <c r="G395" s="109">
        <f t="shared" si="112"/>
        <v>0</v>
      </c>
      <c r="H395" s="108"/>
      <c r="I395" s="108"/>
      <c r="J395" s="108"/>
      <c r="K395" s="108"/>
      <c r="L395" s="108"/>
      <c r="M395" s="110"/>
      <c r="N395" s="137" t="e">
        <f t="shared" si="106"/>
        <v>#DIV/0!</v>
      </c>
    </row>
    <row r="396" spans="1:14" ht="12.75" customHeight="1" x14ac:dyDescent="0.25">
      <c r="A396" s="273">
        <v>5324</v>
      </c>
      <c r="B396" s="251">
        <v>480000</v>
      </c>
      <c r="C396" s="82" t="s">
        <v>353</v>
      </c>
      <c r="D396" s="256">
        <f>D397+D400+D404+D406+D409+D415</f>
        <v>0</v>
      </c>
      <c r="E396" s="100">
        <f>E397+E400+E404+E406+E409+E415</f>
        <v>175</v>
      </c>
      <c r="F396" s="100">
        <f>F397+F400+F404+F406+F409+F415</f>
        <v>175</v>
      </c>
      <c r="G396" s="100">
        <f t="shared" si="112"/>
        <v>279</v>
      </c>
      <c r="H396" s="100">
        <f t="shared" ref="H396:M396" si="119">H397+H400+H404+H406+H409+H415</f>
        <v>0</v>
      </c>
      <c r="I396" s="100">
        <f t="shared" si="119"/>
        <v>0</v>
      </c>
      <c r="J396" s="100">
        <f t="shared" si="119"/>
        <v>0</v>
      </c>
      <c r="K396" s="100">
        <f t="shared" si="119"/>
        <v>27</v>
      </c>
      <c r="L396" s="100">
        <f t="shared" si="119"/>
        <v>0</v>
      </c>
      <c r="M396" s="101">
        <f t="shared" si="119"/>
        <v>252</v>
      </c>
      <c r="N396" s="137">
        <f t="shared" si="106"/>
        <v>1.5942857142857143</v>
      </c>
    </row>
    <row r="397" spans="1:14" ht="12.75" customHeight="1" x14ac:dyDescent="0.25">
      <c r="A397" s="273">
        <v>5325</v>
      </c>
      <c r="B397" s="251">
        <v>481000</v>
      </c>
      <c r="C397" s="82" t="s">
        <v>354</v>
      </c>
      <c r="D397" s="256">
        <f>D398+D399</f>
        <v>0</v>
      </c>
      <c r="E397" s="100">
        <f>E398+E399</f>
        <v>35</v>
      </c>
      <c r="F397" s="100">
        <f>F398+F399</f>
        <v>35</v>
      </c>
      <c r="G397" s="100">
        <f t="shared" si="112"/>
        <v>30</v>
      </c>
      <c r="H397" s="100">
        <f t="shared" ref="H397:M397" si="120">H398+H399</f>
        <v>0</v>
      </c>
      <c r="I397" s="100">
        <f t="shared" si="120"/>
        <v>0</v>
      </c>
      <c r="J397" s="100">
        <f t="shared" si="120"/>
        <v>0</v>
      </c>
      <c r="K397" s="100">
        <f t="shared" si="120"/>
        <v>0</v>
      </c>
      <c r="L397" s="100">
        <f t="shared" si="120"/>
        <v>0</v>
      </c>
      <c r="M397" s="101">
        <f t="shared" si="120"/>
        <v>30</v>
      </c>
      <c r="N397" s="137">
        <f t="shared" si="106"/>
        <v>0.8571428571428571</v>
      </c>
    </row>
    <row r="398" spans="1:14" ht="12.75" hidden="1" customHeight="1" x14ac:dyDescent="0.25">
      <c r="A398" s="274">
        <v>5326</v>
      </c>
      <c r="B398" s="83">
        <v>481100</v>
      </c>
      <c r="C398" s="84" t="s">
        <v>355</v>
      </c>
      <c r="D398" s="257"/>
      <c r="E398" s="108"/>
      <c r="F398" s="108"/>
      <c r="G398" s="109">
        <f t="shared" si="112"/>
        <v>0</v>
      </c>
      <c r="H398" s="108"/>
      <c r="I398" s="108"/>
      <c r="J398" s="108"/>
      <c r="K398" s="108"/>
      <c r="L398" s="108"/>
      <c r="M398" s="110"/>
      <c r="N398" s="137" t="e">
        <f t="shared" si="106"/>
        <v>#DIV/0!</v>
      </c>
    </row>
    <row r="399" spans="1:14" ht="12.75" customHeight="1" x14ac:dyDescent="0.25">
      <c r="A399" s="274">
        <v>5327</v>
      </c>
      <c r="B399" s="83">
        <v>481900</v>
      </c>
      <c r="C399" s="84" t="s">
        <v>356</v>
      </c>
      <c r="D399" s="257"/>
      <c r="E399" s="108">
        <v>35</v>
      </c>
      <c r="F399" s="108">
        <f>D399+E399</f>
        <v>35</v>
      </c>
      <c r="G399" s="109">
        <f t="shared" si="112"/>
        <v>30</v>
      </c>
      <c r="H399" s="108"/>
      <c r="I399" s="108"/>
      <c r="J399" s="108"/>
      <c r="K399" s="108"/>
      <c r="L399" s="108"/>
      <c r="M399" s="110">
        <v>30</v>
      </c>
      <c r="N399" s="137">
        <f t="shared" si="106"/>
        <v>0.8571428571428571</v>
      </c>
    </row>
    <row r="400" spans="1:14" ht="12.75" customHeight="1" x14ac:dyDescent="0.25">
      <c r="A400" s="273">
        <v>5328</v>
      </c>
      <c r="B400" s="251">
        <v>482000</v>
      </c>
      <c r="C400" s="82" t="s">
        <v>357</v>
      </c>
      <c r="D400" s="256">
        <f>SUM(D401:D403)</f>
        <v>0</v>
      </c>
      <c r="E400" s="100">
        <f>SUM(E401:E403)</f>
        <v>90</v>
      </c>
      <c r="F400" s="100">
        <f>SUM(F401:F403)</f>
        <v>90</v>
      </c>
      <c r="G400" s="100">
        <f t="shared" si="112"/>
        <v>73</v>
      </c>
      <c r="H400" s="100">
        <f t="shared" ref="H400:M400" si="121">SUM(H401:H403)</f>
        <v>0</v>
      </c>
      <c r="I400" s="100">
        <f t="shared" si="121"/>
        <v>0</v>
      </c>
      <c r="J400" s="100">
        <f t="shared" si="121"/>
        <v>0</v>
      </c>
      <c r="K400" s="100">
        <f t="shared" si="121"/>
        <v>27</v>
      </c>
      <c r="L400" s="100">
        <f t="shared" si="121"/>
        <v>0</v>
      </c>
      <c r="M400" s="101">
        <f t="shared" si="121"/>
        <v>46</v>
      </c>
      <c r="N400" s="137">
        <f t="shared" si="106"/>
        <v>0.81111111111111112</v>
      </c>
    </row>
    <row r="401" spans="1:14" ht="12.75" customHeight="1" x14ac:dyDescent="0.25">
      <c r="A401" s="274">
        <v>5329</v>
      </c>
      <c r="B401" s="83">
        <v>482100</v>
      </c>
      <c r="C401" s="84" t="s">
        <v>358</v>
      </c>
      <c r="D401" s="257"/>
      <c r="E401" s="231">
        <v>60</v>
      </c>
      <c r="F401" s="231">
        <f>D401+E401</f>
        <v>60</v>
      </c>
      <c r="G401" s="109">
        <f t="shared" si="112"/>
        <v>49</v>
      </c>
      <c r="H401" s="108"/>
      <c r="I401" s="108"/>
      <c r="J401" s="108"/>
      <c r="K401" s="108">
        <v>27</v>
      </c>
      <c r="L401" s="108"/>
      <c r="M401" s="110">
        <v>22</v>
      </c>
      <c r="N401" s="137">
        <f t="shared" si="106"/>
        <v>0.81666666666666665</v>
      </c>
    </row>
    <row r="402" spans="1:14" ht="12.75" customHeight="1" x14ac:dyDescent="0.25">
      <c r="A402" s="274">
        <v>5330</v>
      </c>
      <c r="B402" s="83">
        <v>482200</v>
      </c>
      <c r="C402" s="84" t="s">
        <v>359</v>
      </c>
      <c r="D402" s="257"/>
      <c r="E402" s="108">
        <v>20</v>
      </c>
      <c r="F402" s="231">
        <f t="shared" ref="F402:F403" si="122">D402+E402</f>
        <v>20</v>
      </c>
      <c r="G402" s="109">
        <f t="shared" si="112"/>
        <v>21</v>
      </c>
      <c r="H402" s="108"/>
      <c r="I402" s="108"/>
      <c r="J402" s="108"/>
      <c r="K402" s="108"/>
      <c r="L402" s="108"/>
      <c r="M402" s="110">
        <v>21</v>
      </c>
      <c r="N402" s="137">
        <f t="shared" si="106"/>
        <v>1.05</v>
      </c>
    </row>
    <row r="403" spans="1:14" ht="12.75" customHeight="1" x14ac:dyDescent="0.25">
      <c r="A403" s="274">
        <v>5331</v>
      </c>
      <c r="B403" s="83">
        <v>482300</v>
      </c>
      <c r="C403" s="84" t="s">
        <v>360</v>
      </c>
      <c r="D403" s="257"/>
      <c r="E403" s="108">
        <f>40-30</f>
        <v>10</v>
      </c>
      <c r="F403" s="231">
        <f t="shared" si="122"/>
        <v>10</v>
      </c>
      <c r="G403" s="109">
        <f t="shared" si="112"/>
        <v>3</v>
      </c>
      <c r="H403" s="108"/>
      <c r="I403" s="108"/>
      <c r="J403" s="108"/>
      <c r="K403" s="108"/>
      <c r="L403" s="108"/>
      <c r="M403" s="110">
        <v>3</v>
      </c>
      <c r="N403" s="137">
        <f t="shared" si="106"/>
        <v>0.3</v>
      </c>
    </row>
    <row r="404" spans="1:14" ht="12.75" customHeight="1" x14ac:dyDescent="0.25">
      <c r="A404" s="273">
        <v>5332</v>
      </c>
      <c r="B404" s="251">
        <v>483000</v>
      </c>
      <c r="C404" s="82" t="s">
        <v>361</v>
      </c>
      <c r="D404" s="256">
        <f>D405</f>
        <v>0</v>
      </c>
      <c r="E404" s="100">
        <f>E405</f>
        <v>50</v>
      </c>
      <c r="F404" s="100">
        <f>F405</f>
        <v>50</v>
      </c>
      <c r="G404" s="100">
        <f t="shared" si="112"/>
        <v>176</v>
      </c>
      <c r="H404" s="100">
        <f t="shared" ref="H404:M404" si="123">H405</f>
        <v>0</v>
      </c>
      <c r="I404" s="100">
        <f t="shared" si="123"/>
        <v>0</v>
      </c>
      <c r="J404" s="100">
        <f t="shared" si="123"/>
        <v>0</v>
      </c>
      <c r="K404" s="100">
        <f t="shared" si="123"/>
        <v>0</v>
      </c>
      <c r="L404" s="100">
        <f t="shared" si="123"/>
        <v>0</v>
      </c>
      <c r="M404" s="101">
        <f t="shared" si="123"/>
        <v>176</v>
      </c>
      <c r="N404" s="137">
        <f t="shared" si="106"/>
        <v>3.52</v>
      </c>
    </row>
    <row r="405" spans="1:14" ht="12.75" customHeight="1" x14ac:dyDescent="0.25">
      <c r="A405" s="274">
        <v>5333</v>
      </c>
      <c r="B405" s="83">
        <v>483100</v>
      </c>
      <c r="C405" s="84" t="s">
        <v>362</v>
      </c>
      <c r="D405" s="257"/>
      <c r="E405" s="108">
        <f>20+30</f>
        <v>50</v>
      </c>
      <c r="F405" s="108">
        <f>D405+E405</f>
        <v>50</v>
      </c>
      <c r="G405" s="109">
        <f t="shared" si="112"/>
        <v>176</v>
      </c>
      <c r="H405" s="108"/>
      <c r="I405" s="108"/>
      <c r="J405" s="108"/>
      <c r="K405" s="108"/>
      <c r="L405" s="108"/>
      <c r="M405" s="110">
        <v>176</v>
      </c>
      <c r="N405" s="137">
        <f t="shared" si="106"/>
        <v>3.52</v>
      </c>
    </row>
    <row r="406" spans="1:14" ht="12.75" hidden="1" customHeight="1" x14ac:dyDescent="0.25">
      <c r="A406" s="273">
        <v>5334</v>
      </c>
      <c r="B406" s="251">
        <v>484000</v>
      </c>
      <c r="C406" s="82" t="s">
        <v>363</v>
      </c>
      <c r="D406" s="256">
        <f>D407+D408</f>
        <v>0</v>
      </c>
      <c r="E406" s="100">
        <f>E407+E408</f>
        <v>0</v>
      </c>
      <c r="F406" s="100">
        <f>F407+F408</f>
        <v>0</v>
      </c>
      <c r="G406" s="100">
        <f t="shared" si="112"/>
        <v>0</v>
      </c>
      <c r="H406" s="100">
        <f t="shared" ref="H406:M406" si="124">H407+H408</f>
        <v>0</v>
      </c>
      <c r="I406" s="100">
        <f t="shared" si="124"/>
        <v>0</v>
      </c>
      <c r="J406" s="100">
        <f t="shared" si="124"/>
        <v>0</v>
      </c>
      <c r="K406" s="100">
        <f t="shared" si="124"/>
        <v>0</v>
      </c>
      <c r="L406" s="100">
        <f t="shared" si="124"/>
        <v>0</v>
      </c>
      <c r="M406" s="101">
        <f t="shared" si="124"/>
        <v>0</v>
      </c>
      <c r="N406" s="137" t="e">
        <f t="shared" si="106"/>
        <v>#DIV/0!</v>
      </c>
    </row>
    <row r="407" spans="1:14" ht="12.75" hidden="1" customHeight="1" x14ac:dyDescent="0.25">
      <c r="A407" s="274">
        <v>5335</v>
      </c>
      <c r="B407" s="83">
        <v>484100</v>
      </c>
      <c r="C407" s="84" t="s">
        <v>364</v>
      </c>
      <c r="D407" s="257"/>
      <c r="E407" s="108"/>
      <c r="F407" s="108"/>
      <c r="G407" s="109">
        <f t="shared" si="112"/>
        <v>0</v>
      </c>
      <c r="H407" s="108"/>
      <c r="I407" s="108"/>
      <c r="J407" s="108"/>
      <c r="K407" s="108"/>
      <c r="L407" s="108"/>
      <c r="M407" s="110"/>
      <c r="N407" s="137" t="e">
        <f t="shared" si="106"/>
        <v>#DIV/0!</v>
      </c>
    </row>
    <row r="408" spans="1:14" ht="12.75" hidden="1" customHeight="1" x14ac:dyDescent="0.25">
      <c r="A408" s="274">
        <v>5336</v>
      </c>
      <c r="B408" s="83">
        <v>484200</v>
      </c>
      <c r="C408" s="84" t="s">
        <v>365</v>
      </c>
      <c r="D408" s="257"/>
      <c r="E408" s="108"/>
      <c r="F408" s="108"/>
      <c r="G408" s="109">
        <f t="shared" si="112"/>
        <v>0</v>
      </c>
      <c r="H408" s="108"/>
      <c r="I408" s="108"/>
      <c r="J408" s="108"/>
      <c r="K408" s="108"/>
      <c r="L408" s="108"/>
      <c r="M408" s="110"/>
      <c r="N408" s="137" t="e">
        <f t="shared" si="106"/>
        <v>#DIV/0!</v>
      </c>
    </row>
    <row r="409" spans="1:14" ht="12.75" hidden="1" customHeight="1" x14ac:dyDescent="0.25">
      <c r="A409" s="273">
        <v>5337</v>
      </c>
      <c r="B409" s="251">
        <v>485000</v>
      </c>
      <c r="C409" s="82" t="s">
        <v>366</v>
      </c>
      <c r="D409" s="256">
        <f>D410</f>
        <v>0</v>
      </c>
      <c r="E409" s="100">
        <f>E410</f>
        <v>0</v>
      </c>
      <c r="F409" s="100">
        <f>F410</f>
        <v>0</v>
      </c>
      <c r="G409" s="100">
        <f t="shared" si="112"/>
        <v>0</v>
      </c>
      <c r="H409" s="100">
        <f t="shared" ref="H409:M409" si="125">H410</f>
        <v>0</v>
      </c>
      <c r="I409" s="100">
        <f t="shared" si="125"/>
        <v>0</v>
      </c>
      <c r="J409" s="100">
        <f t="shared" si="125"/>
        <v>0</v>
      </c>
      <c r="K409" s="100">
        <f t="shared" si="125"/>
        <v>0</v>
      </c>
      <c r="L409" s="100">
        <f t="shared" si="125"/>
        <v>0</v>
      </c>
      <c r="M409" s="101">
        <f t="shared" si="125"/>
        <v>0</v>
      </c>
      <c r="N409" s="137" t="e">
        <f t="shared" si="106"/>
        <v>#DIV/0!</v>
      </c>
    </row>
    <row r="410" spans="1:14" ht="12.75" hidden="1" customHeight="1" x14ac:dyDescent="0.25">
      <c r="A410" s="274">
        <v>5338</v>
      </c>
      <c r="B410" s="83">
        <v>485100</v>
      </c>
      <c r="C410" s="84" t="s">
        <v>367</v>
      </c>
      <c r="D410" s="257"/>
      <c r="E410" s="108"/>
      <c r="F410" s="108"/>
      <c r="G410" s="109">
        <f t="shared" si="112"/>
        <v>0</v>
      </c>
      <c r="H410" s="108"/>
      <c r="I410" s="108"/>
      <c r="J410" s="108"/>
      <c r="K410" s="108"/>
      <c r="L410" s="108"/>
      <c r="M410" s="110"/>
      <c r="N410" s="137" t="e">
        <f t="shared" si="106"/>
        <v>#DIV/0!</v>
      </c>
    </row>
    <row r="411" spans="1:14" ht="12.75" hidden="1" customHeight="1" x14ac:dyDescent="0.25">
      <c r="A411" s="645" t="s">
        <v>0</v>
      </c>
      <c r="B411" s="646" t="s">
        <v>1</v>
      </c>
      <c r="C411" s="585" t="s">
        <v>2</v>
      </c>
      <c r="D411" s="259" t="s">
        <v>217</v>
      </c>
      <c r="E411" s="585" t="s">
        <v>217</v>
      </c>
      <c r="F411" s="254" t="s">
        <v>217</v>
      </c>
      <c r="G411" s="575" t="s">
        <v>198</v>
      </c>
      <c r="H411" s="589"/>
      <c r="I411" s="589"/>
      <c r="J411" s="589"/>
      <c r="K411" s="589"/>
      <c r="L411" s="589"/>
      <c r="M411" s="592"/>
      <c r="N411" s="137" t="e">
        <f t="shared" si="106"/>
        <v>#VALUE!</v>
      </c>
    </row>
    <row r="412" spans="1:14" ht="12.75" hidden="1" customHeight="1" x14ac:dyDescent="0.25">
      <c r="A412" s="645"/>
      <c r="B412" s="646"/>
      <c r="C412" s="585"/>
      <c r="D412" s="259"/>
      <c r="E412" s="585"/>
      <c r="F412" s="254"/>
      <c r="G412" s="575" t="s">
        <v>199</v>
      </c>
      <c r="H412" s="575" t="s">
        <v>200</v>
      </c>
      <c r="I412" s="589"/>
      <c r="J412" s="589"/>
      <c r="K412" s="589"/>
      <c r="L412" s="575" t="s">
        <v>7</v>
      </c>
      <c r="M412" s="582" t="s">
        <v>8</v>
      </c>
      <c r="N412" s="137" t="e">
        <f t="shared" si="106"/>
        <v>#VALUE!</v>
      </c>
    </row>
    <row r="413" spans="1:14" ht="12.75" hidden="1" customHeight="1" x14ac:dyDescent="0.25">
      <c r="A413" s="645"/>
      <c r="B413" s="646"/>
      <c r="C413" s="585"/>
      <c r="D413" s="259"/>
      <c r="E413" s="585"/>
      <c r="F413" s="254"/>
      <c r="G413" s="589"/>
      <c r="H413" s="252" t="s">
        <v>201</v>
      </c>
      <c r="I413" s="252" t="s">
        <v>10</v>
      </c>
      <c r="J413" s="252" t="s">
        <v>11</v>
      </c>
      <c r="K413" s="252" t="s">
        <v>12</v>
      </c>
      <c r="L413" s="589"/>
      <c r="M413" s="592"/>
      <c r="N413" s="137" t="e">
        <f t="shared" ref="N413:N430" si="126">G413/F413</f>
        <v>#DIV/0!</v>
      </c>
    </row>
    <row r="414" spans="1:14" ht="12.75" hidden="1" customHeight="1" x14ac:dyDescent="0.25">
      <c r="A414" s="275" t="s">
        <v>18</v>
      </c>
      <c r="B414" s="95" t="s">
        <v>19</v>
      </c>
      <c r="C414" s="253" t="s">
        <v>20</v>
      </c>
      <c r="D414" s="259" t="s">
        <v>21</v>
      </c>
      <c r="E414" s="253" t="s">
        <v>21</v>
      </c>
      <c r="F414" s="253" t="s">
        <v>21</v>
      </c>
      <c r="G414" s="253" t="s">
        <v>22</v>
      </c>
      <c r="H414" s="253" t="s">
        <v>23</v>
      </c>
      <c r="I414" s="253" t="s">
        <v>24</v>
      </c>
      <c r="J414" s="253" t="s">
        <v>25</v>
      </c>
      <c r="K414" s="253" t="s">
        <v>26</v>
      </c>
      <c r="L414" s="253" t="s">
        <v>27</v>
      </c>
      <c r="M414" s="99" t="s">
        <v>28</v>
      </c>
      <c r="N414" s="137">
        <f t="shared" si="126"/>
        <v>1.25</v>
      </c>
    </row>
    <row r="415" spans="1:14" ht="12.75" hidden="1" customHeight="1" x14ac:dyDescent="0.25">
      <c r="A415" s="273">
        <v>5339</v>
      </c>
      <c r="B415" s="251">
        <v>489000</v>
      </c>
      <c r="C415" s="82" t="s">
        <v>368</v>
      </c>
      <c r="D415" s="256">
        <f>D416</f>
        <v>0</v>
      </c>
      <c r="E415" s="100">
        <f>E416</f>
        <v>0</v>
      </c>
      <c r="F415" s="100">
        <f>F416</f>
        <v>0</v>
      </c>
      <c r="G415" s="100">
        <f t="shared" si="112"/>
        <v>0</v>
      </c>
      <c r="H415" s="100">
        <f t="shared" ref="H415:M415" si="127">H416</f>
        <v>0</v>
      </c>
      <c r="I415" s="100">
        <f t="shared" si="127"/>
        <v>0</v>
      </c>
      <c r="J415" s="100">
        <f t="shared" si="127"/>
        <v>0</v>
      </c>
      <c r="K415" s="100">
        <f t="shared" si="127"/>
        <v>0</v>
      </c>
      <c r="L415" s="100">
        <f t="shared" si="127"/>
        <v>0</v>
      </c>
      <c r="M415" s="101">
        <f t="shared" si="127"/>
        <v>0</v>
      </c>
      <c r="N415" s="137" t="e">
        <f t="shared" si="126"/>
        <v>#DIV/0!</v>
      </c>
    </row>
    <row r="416" spans="1:14" ht="12.75" hidden="1" customHeight="1" x14ac:dyDescent="0.25">
      <c r="A416" s="274">
        <v>5340</v>
      </c>
      <c r="B416" s="83">
        <v>489100</v>
      </c>
      <c r="C416" s="84" t="s">
        <v>369</v>
      </c>
      <c r="D416" s="257"/>
      <c r="E416" s="108"/>
      <c r="F416" s="108"/>
      <c r="G416" s="109">
        <f t="shared" si="112"/>
        <v>0</v>
      </c>
      <c r="H416" s="108"/>
      <c r="I416" s="108"/>
      <c r="J416" s="108"/>
      <c r="K416" s="108"/>
      <c r="L416" s="108"/>
      <c r="M416" s="110"/>
      <c r="N416" s="137" t="e">
        <f t="shared" si="126"/>
        <v>#DIV/0!</v>
      </c>
    </row>
    <row r="417" spans="1:14" ht="12.75" customHeight="1" x14ac:dyDescent="0.25">
      <c r="A417" s="273">
        <v>5341</v>
      </c>
      <c r="B417" s="251">
        <v>500000</v>
      </c>
      <c r="C417" s="82" t="s">
        <v>370</v>
      </c>
      <c r="D417" s="256">
        <f>D418+D441+D454+D457+D465</f>
        <v>0</v>
      </c>
      <c r="E417" s="100">
        <f>E418+E441+E454+E457+E465</f>
        <v>27743</v>
      </c>
      <c r="F417" s="100">
        <f>F418+F441+F454+F457+F465</f>
        <v>27743</v>
      </c>
      <c r="G417" s="100">
        <f t="shared" si="112"/>
        <v>16458</v>
      </c>
      <c r="H417" s="100">
        <f t="shared" ref="H417:M417" si="128">H418+H441+H454+H457+H465</f>
        <v>9820</v>
      </c>
      <c r="I417" s="100">
        <f t="shared" si="128"/>
        <v>0</v>
      </c>
      <c r="J417" s="100">
        <f t="shared" si="128"/>
        <v>1699</v>
      </c>
      <c r="K417" s="100">
        <f t="shared" si="128"/>
        <v>0</v>
      </c>
      <c r="L417" s="100">
        <f t="shared" si="128"/>
        <v>0</v>
      </c>
      <c r="M417" s="101">
        <f t="shared" si="128"/>
        <v>4939</v>
      </c>
      <c r="N417" s="137">
        <f t="shared" si="126"/>
        <v>0.59323072486753414</v>
      </c>
    </row>
    <row r="418" spans="1:14" ht="12.75" customHeight="1" x14ac:dyDescent="0.25">
      <c r="A418" s="273">
        <v>5342</v>
      </c>
      <c r="B418" s="251">
        <v>510000</v>
      </c>
      <c r="C418" s="82" t="s">
        <v>371</v>
      </c>
      <c r="D418" s="256">
        <f>D419+D424+D435+D437+D439</f>
        <v>0</v>
      </c>
      <c r="E418" s="100">
        <f>E419+E424+E435+E437+E439</f>
        <v>27743</v>
      </c>
      <c r="F418" s="100">
        <f>F419+F424+F435+F437+F439</f>
        <v>27743</v>
      </c>
      <c r="G418" s="100">
        <f t="shared" si="112"/>
        <v>16458</v>
      </c>
      <c r="H418" s="100">
        <f t="shared" ref="H418:M418" si="129">H419+H424+H435+H437+H439</f>
        <v>9820</v>
      </c>
      <c r="I418" s="100">
        <f t="shared" si="129"/>
        <v>0</v>
      </c>
      <c r="J418" s="100">
        <f t="shared" si="129"/>
        <v>1699</v>
      </c>
      <c r="K418" s="100">
        <f t="shared" si="129"/>
        <v>0</v>
      </c>
      <c r="L418" s="100">
        <f t="shared" si="129"/>
        <v>0</v>
      </c>
      <c r="M418" s="101">
        <f t="shared" si="129"/>
        <v>4939</v>
      </c>
      <c r="N418" s="137">
        <f t="shared" si="126"/>
        <v>0.59323072486753414</v>
      </c>
    </row>
    <row r="419" spans="1:14" ht="12.75" customHeight="1" x14ac:dyDescent="0.25">
      <c r="A419" s="273">
        <v>5343</v>
      </c>
      <c r="B419" s="251">
        <v>511000</v>
      </c>
      <c r="C419" s="82" t="s">
        <v>372</v>
      </c>
      <c r="D419" s="256">
        <f>SUM(D420:D423)</f>
        <v>0</v>
      </c>
      <c r="E419" s="100">
        <f>SUM(E420:E423)</f>
        <v>2124</v>
      </c>
      <c r="F419" s="100">
        <f>SUM(F420:F423)</f>
        <v>2124</v>
      </c>
      <c r="G419" s="100">
        <f t="shared" si="112"/>
        <v>0</v>
      </c>
      <c r="H419" s="100">
        <f t="shared" ref="H419:M419" si="130">SUM(H420:H423)</f>
        <v>0</v>
      </c>
      <c r="I419" s="100">
        <f t="shared" si="130"/>
        <v>0</v>
      </c>
      <c r="J419" s="100">
        <f t="shared" si="130"/>
        <v>0</v>
      </c>
      <c r="K419" s="100">
        <f t="shared" si="130"/>
        <v>0</v>
      </c>
      <c r="L419" s="100">
        <f t="shared" si="130"/>
        <v>0</v>
      </c>
      <c r="M419" s="101">
        <f t="shared" si="130"/>
        <v>0</v>
      </c>
      <c r="N419" s="137">
        <f t="shared" si="126"/>
        <v>0</v>
      </c>
    </row>
    <row r="420" spans="1:14" ht="12.75" hidden="1" customHeight="1" x14ac:dyDescent="0.25">
      <c r="A420" s="274">
        <v>5344</v>
      </c>
      <c r="B420" s="83">
        <v>511100</v>
      </c>
      <c r="C420" s="84" t="s">
        <v>373</v>
      </c>
      <c r="D420" s="257"/>
      <c r="E420" s="108"/>
      <c r="F420" s="108"/>
      <c r="G420" s="109">
        <f t="shared" si="112"/>
        <v>0</v>
      </c>
      <c r="H420" s="108"/>
      <c r="I420" s="108"/>
      <c r="J420" s="108"/>
      <c r="K420" s="108"/>
      <c r="L420" s="108"/>
      <c r="M420" s="110"/>
      <c r="N420" s="137" t="e">
        <f t="shared" si="126"/>
        <v>#DIV/0!</v>
      </c>
    </row>
    <row r="421" spans="1:14" ht="12.75" hidden="1" customHeight="1" x14ac:dyDescent="0.25">
      <c r="A421" s="274">
        <v>5345</v>
      </c>
      <c r="B421" s="83">
        <v>511200</v>
      </c>
      <c r="C421" s="84" t="s">
        <v>374</v>
      </c>
      <c r="D421" s="257"/>
      <c r="E421" s="108"/>
      <c r="F421" s="108"/>
      <c r="G421" s="109">
        <f t="shared" si="112"/>
        <v>0</v>
      </c>
      <c r="H421" s="108"/>
      <c r="I421" s="108"/>
      <c r="J421" s="108"/>
      <c r="K421" s="108"/>
      <c r="L421" s="108"/>
      <c r="M421" s="110"/>
      <c r="N421" s="137" t="e">
        <f t="shared" si="126"/>
        <v>#DIV/0!</v>
      </c>
    </row>
    <row r="422" spans="1:14" ht="12.75" customHeight="1" x14ac:dyDescent="0.25">
      <c r="A422" s="274">
        <v>5346</v>
      </c>
      <c r="B422" s="83">
        <v>511300</v>
      </c>
      <c r="C422" s="84" t="s">
        <v>375</v>
      </c>
      <c r="D422" s="257"/>
      <c r="E422" s="108">
        <v>2124</v>
      </c>
      <c r="F422" s="108">
        <f>D422+E422</f>
        <v>2124</v>
      </c>
      <c r="G422" s="109">
        <f t="shared" si="112"/>
        <v>0</v>
      </c>
      <c r="H422" s="108"/>
      <c r="I422" s="108"/>
      <c r="J422" s="108"/>
      <c r="K422" s="108"/>
      <c r="L422" s="108"/>
      <c r="M422" s="110"/>
      <c r="N422" s="137">
        <f t="shared" si="126"/>
        <v>0</v>
      </c>
    </row>
    <row r="423" spans="1:14" ht="12.75" hidden="1" customHeight="1" x14ac:dyDescent="0.25">
      <c r="A423" s="274">
        <v>5347</v>
      </c>
      <c r="B423" s="83">
        <v>511400</v>
      </c>
      <c r="C423" s="84" t="s">
        <v>376</v>
      </c>
      <c r="D423" s="257"/>
      <c r="E423" s="108"/>
      <c r="F423" s="108"/>
      <c r="G423" s="109">
        <f t="shared" si="112"/>
        <v>0</v>
      </c>
      <c r="H423" s="108"/>
      <c r="I423" s="108"/>
      <c r="J423" s="108"/>
      <c r="K423" s="108"/>
      <c r="L423" s="108"/>
      <c r="M423" s="110"/>
      <c r="N423" s="137" t="e">
        <f t="shared" si="126"/>
        <v>#DIV/0!</v>
      </c>
    </row>
    <row r="424" spans="1:14" ht="12.75" customHeight="1" x14ac:dyDescent="0.25">
      <c r="A424" s="273">
        <v>5348</v>
      </c>
      <c r="B424" s="251">
        <v>512000</v>
      </c>
      <c r="C424" s="82" t="s">
        <v>377</v>
      </c>
      <c r="D424" s="256">
        <f>SUM(D425:D434)</f>
        <v>0</v>
      </c>
      <c r="E424" s="100">
        <f>SUM(E425:E434)</f>
        <v>25619</v>
      </c>
      <c r="F424" s="100">
        <f>SUM(F425:F434)</f>
        <v>25619</v>
      </c>
      <c r="G424" s="100">
        <f t="shared" si="112"/>
        <v>16458</v>
      </c>
      <c r="H424" s="100">
        <f t="shared" ref="H424:M424" si="131">SUM(H425:H434)</f>
        <v>9820</v>
      </c>
      <c r="I424" s="100">
        <f t="shared" si="131"/>
        <v>0</v>
      </c>
      <c r="J424" s="100">
        <f t="shared" si="131"/>
        <v>1699</v>
      </c>
      <c r="K424" s="100">
        <f t="shared" si="131"/>
        <v>0</v>
      </c>
      <c r="L424" s="100">
        <f t="shared" si="131"/>
        <v>0</v>
      </c>
      <c r="M424" s="101">
        <f t="shared" si="131"/>
        <v>4939</v>
      </c>
      <c r="N424" s="137">
        <f t="shared" si="126"/>
        <v>0.64241383348296188</v>
      </c>
    </row>
    <row r="425" spans="1:14" ht="12.75" hidden="1" customHeight="1" x14ac:dyDescent="0.25">
      <c r="A425" s="274">
        <v>5349</v>
      </c>
      <c r="B425" s="83">
        <v>512100</v>
      </c>
      <c r="C425" s="84" t="s">
        <v>378</v>
      </c>
      <c r="D425" s="257"/>
      <c r="E425" s="108"/>
      <c r="F425" s="108"/>
      <c r="G425" s="100">
        <f t="shared" si="112"/>
        <v>0</v>
      </c>
      <c r="H425" s="108"/>
      <c r="I425" s="108"/>
      <c r="J425" s="108"/>
      <c r="K425" s="108"/>
      <c r="L425" s="108"/>
      <c r="M425" s="110"/>
      <c r="N425" s="137" t="e">
        <f t="shared" si="126"/>
        <v>#DIV/0!</v>
      </c>
    </row>
    <row r="426" spans="1:14" ht="12.75" customHeight="1" x14ac:dyDescent="0.25">
      <c r="A426" s="274">
        <v>5349</v>
      </c>
      <c r="B426" s="83">
        <v>512100</v>
      </c>
      <c r="C426" s="84" t="s">
        <v>378</v>
      </c>
      <c r="D426" s="257"/>
      <c r="E426" s="231">
        <v>3848</v>
      </c>
      <c r="F426" s="231">
        <f>D426+E426</f>
        <v>3848</v>
      </c>
      <c r="G426" s="234">
        <f t="shared" si="112"/>
        <v>3568</v>
      </c>
      <c r="H426" s="108"/>
      <c r="I426" s="108"/>
      <c r="J426" s="108"/>
      <c r="K426" s="108"/>
      <c r="L426" s="108"/>
      <c r="M426" s="110">
        <v>3568</v>
      </c>
      <c r="N426" s="137">
        <f t="shared" si="126"/>
        <v>0.92723492723492729</v>
      </c>
    </row>
    <row r="427" spans="1:14" ht="12.75" customHeight="1" x14ac:dyDescent="0.25">
      <c r="A427" s="274">
        <v>5350</v>
      </c>
      <c r="B427" s="83">
        <v>512200</v>
      </c>
      <c r="C427" s="84" t="s">
        <v>379</v>
      </c>
      <c r="D427" s="257"/>
      <c r="E427" s="108">
        <v>1376</v>
      </c>
      <c r="F427" s="231">
        <f t="shared" ref="F427:F430" si="132">D427+E427</f>
        <v>1376</v>
      </c>
      <c r="G427" s="109">
        <f t="shared" si="112"/>
        <v>1371</v>
      </c>
      <c r="H427" s="108"/>
      <c r="I427" s="108"/>
      <c r="J427" s="108"/>
      <c r="K427" s="108"/>
      <c r="L427" s="108"/>
      <c r="M427" s="110">
        <v>1371</v>
      </c>
      <c r="N427" s="137">
        <f t="shared" si="126"/>
        <v>0.99636627906976749</v>
      </c>
    </row>
    <row r="428" spans="1:14" ht="12.75" hidden="1" customHeight="1" x14ac:dyDescent="0.25">
      <c r="A428" s="274">
        <v>5351</v>
      </c>
      <c r="B428" s="83">
        <v>512300</v>
      </c>
      <c r="C428" s="84" t="s">
        <v>380</v>
      </c>
      <c r="D428" s="257"/>
      <c r="E428" s="108"/>
      <c r="F428" s="231">
        <f t="shared" si="132"/>
        <v>0</v>
      </c>
      <c r="G428" s="109">
        <f t="shared" si="112"/>
        <v>0</v>
      </c>
      <c r="H428" s="108"/>
      <c r="I428" s="108"/>
      <c r="J428" s="108"/>
      <c r="K428" s="108"/>
      <c r="L428" s="108"/>
      <c r="M428" s="110"/>
      <c r="N428" s="137" t="e">
        <f t="shared" si="126"/>
        <v>#DIV/0!</v>
      </c>
    </row>
    <row r="429" spans="1:14" ht="12.75" hidden="1" customHeight="1" x14ac:dyDescent="0.25">
      <c r="A429" s="274">
        <v>5352</v>
      </c>
      <c r="B429" s="83">
        <v>512400</v>
      </c>
      <c r="C429" s="84" t="s">
        <v>381</v>
      </c>
      <c r="D429" s="257"/>
      <c r="E429" s="108"/>
      <c r="F429" s="231">
        <f t="shared" si="132"/>
        <v>0</v>
      </c>
      <c r="G429" s="109">
        <f t="shared" si="112"/>
        <v>0</v>
      </c>
      <c r="H429" s="108"/>
      <c r="I429" s="108"/>
      <c r="J429" s="108"/>
      <c r="K429" s="108"/>
      <c r="L429" s="108"/>
      <c r="M429" s="110"/>
      <c r="N429" s="137" t="e">
        <f t="shared" si="126"/>
        <v>#DIV/0!</v>
      </c>
    </row>
    <row r="430" spans="1:14" ht="12.75" customHeight="1" x14ac:dyDescent="0.25">
      <c r="A430" s="274">
        <v>5353</v>
      </c>
      <c r="B430" s="83">
        <v>512500</v>
      </c>
      <c r="C430" s="84" t="s">
        <v>382</v>
      </c>
      <c r="D430" s="257"/>
      <c r="E430" s="108">
        <v>20395</v>
      </c>
      <c r="F430" s="231">
        <f t="shared" si="132"/>
        <v>20395</v>
      </c>
      <c r="G430" s="109">
        <f t="shared" si="112"/>
        <v>11519</v>
      </c>
      <c r="H430" s="108">
        <v>9820</v>
      </c>
      <c r="I430" s="108"/>
      <c r="J430" s="108">
        <v>1699</v>
      </c>
      <c r="K430" s="108"/>
      <c r="L430" s="108"/>
      <c r="M430" s="110"/>
      <c r="N430" s="137">
        <f t="shared" si="126"/>
        <v>0.5647952929639618</v>
      </c>
    </row>
    <row r="431" spans="1:14" ht="12.75" hidden="1" customHeight="1" x14ac:dyDescent="0.25">
      <c r="A431" s="274">
        <v>5354</v>
      </c>
      <c r="B431" s="83">
        <v>512600</v>
      </c>
      <c r="C431" s="84" t="s">
        <v>383</v>
      </c>
      <c r="D431" s="257"/>
      <c r="E431" s="108"/>
      <c r="F431" s="108"/>
      <c r="G431" s="109">
        <f t="shared" si="112"/>
        <v>0</v>
      </c>
      <c r="H431" s="108"/>
      <c r="I431" s="108"/>
      <c r="J431" s="108"/>
      <c r="K431" s="108"/>
      <c r="L431" s="108"/>
      <c r="M431" s="110"/>
      <c r="N431" s="137" t="e">
        <f>G431/F431</f>
        <v>#DIV/0!</v>
      </c>
    </row>
    <row r="432" spans="1:14" ht="12.75" hidden="1" customHeight="1" x14ac:dyDescent="0.25">
      <c r="A432" s="274">
        <v>5355</v>
      </c>
      <c r="B432" s="83">
        <v>512700</v>
      </c>
      <c r="C432" s="84" t="s">
        <v>384</v>
      </c>
      <c r="D432" s="257"/>
      <c r="E432" s="108"/>
      <c r="F432" s="108"/>
      <c r="G432" s="109">
        <f t="shared" si="112"/>
        <v>0</v>
      </c>
      <c r="H432" s="108"/>
      <c r="I432" s="108"/>
      <c r="J432" s="108"/>
      <c r="K432" s="108"/>
      <c r="L432" s="108"/>
      <c r="M432" s="110"/>
      <c r="N432" s="137" t="e">
        <f t="shared" ref="N432:N495" si="133">G432/F432</f>
        <v>#DIV/0!</v>
      </c>
    </row>
    <row r="433" spans="1:14" ht="12.75" hidden="1" customHeight="1" x14ac:dyDescent="0.25">
      <c r="A433" s="274">
        <v>5356</v>
      </c>
      <c r="B433" s="83">
        <v>512800</v>
      </c>
      <c r="C433" s="84" t="s">
        <v>385</v>
      </c>
      <c r="D433" s="257"/>
      <c r="E433" s="108"/>
      <c r="F433" s="108"/>
      <c r="G433" s="109">
        <f t="shared" si="112"/>
        <v>0</v>
      </c>
      <c r="H433" s="108"/>
      <c r="I433" s="108"/>
      <c r="J433" s="108"/>
      <c r="K433" s="108"/>
      <c r="L433" s="108"/>
      <c r="M433" s="110"/>
      <c r="N433" s="137" t="e">
        <f t="shared" si="133"/>
        <v>#DIV/0!</v>
      </c>
    </row>
    <row r="434" spans="1:14" ht="12.75" hidden="1" customHeight="1" x14ac:dyDescent="0.25">
      <c r="A434" s="274">
        <v>5357</v>
      </c>
      <c r="B434" s="83">
        <v>512900</v>
      </c>
      <c r="C434" s="84" t="s">
        <v>386</v>
      </c>
      <c r="D434" s="257"/>
      <c r="E434" s="108"/>
      <c r="F434" s="108"/>
      <c r="G434" s="109">
        <f t="shared" si="112"/>
        <v>0</v>
      </c>
      <c r="H434" s="108"/>
      <c r="I434" s="108"/>
      <c r="J434" s="108"/>
      <c r="K434" s="108"/>
      <c r="L434" s="108"/>
      <c r="M434" s="110"/>
      <c r="N434" s="137" t="e">
        <f t="shared" si="133"/>
        <v>#DIV/0!</v>
      </c>
    </row>
    <row r="435" spans="1:14" ht="12.75" hidden="1" customHeight="1" x14ac:dyDescent="0.25">
      <c r="A435" s="273">
        <v>5358</v>
      </c>
      <c r="B435" s="251">
        <v>513000</v>
      </c>
      <c r="C435" s="82" t="s">
        <v>387</v>
      </c>
      <c r="D435" s="256">
        <f>D436</f>
        <v>0</v>
      </c>
      <c r="E435" s="100">
        <f>E436</f>
        <v>0</v>
      </c>
      <c r="F435" s="100">
        <f>F436</f>
        <v>0</v>
      </c>
      <c r="G435" s="100">
        <f t="shared" si="112"/>
        <v>0</v>
      </c>
      <c r="H435" s="100">
        <f t="shared" ref="H435:M435" si="134">H436</f>
        <v>0</v>
      </c>
      <c r="I435" s="100">
        <f t="shared" si="134"/>
        <v>0</v>
      </c>
      <c r="J435" s="100">
        <f t="shared" si="134"/>
        <v>0</v>
      </c>
      <c r="K435" s="100">
        <f t="shared" si="134"/>
        <v>0</v>
      </c>
      <c r="L435" s="100">
        <f t="shared" si="134"/>
        <v>0</v>
      </c>
      <c r="M435" s="101">
        <f t="shared" si="134"/>
        <v>0</v>
      </c>
      <c r="N435" s="137" t="e">
        <f t="shared" si="133"/>
        <v>#DIV/0!</v>
      </c>
    </row>
    <row r="436" spans="1:14" ht="12.75" hidden="1" customHeight="1" x14ac:dyDescent="0.25">
      <c r="A436" s="274">
        <v>5359</v>
      </c>
      <c r="B436" s="83">
        <v>513100</v>
      </c>
      <c r="C436" s="84" t="s">
        <v>388</v>
      </c>
      <c r="D436" s="257"/>
      <c r="E436" s="108"/>
      <c r="F436" s="108"/>
      <c r="G436" s="109">
        <f t="shared" si="112"/>
        <v>0</v>
      </c>
      <c r="H436" s="108"/>
      <c r="I436" s="108"/>
      <c r="J436" s="108"/>
      <c r="K436" s="108"/>
      <c r="L436" s="108"/>
      <c r="M436" s="110"/>
      <c r="N436" s="137" t="e">
        <f t="shared" si="133"/>
        <v>#DIV/0!</v>
      </c>
    </row>
    <row r="437" spans="1:14" ht="12.75" hidden="1" customHeight="1" x14ac:dyDescent="0.25">
      <c r="A437" s="273">
        <v>5360</v>
      </c>
      <c r="B437" s="251">
        <v>514000</v>
      </c>
      <c r="C437" s="82" t="s">
        <v>389</v>
      </c>
      <c r="D437" s="256">
        <f>D438</f>
        <v>0</v>
      </c>
      <c r="E437" s="100">
        <f>E438</f>
        <v>0</v>
      </c>
      <c r="F437" s="100">
        <f>F438</f>
        <v>0</v>
      </c>
      <c r="G437" s="100">
        <f t="shared" si="112"/>
        <v>0</v>
      </c>
      <c r="H437" s="100">
        <f t="shared" ref="H437:M437" si="135">H438</f>
        <v>0</v>
      </c>
      <c r="I437" s="100">
        <f t="shared" si="135"/>
        <v>0</v>
      </c>
      <c r="J437" s="100">
        <f t="shared" si="135"/>
        <v>0</v>
      </c>
      <c r="K437" s="100">
        <f t="shared" si="135"/>
        <v>0</v>
      </c>
      <c r="L437" s="100">
        <f t="shared" si="135"/>
        <v>0</v>
      </c>
      <c r="M437" s="101">
        <f t="shared" si="135"/>
        <v>0</v>
      </c>
      <c r="N437" s="137" t="e">
        <f t="shared" si="133"/>
        <v>#DIV/0!</v>
      </c>
    </row>
    <row r="438" spans="1:14" ht="12.75" hidden="1" customHeight="1" x14ac:dyDescent="0.25">
      <c r="A438" s="274">
        <v>5361</v>
      </c>
      <c r="B438" s="83">
        <v>514100</v>
      </c>
      <c r="C438" s="84" t="s">
        <v>390</v>
      </c>
      <c r="D438" s="257"/>
      <c r="E438" s="108"/>
      <c r="F438" s="108"/>
      <c r="G438" s="109">
        <f t="shared" si="112"/>
        <v>0</v>
      </c>
      <c r="H438" s="108"/>
      <c r="I438" s="108"/>
      <c r="J438" s="108"/>
      <c r="K438" s="108"/>
      <c r="L438" s="108"/>
      <c r="M438" s="110"/>
      <c r="N438" s="137" t="e">
        <f t="shared" si="133"/>
        <v>#DIV/0!</v>
      </c>
    </row>
    <row r="439" spans="1:14" ht="12.75" hidden="1" customHeight="1" x14ac:dyDescent="0.25">
      <c r="A439" s="273">
        <v>5362</v>
      </c>
      <c r="B439" s="251">
        <v>515000</v>
      </c>
      <c r="C439" s="82" t="s">
        <v>391</v>
      </c>
      <c r="D439" s="256">
        <f>D440</f>
        <v>0</v>
      </c>
      <c r="E439" s="100">
        <f>E440</f>
        <v>0</v>
      </c>
      <c r="F439" s="100">
        <f>F440</f>
        <v>0</v>
      </c>
      <c r="G439" s="100">
        <f t="shared" si="112"/>
        <v>0</v>
      </c>
      <c r="H439" s="100">
        <f t="shared" ref="H439:M439" si="136">H440</f>
        <v>0</v>
      </c>
      <c r="I439" s="100">
        <f t="shared" si="136"/>
        <v>0</v>
      </c>
      <c r="J439" s="100">
        <f t="shared" si="136"/>
        <v>0</v>
      </c>
      <c r="K439" s="100">
        <f t="shared" si="136"/>
        <v>0</v>
      </c>
      <c r="L439" s="100">
        <f t="shared" si="136"/>
        <v>0</v>
      </c>
      <c r="M439" s="101">
        <f t="shared" si="136"/>
        <v>0</v>
      </c>
      <c r="N439" s="137" t="e">
        <f t="shared" si="133"/>
        <v>#DIV/0!</v>
      </c>
    </row>
    <row r="440" spans="1:14" ht="12.75" hidden="1" customHeight="1" x14ac:dyDescent="0.25">
      <c r="A440" s="274">
        <v>5363</v>
      </c>
      <c r="B440" s="83">
        <v>515100</v>
      </c>
      <c r="C440" s="84" t="s">
        <v>392</v>
      </c>
      <c r="D440" s="257"/>
      <c r="E440" s="108"/>
      <c r="F440" s="108">
        <f>D440+E440</f>
        <v>0</v>
      </c>
      <c r="G440" s="109">
        <f t="shared" si="112"/>
        <v>0</v>
      </c>
      <c r="H440" s="108"/>
      <c r="I440" s="108"/>
      <c r="J440" s="108"/>
      <c r="K440" s="108"/>
      <c r="L440" s="108"/>
      <c r="M440" s="110"/>
      <c r="N440" s="137" t="e">
        <f t="shared" si="133"/>
        <v>#DIV/0!</v>
      </c>
    </row>
    <row r="441" spans="1:14" ht="12.75" hidden="1" customHeight="1" x14ac:dyDescent="0.25">
      <c r="A441" s="273">
        <v>5364</v>
      </c>
      <c r="B441" s="251">
        <v>520000</v>
      </c>
      <c r="C441" s="82" t="s">
        <v>393</v>
      </c>
      <c r="D441" s="256">
        <f>D442+D444+D452</f>
        <v>0</v>
      </c>
      <c r="E441" s="100">
        <f>E442+E444+E452</f>
        <v>0</v>
      </c>
      <c r="F441" s="100">
        <f>F442+F444+F452</f>
        <v>0</v>
      </c>
      <c r="G441" s="100">
        <f t="shared" ref="G441:G518" si="137">SUM(H441:M441)</f>
        <v>0</v>
      </c>
      <c r="H441" s="100">
        <f t="shared" ref="H441:M441" si="138">H442+H444+H452</f>
        <v>0</v>
      </c>
      <c r="I441" s="100">
        <f t="shared" si="138"/>
        <v>0</v>
      </c>
      <c r="J441" s="100">
        <f t="shared" si="138"/>
        <v>0</v>
      </c>
      <c r="K441" s="100">
        <f t="shared" si="138"/>
        <v>0</v>
      </c>
      <c r="L441" s="100">
        <f t="shared" si="138"/>
        <v>0</v>
      </c>
      <c r="M441" s="101">
        <f t="shared" si="138"/>
        <v>0</v>
      </c>
      <c r="N441" s="137" t="e">
        <f t="shared" si="133"/>
        <v>#DIV/0!</v>
      </c>
    </row>
    <row r="442" spans="1:14" ht="12.75" hidden="1" customHeight="1" x14ac:dyDescent="0.25">
      <c r="A442" s="273">
        <v>5365</v>
      </c>
      <c r="B442" s="251">
        <v>521000</v>
      </c>
      <c r="C442" s="82" t="s">
        <v>394</v>
      </c>
      <c r="D442" s="256">
        <f>D443</f>
        <v>0</v>
      </c>
      <c r="E442" s="100">
        <f>E443</f>
        <v>0</v>
      </c>
      <c r="F442" s="100">
        <f>F443</f>
        <v>0</v>
      </c>
      <c r="G442" s="100">
        <f t="shared" si="137"/>
        <v>0</v>
      </c>
      <c r="H442" s="100">
        <f t="shared" ref="H442:M442" si="139">H443</f>
        <v>0</v>
      </c>
      <c r="I442" s="100">
        <f t="shared" si="139"/>
        <v>0</v>
      </c>
      <c r="J442" s="100">
        <f t="shared" si="139"/>
        <v>0</v>
      </c>
      <c r="K442" s="100">
        <f t="shared" si="139"/>
        <v>0</v>
      </c>
      <c r="L442" s="100">
        <f t="shared" si="139"/>
        <v>0</v>
      </c>
      <c r="M442" s="101">
        <f t="shared" si="139"/>
        <v>0</v>
      </c>
      <c r="N442" s="137" t="e">
        <f t="shared" si="133"/>
        <v>#DIV/0!</v>
      </c>
    </row>
    <row r="443" spans="1:14" ht="12.75" hidden="1" customHeight="1" x14ac:dyDescent="0.25">
      <c r="A443" s="274">
        <v>5366</v>
      </c>
      <c r="B443" s="83">
        <v>521100</v>
      </c>
      <c r="C443" s="84" t="s">
        <v>395</v>
      </c>
      <c r="D443" s="257"/>
      <c r="E443" s="108"/>
      <c r="F443" s="108"/>
      <c r="G443" s="109">
        <f t="shared" si="137"/>
        <v>0</v>
      </c>
      <c r="H443" s="108"/>
      <c r="I443" s="108"/>
      <c r="J443" s="108"/>
      <c r="K443" s="108"/>
      <c r="L443" s="108"/>
      <c r="M443" s="110"/>
      <c r="N443" s="137" t="e">
        <f t="shared" si="133"/>
        <v>#DIV/0!</v>
      </c>
    </row>
    <row r="444" spans="1:14" ht="12.75" hidden="1" customHeight="1" x14ac:dyDescent="0.25">
      <c r="A444" s="273">
        <v>5367</v>
      </c>
      <c r="B444" s="251">
        <v>522000</v>
      </c>
      <c r="C444" s="82" t="s">
        <v>396</v>
      </c>
      <c r="D444" s="256">
        <f>SUM(D445:D451)</f>
        <v>0</v>
      </c>
      <c r="E444" s="100">
        <f>SUM(E445:E451)</f>
        <v>0</v>
      </c>
      <c r="F444" s="100">
        <f>SUM(F445:F451)</f>
        <v>0</v>
      </c>
      <c r="G444" s="100">
        <f t="shared" si="137"/>
        <v>0</v>
      </c>
      <c r="H444" s="100">
        <f t="shared" ref="H444:M444" si="140">SUM(H445:H451)</f>
        <v>0</v>
      </c>
      <c r="I444" s="100">
        <f t="shared" si="140"/>
        <v>0</v>
      </c>
      <c r="J444" s="100">
        <f t="shared" si="140"/>
        <v>0</v>
      </c>
      <c r="K444" s="100">
        <f t="shared" si="140"/>
        <v>0</v>
      </c>
      <c r="L444" s="100">
        <f t="shared" si="140"/>
        <v>0</v>
      </c>
      <c r="M444" s="101">
        <f t="shared" si="140"/>
        <v>0</v>
      </c>
      <c r="N444" s="137" t="e">
        <f t="shared" si="133"/>
        <v>#DIV/0!</v>
      </c>
    </row>
    <row r="445" spans="1:14" ht="12.75" hidden="1" customHeight="1" x14ac:dyDescent="0.25">
      <c r="A445" s="274">
        <v>5368</v>
      </c>
      <c r="B445" s="83">
        <v>522100</v>
      </c>
      <c r="C445" s="84" t="s">
        <v>397</v>
      </c>
      <c r="D445" s="257"/>
      <c r="E445" s="108"/>
      <c r="F445" s="108"/>
      <c r="G445" s="109">
        <f t="shared" si="137"/>
        <v>0</v>
      </c>
      <c r="H445" s="108"/>
      <c r="I445" s="108"/>
      <c r="J445" s="108"/>
      <c r="K445" s="108"/>
      <c r="L445" s="108"/>
      <c r="M445" s="110"/>
      <c r="N445" s="137" t="e">
        <f t="shared" si="133"/>
        <v>#DIV/0!</v>
      </c>
    </row>
    <row r="446" spans="1:14" ht="12.75" hidden="1" customHeight="1" x14ac:dyDescent="0.25">
      <c r="A446" s="645" t="s">
        <v>0</v>
      </c>
      <c r="B446" s="646" t="s">
        <v>1</v>
      </c>
      <c r="C446" s="585" t="s">
        <v>2</v>
      </c>
      <c r="D446" s="259" t="s">
        <v>217</v>
      </c>
      <c r="E446" s="585" t="s">
        <v>217</v>
      </c>
      <c r="F446" s="254" t="s">
        <v>217</v>
      </c>
      <c r="G446" s="575" t="s">
        <v>198</v>
      </c>
      <c r="H446" s="589"/>
      <c r="I446" s="589"/>
      <c r="J446" s="589"/>
      <c r="K446" s="589"/>
      <c r="L446" s="589"/>
      <c r="M446" s="592"/>
      <c r="N446" s="137" t="e">
        <f t="shared" si="133"/>
        <v>#VALUE!</v>
      </c>
    </row>
    <row r="447" spans="1:14" ht="12.75" hidden="1" customHeight="1" x14ac:dyDescent="0.25">
      <c r="A447" s="645"/>
      <c r="B447" s="646"/>
      <c r="C447" s="585"/>
      <c r="D447" s="259"/>
      <c r="E447" s="585"/>
      <c r="F447" s="254"/>
      <c r="G447" s="575" t="s">
        <v>199</v>
      </c>
      <c r="H447" s="575" t="s">
        <v>200</v>
      </c>
      <c r="I447" s="589"/>
      <c r="J447" s="589"/>
      <c r="K447" s="589"/>
      <c r="L447" s="575" t="s">
        <v>7</v>
      </c>
      <c r="M447" s="582" t="s">
        <v>8</v>
      </c>
      <c r="N447" s="137" t="e">
        <f t="shared" si="133"/>
        <v>#VALUE!</v>
      </c>
    </row>
    <row r="448" spans="1:14" ht="12.75" hidden="1" customHeight="1" x14ac:dyDescent="0.25">
      <c r="A448" s="645"/>
      <c r="B448" s="646"/>
      <c r="C448" s="585"/>
      <c r="D448" s="259"/>
      <c r="E448" s="585"/>
      <c r="F448" s="254"/>
      <c r="G448" s="589"/>
      <c r="H448" s="252" t="s">
        <v>201</v>
      </c>
      <c r="I448" s="252" t="s">
        <v>10</v>
      </c>
      <c r="J448" s="252" t="s">
        <v>11</v>
      </c>
      <c r="K448" s="252" t="s">
        <v>12</v>
      </c>
      <c r="L448" s="589"/>
      <c r="M448" s="592"/>
      <c r="N448" s="137" t="e">
        <f t="shared" si="133"/>
        <v>#DIV/0!</v>
      </c>
    </row>
    <row r="449" spans="1:14" ht="12.75" hidden="1" customHeight="1" x14ac:dyDescent="0.25">
      <c r="A449" s="275" t="s">
        <v>18</v>
      </c>
      <c r="B449" s="95" t="s">
        <v>19</v>
      </c>
      <c r="C449" s="253" t="s">
        <v>20</v>
      </c>
      <c r="D449" s="259" t="s">
        <v>21</v>
      </c>
      <c r="E449" s="253" t="s">
        <v>21</v>
      </c>
      <c r="F449" s="253" t="s">
        <v>21</v>
      </c>
      <c r="G449" s="253" t="s">
        <v>22</v>
      </c>
      <c r="H449" s="253" t="s">
        <v>23</v>
      </c>
      <c r="I449" s="253" t="s">
        <v>24</v>
      </c>
      <c r="J449" s="253" t="s">
        <v>25</v>
      </c>
      <c r="K449" s="253" t="s">
        <v>26</v>
      </c>
      <c r="L449" s="253" t="s">
        <v>27</v>
      </c>
      <c r="M449" s="99" t="s">
        <v>28</v>
      </c>
      <c r="N449" s="137">
        <f t="shared" si="133"/>
        <v>1.25</v>
      </c>
    </row>
    <row r="450" spans="1:14" ht="12.75" hidden="1" customHeight="1" x14ac:dyDescent="0.25">
      <c r="A450" s="274">
        <v>5369</v>
      </c>
      <c r="B450" s="83">
        <v>522200</v>
      </c>
      <c r="C450" s="84" t="s">
        <v>398</v>
      </c>
      <c r="D450" s="257"/>
      <c r="E450" s="108"/>
      <c r="F450" s="108"/>
      <c r="G450" s="109">
        <f t="shared" si="137"/>
        <v>0</v>
      </c>
      <c r="H450" s="108"/>
      <c r="I450" s="108"/>
      <c r="J450" s="108"/>
      <c r="K450" s="108"/>
      <c r="L450" s="108"/>
      <c r="M450" s="110"/>
      <c r="N450" s="137" t="e">
        <f t="shared" si="133"/>
        <v>#DIV/0!</v>
      </c>
    </row>
    <row r="451" spans="1:14" ht="12.75" hidden="1" customHeight="1" x14ac:dyDescent="0.25">
      <c r="A451" s="274">
        <v>5370</v>
      </c>
      <c r="B451" s="83">
        <v>522300</v>
      </c>
      <c r="C451" s="84" t="s">
        <v>399</v>
      </c>
      <c r="D451" s="257"/>
      <c r="E451" s="108"/>
      <c r="F451" s="108"/>
      <c r="G451" s="109">
        <f t="shared" si="137"/>
        <v>0</v>
      </c>
      <c r="H451" s="108"/>
      <c r="I451" s="108"/>
      <c r="J451" s="108"/>
      <c r="K451" s="108"/>
      <c r="L451" s="108"/>
      <c r="M451" s="110"/>
      <c r="N451" s="137" t="e">
        <f t="shared" si="133"/>
        <v>#DIV/0!</v>
      </c>
    </row>
    <row r="452" spans="1:14" ht="12.75" hidden="1" customHeight="1" x14ac:dyDescent="0.25">
      <c r="A452" s="273">
        <v>5371</v>
      </c>
      <c r="B452" s="251">
        <v>523000</v>
      </c>
      <c r="C452" s="82" t="s">
        <v>400</v>
      </c>
      <c r="D452" s="256">
        <f>D453</f>
        <v>0</v>
      </c>
      <c r="E452" s="100">
        <f>E453</f>
        <v>0</v>
      </c>
      <c r="F452" s="100">
        <f>F453</f>
        <v>0</v>
      </c>
      <c r="G452" s="100">
        <f t="shared" si="137"/>
        <v>0</v>
      </c>
      <c r="H452" s="100">
        <f t="shared" ref="H452:M452" si="141">H453</f>
        <v>0</v>
      </c>
      <c r="I452" s="100">
        <f t="shared" si="141"/>
        <v>0</v>
      </c>
      <c r="J452" s="100">
        <f t="shared" si="141"/>
        <v>0</v>
      </c>
      <c r="K452" s="100">
        <f t="shared" si="141"/>
        <v>0</v>
      </c>
      <c r="L452" s="100">
        <f t="shared" si="141"/>
        <v>0</v>
      </c>
      <c r="M452" s="101">
        <f t="shared" si="141"/>
        <v>0</v>
      </c>
      <c r="N452" s="137" t="e">
        <f t="shared" si="133"/>
        <v>#DIV/0!</v>
      </c>
    </row>
    <row r="453" spans="1:14" ht="12.75" hidden="1" customHeight="1" x14ac:dyDescent="0.25">
      <c r="A453" s="274">
        <v>5372</v>
      </c>
      <c r="B453" s="83">
        <v>523100</v>
      </c>
      <c r="C453" s="84" t="s">
        <v>401</v>
      </c>
      <c r="D453" s="257"/>
      <c r="E453" s="108"/>
      <c r="F453" s="108"/>
      <c r="G453" s="109">
        <f t="shared" si="137"/>
        <v>0</v>
      </c>
      <c r="H453" s="108"/>
      <c r="I453" s="108"/>
      <c r="J453" s="108"/>
      <c r="K453" s="108"/>
      <c r="L453" s="108"/>
      <c r="M453" s="110"/>
      <c r="N453" s="137" t="e">
        <f t="shared" si="133"/>
        <v>#DIV/0!</v>
      </c>
    </row>
    <row r="454" spans="1:14" ht="12.75" hidden="1" customHeight="1" x14ac:dyDescent="0.25">
      <c r="A454" s="273">
        <v>5373</v>
      </c>
      <c r="B454" s="251">
        <v>530000</v>
      </c>
      <c r="C454" s="82" t="s">
        <v>402</v>
      </c>
      <c r="D454" s="256">
        <f t="shared" ref="D454:F455" si="142">D455</f>
        <v>0</v>
      </c>
      <c r="E454" s="100">
        <f t="shared" si="142"/>
        <v>0</v>
      </c>
      <c r="F454" s="100">
        <f t="shared" si="142"/>
        <v>0</v>
      </c>
      <c r="G454" s="100">
        <f t="shared" si="137"/>
        <v>0</v>
      </c>
      <c r="H454" s="100">
        <f t="shared" ref="H454:M455" si="143">H455</f>
        <v>0</v>
      </c>
      <c r="I454" s="100">
        <f t="shared" si="143"/>
        <v>0</v>
      </c>
      <c r="J454" s="100">
        <f t="shared" si="143"/>
        <v>0</v>
      </c>
      <c r="K454" s="100">
        <f t="shared" si="143"/>
        <v>0</v>
      </c>
      <c r="L454" s="100">
        <f t="shared" si="143"/>
        <v>0</v>
      </c>
      <c r="M454" s="101">
        <f t="shared" si="143"/>
        <v>0</v>
      </c>
      <c r="N454" s="137" t="e">
        <f t="shared" si="133"/>
        <v>#DIV/0!</v>
      </c>
    </row>
    <row r="455" spans="1:14" ht="12.75" hidden="1" customHeight="1" x14ac:dyDescent="0.25">
      <c r="A455" s="273">
        <v>5374</v>
      </c>
      <c r="B455" s="251">
        <v>531000</v>
      </c>
      <c r="C455" s="82" t="s">
        <v>403</v>
      </c>
      <c r="D455" s="256">
        <f t="shared" si="142"/>
        <v>0</v>
      </c>
      <c r="E455" s="100">
        <f t="shared" si="142"/>
        <v>0</v>
      </c>
      <c r="F455" s="100">
        <f t="shared" si="142"/>
        <v>0</v>
      </c>
      <c r="G455" s="100">
        <f t="shared" si="137"/>
        <v>0</v>
      </c>
      <c r="H455" s="100">
        <f t="shared" si="143"/>
        <v>0</v>
      </c>
      <c r="I455" s="100">
        <f t="shared" si="143"/>
        <v>0</v>
      </c>
      <c r="J455" s="100">
        <f t="shared" si="143"/>
        <v>0</v>
      </c>
      <c r="K455" s="100">
        <f t="shared" si="143"/>
        <v>0</v>
      </c>
      <c r="L455" s="100">
        <f t="shared" si="143"/>
        <v>0</v>
      </c>
      <c r="M455" s="101">
        <f t="shared" si="143"/>
        <v>0</v>
      </c>
      <c r="N455" s="137" t="e">
        <f t="shared" si="133"/>
        <v>#DIV/0!</v>
      </c>
    </row>
    <row r="456" spans="1:14" ht="12.75" hidden="1" customHeight="1" x14ac:dyDescent="0.25">
      <c r="A456" s="274">
        <v>5375</v>
      </c>
      <c r="B456" s="83">
        <v>531100</v>
      </c>
      <c r="C456" s="84" t="s">
        <v>404</v>
      </c>
      <c r="D456" s="257"/>
      <c r="E456" s="108"/>
      <c r="F456" s="108"/>
      <c r="G456" s="109">
        <f t="shared" si="137"/>
        <v>0</v>
      </c>
      <c r="H456" s="108"/>
      <c r="I456" s="108"/>
      <c r="J456" s="108"/>
      <c r="K456" s="108"/>
      <c r="L456" s="108"/>
      <c r="M456" s="110"/>
      <c r="N456" s="137" t="e">
        <f t="shared" si="133"/>
        <v>#DIV/0!</v>
      </c>
    </row>
    <row r="457" spans="1:14" ht="12.75" hidden="1" customHeight="1" x14ac:dyDescent="0.25">
      <c r="A457" s="273">
        <v>5376</v>
      </c>
      <c r="B457" s="251">
        <v>540000</v>
      </c>
      <c r="C457" s="82" t="s">
        <v>405</v>
      </c>
      <c r="D457" s="256">
        <f>D458+D460+D462</f>
        <v>0</v>
      </c>
      <c r="E457" s="100">
        <f>E458+E460+E462</f>
        <v>0</v>
      </c>
      <c r="F457" s="100">
        <f>F458+F460+F462</f>
        <v>0</v>
      </c>
      <c r="G457" s="100">
        <f t="shared" si="137"/>
        <v>0</v>
      </c>
      <c r="H457" s="100">
        <f t="shared" ref="H457:M457" si="144">H458+H460+H462</f>
        <v>0</v>
      </c>
      <c r="I457" s="100">
        <f t="shared" si="144"/>
        <v>0</v>
      </c>
      <c r="J457" s="100">
        <f t="shared" si="144"/>
        <v>0</v>
      </c>
      <c r="K457" s="100">
        <f t="shared" si="144"/>
        <v>0</v>
      </c>
      <c r="L457" s="100">
        <f t="shared" si="144"/>
        <v>0</v>
      </c>
      <c r="M457" s="101">
        <f t="shared" si="144"/>
        <v>0</v>
      </c>
      <c r="N457" s="137" t="e">
        <f t="shared" si="133"/>
        <v>#DIV/0!</v>
      </c>
    </row>
    <row r="458" spans="1:14" ht="12.75" hidden="1" customHeight="1" x14ac:dyDescent="0.25">
      <c r="A458" s="273">
        <v>5377</v>
      </c>
      <c r="B458" s="251">
        <v>541000</v>
      </c>
      <c r="C458" s="82" t="s">
        <v>406</v>
      </c>
      <c r="D458" s="256">
        <f>D459</f>
        <v>0</v>
      </c>
      <c r="E458" s="100">
        <f>E459</f>
        <v>0</v>
      </c>
      <c r="F458" s="100">
        <f>F459</f>
        <v>0</v>
      </c>
      <c r="G458" s="100">
        <f t="shared" si="137"/>
        <v>0</v>
      </c>
      <c r="H458" s="100">
        <f t="shared" ref="H458:M458" si="145">H459</f>
        <v>0</v>
      </c>
      <c r="I458" s="100">
        <f t="shared" si="145"/>
        <v>0</v>
      </c>
      <c r="J458" s="100">
        <f t="shared" si="145"/>
        <v>0</v>
      </c>
      <c r="K458" s="100">
        <f t="shared" si="145"/>
        <v>0</v>
      </c>
      <c r="L458" s="100">
        <f t="shared" si="145"/>
        <v>0</v>
      </c>
      <c r="M458" s="101">
        <f t="shared" si="145"/>
        <v>0</v>
      </c>
      <c r="N458" s="137" t="e">
        <f t="shared" si="133"/>
        <v>#DIV/0!</v>
      </c>
    </row>
    <row r="459" spans="1:14" ht="12.75" hidden="1" customHeight="1" x14ac:dyDescent="0.25">
      <c r="A459" s="274">
        <v>5378</v>
      </c>
      <c r="B459" s="83">
        <v>541100</v>
      </c>
      <c r="C459" s="84" t="s">
        <v>407</v>
      </c>
      <c r="D459" s="257"/>
      <c r="E459" s="108"/>
      <c r="F459" s="108"/>
      <c r="G459" s="109">
        <f t="shared" si="137"/>
        <v>0</v>
      </c>
      <c r="H459" s="108"/>
      <c r="I459" s="108"/>
      <c r="J459" s="108"/>
      <c r="K459" s="108"/>
      <c r="L459" s="108"/>
      <c r="M459" s="110"/>
      <c r="N459" s="137" t="e">
        <f t="shared" si="133"/>
        <v>#DIV/0!</v>
      </c>
    </row>
    <row r="460" spans="1:14" ht="12.75" hidden="1" customHeight="1" x14ac:dyDescent="0.25">
      <c r="A460" s="273">
        <v>5379</v>
      </c>
      <c r="B460" s="251">
        <v>542000</v>
      </c>
      <c r="C460" s="82" t="s">
        <v>408</v>
      </c>
      <c r="D460" s="256">
        <f>D461</f>
        <v>0</v>
      </c>
      <c r="E460" s="100">
        <f>E461</f>
        <v>0</v>
      </c>
      <c r="F460" s="100">
        <f>F461</f>
        <v>0</v>
      </c>
      <c r="G460" s="100">
        <f t="shared" si="137"/>
        <v>0</v>
      </c>
      <c r="H460" s="100">
        <f t="shared" ref="H460:M460" si="146">H461</f>
        <v>0</v>
      </c>
      <c r="I460" s="100">
        <f t="shared" si="146"/>
        <v>0</v>
      </c>
      <c r="J460" s="100">
        <f t="shared" si="146"/>
        <v>0</v>
      </c>
      <c r="K460" s="100">
        <f t="shared" si="146"/>
        <v>0</v>
      </c>
      <c r="L460" s="100">
        <f t="shared" si="146"/>
        <v>0</v>
      </c>
      <c r="M460" s="101">
        <f t="shared" si="146"/>
        <v>0</v>
      </c>
      <c r="N460" s="137" t="e">
        <f t="shared" si="133"/>
        <v>#DIV/0!</v>
      </c>
    </row>
    <row r="461" spans="1:14" ht="12.75" hidden="1" customHeight="1" x14ac:dyDescent="0.25">
      <c r="A461" s="274">
        <v>5380</v>
      </c>
      <c r="B461" s="83">
        <v>542100</v>
      </c>
      <c r="C461" s="84" t="s">
        <v>409</v>
      </c>
      <c r="D461" s="257"/>
      <c r="E461" s="108"/>
      <c r="F461" s="108"/>
      <c r="G461" s="109">
        <f t="shared" si="137"/>
        <v>0</v>
      </c>
      <c r="H461" s="108"/>
      <c r="I461" s="108"/>
      <c r="J461" s="108"/>
      <c r="K461" s="108"/>
      <c r="L461" s="108"/>
      <c r="M461" s="110"/>
      <c r="N461" s="137" t="e">
        <f t="shared" si="133"/>
        <v>#DIV/0!</v>
      </c>
    </row>
    <row r="462" spans="1:14" ht="12.75" hidden="1" customHeight="1" x14ac:dyDescent="0.25">
      <c r="A462" s="273">
        <v>5381</v>
      </c>
      <c r="B462" s="251">
        <v>543000</v>
      </c>
      <c r="C462" s="82" t="s">
        <v>410</v>
      </c>
      <c r="D462" s="256">
        <f>D463+D464</f>
        <v>0</v>
      </c>
      <c r="E462" s="100">
        <f>E463+E464</f>
        <v>0</v>
      </c>
      <c r="F462" s="100">
        <f>F463+F464</f>
        <v>0</v>
      </c>
      <c r="G462" s="100">
        <f t="shared" si="137"/>
        <v>0</v>
      </c>
      <c r="H462" s="100">
        <f t="shared" ref="H462:M462" si="147">H463+H464</f>
        <v>0</v>
      </c>
      <c r="I462" s="100">
        <f t="shared" si="147"/>
        <v>0</v>
      </c>
      <c r="J462" s="100">
        <f t="shared" si="147"/>
        <v>0</v>
      </c>
      <c r="K462" s="100">
        <f t="shared" si="147"/>
        <v>0</v>
      </c>
      <c r="L462" s="100">
        <f t="shared" si="147"/>
        <v>0</v>
      </c>
      <c r="M462" s="101">
        <f t="shared" si="147"/>
        <v>0</v>
      </c>
      <c r="N462" s="137" t="e">
        <f t="shared" si="133"/>
        <v>#DIV/0!</v>
      </c>
    </row>
    <row r="463" spans="1:14" ht="12.75" hidden="1" customHeight="1" x14ac:dyDescent="0.25">
      <c r="A463" s="274">
        <v>5382</v>
      </c>
      <c r="B463" s="83">
        <v>543100</v>
      </c>
      <c r="C463" s="84" t="s">
        <v>411</v>
      </c>
      <c r="D463" s="257"/>
      <c r="E463" s="108"/>
      <c r="F463" s="108"/>
      <c r="G463" s="109">
        <f t="shared" si="137"/>
        <v>0</v>
      </c>
      <c r="H463" s="108"/>
      <c r="I463" s="108"/>
      <c r="J463" s="108"/>
      <c r="K463" s="108"/>
      <c r="L463" s="108"/>
      <c r="M463" s="110"/>
      <c r="N463" s="137" t="e">
        <f t="shared" si="133"/>
        <v>#DIV/0!</v>
      </c>
    </row>
    <row r="464" spans="1:14" ht="12.75" hidden="1" customHeight="1" x14ac:dyDescent="0.25">
      <c r="A464" s="274">
        <v>5383</v>
      </c>
      <c r="B464" s="83">
        <v>543200</v>
      </c>
      <c r="C464" s="84" t="s">
        <v>412</v>
      </c>
      <c r="D464" s="257"/>
      <c r="E464" s="108"/>
      <c r="F464" s="108"/>
      <c r="G464" s="109">
        <f t="shared" si="137"/>
        <v>0</v>
      </c>
      <c r="H464" s="108"/>
      <c r="I464" s="108"/>
      <c r="J464" s="108"/>
      <c r="K464" s="108"/>
      <c r="L464" s="108"/>
      <c r="M464" s="110"/>
      <c r="N464" s="137" t="e">
        <f t="shared" si="133"/>
        <v>#DIV/0!</v>
      </c>
    </row>
    <row r="465" spans="1:14" ht="12.75" hidden="1" customHeight="1" x14ac:dyDescent="0.25">
      <c r="A465" s="273">
        <v>5384</v>
      </c>
      <c r="B465" s="251">
        <v>550000</v>
      </c>
      <c r="C465" s="82" t="s">
        <v>413</v>
      </c>
      <c r="D465" s="256">
        <f t="shared" ref="D465:F466" si="148">D466</f>
        <v>0</v>
      </c>
      <c r="E465" s="100">
        <f t="shared" si="148"/>
        <v>0</v>
      </c>
      <c r="F465" s="100">
        <f t="shared" si="148"/>
        <v>0</v>
      </c>
      <c r="G465" s="100">
        <f t="shared" si="137"/>
        <v>0</v>
      </c>
      <c r="H465" s="100">
        <f t="shared" ref="H465:M466" si="149">H466</f>
        <v>0</v>
      </c>
      <c r="I465" s="100">
        <f t="shared" si="149"/>
        <v>0</v>
      </c>
      <c r="J465" s="100">
        <f t="shared" si="149"/>
        <v>0</v>
      </c>
      <c r="K465" s="100">
        <f t="shared" si="149"/>
        <v>0</v>
      </c>
      <c r="L465" s="100">
        <f t="shared" si="149"/>
        <v>0</v>
      </c>
      <c r="M465" s="101">
        <f t="shared" si="149"/>
        <v>0</v>
      </c>
      <c r="N465" s="137" t="e">
        <f t="shared" si="133"/>
        <v>#DIV/0!</v>
      </c>
    </row>
    <row r="466" spans="1:14" ht="12.75" hidden="1" customHeight="1" x14ac:dyDescent="0.25">
      <c r="A466" s="273">
        <v>5385</v>
      </c>
      <c r="B466" s="251">
        <v>551000</v>
      </c>
      <c r="C466" s="82" t="s">
        <v>414</v>
      </c>
      <c r="D466" s="256">
        <f t="shared" si="148"/>
        <v>0</v>
      </c>
      <c r="E466" s="100">
        <f t="shared" si="148"/>
        <v>0</v>
      </c>
      <c r="F466" s="100">
        <f t="shared" si="148"/>
        <v>0</v>
      </c>
      <c r="G466" s="100">
        <f t="shared" si="137"/>
        <v>0</v>
      </c>
      <c r="H466" s="100">
        <f t="shared" si="149"/>
        <v>0</v>
      </c>
      <c r="I466" s="100">
        <f t="shared" si="149"/>
        <v>0</v>
      </c>
      <c r="J466" s="100">
        <f t="shared" si="149"/>
        <v>0</v>
      </c>
      <c r="K466" s="100">
        <f t="shared" si="149"/>
        <v>0</v>
      </c>
      <c r="L466" s="100">
        <f t="shared" si="149"/>
        <v>0</v>
      </c>
      <c r="M466" s="101">
        <f t="shared" si="149"/>
        <v>0</v>
      </c>
      <c r="N466" s="137" t="e">
        <f t="shared" si="133"/>
        <v>#DIV/0!</v>
      </c>
    </row>
    <row r="467" spans="1:14" ht="12.75" hidden="1" customHeight="1" x14ac:dyDescent="0.25">
      <c r="A467" s="274">
        <v>5386</v>
      </c>
      <c r="B467" s="83">
        <v>551100</v>
      </c>
      <c r="C467" s="84" t="s">
        <v>415</v>
      </c>
      <c r="D467" s="257"/>
      <c r="E467" s="108"/>
      <c r="F467" s="108"/>
      <c r="G467" s="109">
        <f t="shared" si="137"/>
        <v>0</v>
      </c>
      <c r="H467" s="108"/>
      <c r="I467" s="108"/>
      <c r="J467" s="108"/>
      <c r="K467" s="108"/>
      <c r="L467" s="108"/>
      <c r="M467" s="110"/>
      <c r="N467" s="137" t="e">
        <f t="shared" si="133"/>
        <v>#DIV/0!</v>
      </c>
    </row>
    <row r="468" spans="1:14" ht="12.75" hidden="1" customHeight="1" x14ac:dyDescent="0.25">
      <c r="A468" s="273">
        <v>5387</v>
      </c>
      <c r="B468" s="251">
        <v>600000</v>
      </c>
      <c r="C468" s="82" t="s">
        <v>416</v>
      </c>
      <c r="D468" s="256">
        <f>D469+D498</f>
        <v>0</v>
      </c>
      <c r="E468" s="100">
        <f>E469+E498</f>
        <v>0</v>
      </c>
      <c r="F468" s="100">
        <f>F469+F498</f>
        <v>0</v>
      </c>
      <c r="G468" s="100">
        <f t="shared" si="137"/>
        <v>0</v>
      </c>
      <c r="H468" s="100">
        <f t="shared" ref="H468:M468" si="150">H469+H498</f>
        <v>0</v>
      </c>
      <c r="I468" s="100">
        <f t="shared" si="150"/>
        <v>0</v>
      </c>
      <c r="J468" s="100">
        <f t="shared" si="150"/>
        <v>0</v>
      </c>
      <c r="K468" s="100">
        <f t="shared" si="150"/>
        <v>0</v>
      </c>
      <c r="L468" s="100">
        <f t="shared" si="150"/>
        <v>0</v>
      </c>
      <c r="M468" s="101">
        <f t="shared" si="150"/>
        <v>0</v>
      </c>
      <c r="N468" s="137" t="e">
        <f t="shared" si="133"/>
        <v>#DIV/0!</v>
      </c>
    </row>
    <row r="469" spans="1:14" ht="12.75" hidden="1" customHeight="1" x14ac:dyDescent="0.25">
      <c r="A469" s="273">
        <v>5388</v>
      </c>
      <c r="B469" s="251">
        <v>610000</v>
      </c>
      <c r="C469" s="82" t="s">
        <v>417</v>
      </c>
      <c r="D469" s="256">
        <f>D470+D484+D492+D494+D496</f>
        <v>0</v>
      </c>
      <c r="E469" s="100">
        <f>E470+E484+E492+E494+E496</f>
        <v>0</v>
      </c>
      <c r="F469" s="100">
        <f>F470+F484+F492+F494+F496</f>
        <v>0</v>
      </c>
      <c r="G469" s="100">
        <f t="shared" si="137"/>
        <v>0</v>
      </c>
      <c r="H469" s="100">
        <f t="shared" ref="H469:M469" si="151">H470+H484+H492+H494+H496</f>
        <v>0</v>
      </c>
      <c r="I469" s="100">
        <f t="shared" si="151"/>
        <v>0</v>
      </c>
      <c r="J469" s="100">
        <f t="shared" si="151"/>
        <v>0</v>
      </c>
      <c r="K469" s="100">
        <f t="shared" si="151"/>
        <v>0</v>
      </c>
      <c r="L469" s="100">
        <f t="shared" si="151"/>
        <v>0</v>
      </c>
      <c r="M469" s="101">
        <f t="shared" si="151"/>
        <v>0</v>
      </c>
      <c r="N469" s="137" t="e">
        <f t="shared" si="133"/>
        <v>#DIV/0!</v>
      </c>
    </row>
    <row r="470" spans="1:14" ht="12.75" hidden="1" customHeight="1" x14ac:dyDescent="0.25">
      <c r="A470" s="273">
        <v>5389</v>
      </c>
      <c r="B470" s="251">
        <v>611000</v>
      </c>
      <c r="C470" s="82" t="s">
        <v>418</v>
      </c>
      <c r="D470" s="256">
        <f>SUM(D471:D483)</f>
        <v>0</v>
      </c>
      <c r="E470" s="100">
        <f>SUM(E471:E483)</f>
        <v>0</v>
      </c>
      <c r="F470" s="100">
        <f>SUM(F471:F483)</f>
        <v>0</v>
      </c>
      <c r="G470" s="100">
        <f t="shared" si="137"/>
        <v>0</v>
      </c>
      <c r="H470" s="100">
        <f t="shared" ref="H470:M470" si="152">SUM(H471:H483)</f>
        <v>0</v>
      </c>
      <c r="I470" s="100">
        <f t="shared" si="152"/>
        <v>0</v>
      </c>
      <c r="J470" s="100">
        <f t="shared" si="152"/>
        <v>0</v>
      </c>
      <c r="K470" s="100">
        <f t="shared" si="152"/>
        <v>0</v>
      </c>
      <c r="L470" s="100">
        <f t="shared" si="152"/>
        <v>0</v>
      </c>
      <c r="M470" s="101">
        <f t="shared" si="152"/>
        <v>0</v>
      </c>
      <c r="N470" s="137" t="e">
        <f t="shared" si="133"/>
        <v>#DIV/0!</v>
      </c>
    </row>
    <row r="471" spans="1:14" ht="12.75" hidden="1" customHeight="1" x14ac:dyDescent="0.25">
      <c r="A471" s="274">
        <v>5390</v>
      </c>
      <c r="B471" s="83">
        <v>611100</v>
      </c>
      <c r="C471" s="84" t="s">
        <v>419</v>
      </c>
      <c r="D471" s="257"/>
      <c r="E471" s="108"/>
      <c r="F471" s="108"/>
      <c r="G471" s="109">
        <f t="shared" si="137"/>
        <v>0</v>
      </c>
      <c r="H471" s="108"/>
      <c r="I471" s="108"/>
      <c r="J471" s="108"/>
      <c r="K471" s="108"/>
      <c r="L471" s="108"/>
      <c r="M471" s="110"/>
      <c r="N471" s="137" t="e">
        <f t="shared" si="133"/>
        <v>#DIV/0!</v>
      </c>
    </row>
    <row r="472" spans="1:14" ht="12.75" hidden="1" customHeight="1" x14ac:dyDescent="0.25">
      <c r="A472" s="274">
        <v>5391</v>
      </c>
      <c r="B472" s="83">
        <v>611200</v>
      </c>
      <c r="C472" s="84" t="s">
        <v>420</v>
      </c>
      <c r="D472" s="257"/>
      <c r="E472" s="108"/>
      <c r="F472" s="108"/>
      <c r="G472" s="109">
        <f t="shared" si="137"/>
        <v>0</v>
      </c>
      <c r="H472" s="108"/>
      <c r="I472" s="108"/>
      <c r="J472" s="108"/>
      <c r="K472" s="108"/>
      <c r="L472" s="108"/>
      <c r="M472" s="110"/>
      <c r="N472" s="137" t="e">
        <f t="shared" si="133"/>
        <v>#DIV/0!</v>
      </c>
    </row>
    <row r="473" spans="1:14" ht="12.75" hidden="1" customHeight="1" x14ac:dyDescent="0.25">
      <c r="A473" s="274">
        <v>5392</v>
      </c>
      <c r="B473" s="83">
        <v>611300</v>
      </c>
      <c r="C473" s="84" t="s">
        <v>421</v>
      </c>
      <c r="D473" s="257"/>
      <c r="E473" s="108"/>
      <c r="F473" s="108"/>
      <c r="G473" s="109">
        <f t="shared" si="137"/>
        <v>0</v>
      </c>
      <c r="H473" s="108"/>
      <c r="I473" s="108"/>
      <c r="J473" s="108"/>
      <c r="K473" s="108"/>
      <c r="L473" s="108"/>
      <c r="M473" s="110"/>
      <c r="N473" s="137" t="e">
        <f t="shared" si="133"/>
        <v>#DIV/0!</v>
      </c>
    </row>
    <row r="474" spans="1:14" ht="12.75" hidden="1" customHeight="1" x14ac:dyDescent="0.25">
      <c r="A474" s="645" t="s">
        <v>0</v>
      </c>
      <c r="B474" s="646" t="s">
        <v>1</v>
      </c>
      <c r="C474" s="585" t="s">
        <v>2</v>
      </c>
      <c r="D474" s="259" t="s">
        <v>217</v>
      </c>
      <c r="E474" s="585" t="s">
        <v>217</v>
      </c>
      <c r="F474" s="254" t="s">
        <v>217</v>
      </c>
      <c r="G474" s="575" t="s">
        <v>198</v>
      </c>
      <c r="H474" s="589"/>
      <c r="I474" s="589"/>
      <c r="J474" s="589"/>
      <c r="K474" s="589"/>
      <c r="L474" s="589"/>
      <c r="M474" s="592"/>
      <c r="N474" s="137" t="e">
        <f t="shared" si="133"/>
        <v>#VALUE!</v>
      </c>
    </row>
    <row r="475" spans="1:14" ht="12.75" hidden="1" customHeight="1" x14ac:dyDescent="0.25">
      <c r="A475" s="645"/>
      <c r="B475" s="646"/>
      <c r="C475" s="585"/>
      <c r="D475" s="259"/>
      <c r="E475" s="585"/>
      <c r="F475" s="254"/>
      <c r="G475" s="575" t="s">
        <v>199</v>
      </c>
      <c r="H475" s="575" t="s">
        <v>200</v>
      </c>
      <c r="I475" s="589"/>
      <c r="J475" s="589"/>
      <c r="K475" s="589"/>
      <c r="L475" s="575" t="s">
        <v>7</v>
      </c>
      <c r="M475" s="582" t="s">
        <v>8</v>
      </c>
      <c r="N475" s="137" t="e">
        <f t="shared" si="133"/>
        <v>#VALUE!</v>
      </c>
    </row>
    <row r="476" spans="1:14" ht="12.75" hidden="1" customHeight="1" x14ac:dyDescent="0.25">
      <c r="A476" s="645"/>
      <c r="B476" s="646"/>
      <c r="C476" s="585"/>
      <c r="D476" s="259"/>
      <c r="E476" s="585"/>
      <c r="F476" s="254"/>
      <c r="G476" s="589"/>
      <c r="H476" s="252" t="s">
        <v>201</v>
      </c>
      <c r="I476" s="252" t="s">
        <v>10</v>
      </c>
      <c r="J476" s="252" t="s">
        <v>11</v>
      </c>
      <c r="K476" s="252" t="s">
        <v>12</v>
      </c>
      <c r="L476" s="589"/>
      <c r="M476" s="592"/>
      <c r="N476" s="137" t="e">
        <f t="shared" si="133"/>
        <v>#DIV/0!</v>
      </c>
    </row>
    <row r="477" spans="1:14" ht="12.75" hidden="1" customHeight="1" x14ac:dyDescent="0.25">
      <c r="A477" s="275" t="s">
        <v>18</v>
      </c>
      <c r="B477" s="95" t="s">
        <v>19</v>
      </c>
      <c r="C477" s="253" t="s">
        <v>20</v>
      </c>
      <c r="D477" s="259" t="s">
        <v>21</v>
      </c>
      <c r="E477" s="253" t="s">
        <v>21</v>
      </c>
      <c r="F477" s="253" t="s">
        <v>21</v>
      </c>
      <c r="G477" s="253" t="s">
        <v>22</v>
      </c>
      <c r="H477" s="253" t="s">
        <v>23</v>
      </c>
      <c r="I477" s="253" t="s">
        <v>24</v>
      </c>
      <c r="J477" s="253" t="s">
        <v>25</v>
      </c>
      <c r="K477" s="253" t="s">
        <v>26</v>
      </c>
      <c r="L477" s="253" t="s">
        <v>27</v>
      </c>
      <c r="M477" s="99" t="s">
        <v>28</v>
      </c>
      <c r="N477" s="137">
        <f t="shared" si="133"/>
        <v>1.25</v>
      </c>
    </row>
    <row r="478" spans="1:14" ht="12.75" hidden="1" customHeight="1" x14ac:dyDescent="0.25">
      <c r="A478" s="274">
        <v>5393</v>
      </c>
      <c r="B478" s="83">
        <v>611400</v>
      </c>
      <c r="C478" s="84" t="s">
        <v>422</v>
      </c>
      <c r="D478" s="257"/>
      <c r="E478" s="108"/>
      <c r="F478" s="108"/>
      <c r="G478" s="109">
        <f t="shared" si="137"/>
        <v>0</v>
      </c>
      <c r="H478" s="108"/>
      <c r="I478" s="108"/>
      <c r="J478" s="108"/>
      <c r="K478" s="108"/>
      <c r="L478" s="108"/>
      <c r="M478" s="110"/>
      <c r="N478" s="137" t="e">
        <f t="shared" si="133"/>
        <v>#DIV/0!</v>
      </c>
    </row>
    <row r="479" spans="1:14" ht="12.75" hidden="1" customHeight="1" x14ac:dyDescent="0.25">
      <c r="A479" s="274">
        <v>5394</v>
      </c>
      <c r="B479" s="83">
        <v>611500</v>
      </c>
      <c r="C479" s="84" t="s">
        <v>423</v>
      </c>
      <c r="D479" s="257"/>
      <c r="E479" s="108"/>
      <c r="F479" s="108"/>
      <c r="G479" s="109">
        <f t="shared" si="137"/>
        <v>0</v>
      </c>
      <c r="H479" s="108"/>
      <c r="I479" s="108"/>
      <c r="J479" s="108"/>
      <c r="K479" s="108"/>
      <c r="L479" s="108"/>
      <c r="M479" s="110"/>
      <c r="N479" s="137" t="e">
        <f t="shared" si="133"/>
        <v>#DIV/0!</v>
      </c>
    </row>
    <row r="480" spans="1:14" ht="12.75" hidden="1" customHeight="1" x14ac:dyDescent="0.25">
      <c r="A480" s="274">
        <v>5395</v>
      </c>
      <c r="B480" s="83">
        <v>611600</v>
      </c>
      <c r="C480" s="84" t="s">
        <v>424</v>
      </c>
      <c r="D480" s="257"/>
      <c r="E480" s="108"/>
      <c r="F480" s="108"/>
      <c r="G480" s="109">
        <f t="shared" si="137"/>
        <v>0</v>
      </c>
      <c r="H480" s="108"/>
      <c r="I480" s="108"/>
      <c r="J480" s="108"/>
      <c r="K480" s="108"/>
      <c r="L480" s="108"/>
      <c r="M480" s="110"/>
      <c r="N480" s="137" t="e">
        <f t="shared" si="133"/>
        <v>#DIV/0!</v>
      </c>
    </row>
    <row r="481" spans="1:14" ht="12.75" hidden="1" customHeight="1" x14ac:dyDescent="0.25">
      <c r="A481" s="274">
        <v>5396</v>
      </c>
      <c r="B481" s="83">
        <v>611700</v>
      </c>
      <c r="C481" s="84" t="s">
        <v>425</v>
      </c>
      <c r="D481" s="257"/>
      <c r="E481" s="108"/>
      <c r="F481" s="108"/>
      <c r="G481" s="109">
        <f t="shared" si="137"/>
        <v>0</v>
      </c>
      <c r="H481" s="108"/>
      <c r="I481" s="108"/>
      <c r="J481" s="108"/>
      <c r="K481" s="108"/>
      <c r="L481" s="108"/>
      <c r="M481" s="110"/>
      <c r="N481" s="137" t="e">
        <f t="shared" si="133"/>
        <v>#DIV/0!</v>
      </c>
    </row>
    <row r="482" spans="1:14" ht="12.75" hidden="1" customHeight="1" x14ac:dyDescent="0.25">
      <c r="A482" s="274">
        <v>5397</v>
      </c>
      <c r="B482" s="83">
        <v>611800</v>
      </c>
      <c r="C482" s="84" t="s">
        <v>426</v>
      </c>
      <c r="D482" s="257"/>
      <c r="E482" s="108"/>
      <c r="F482" s="108"/>
      <c r="G482" s="109">
        <f t="shared" si="137"/>
        <v>0</v>
      </c>
      <c r="H482" s="108"/>
      <c r="I482" s="108"/>
      <c r="J482" s="108"/>
      <c r="K482" s="108"/>
      <c r="L482" s="108"/>
      <c r="M482" s="110"/>
      <c r="N482" s="137" t="e">
        <f t="shared" si="133"/>
        <v>#DIV/0!</v>
      </c>
    </row>
    <row r="483" spans="1:14" ht="12.75" hidden="1" customHeight="1" x14ac:dyDescent="0.25">
      <c r="A483" s="274">
        <v>5398</v>
      </c>
      <c r="B483" s="83">
        <v>611900</v>
      </c>
      <c r="C483" s="84" t="s">
        <v>165</v>
      </c>
      <c r="D483" s="257"/>
      <c r="E483" s="108"/>
      <c r="F483" s="108"/>
      <c r="G483" s="109">
        <f t="shared" si="137"/>
        <v>0</v>
      </c>
      <c r="H483" s="108"/>
      <c r="I483" s="108"/>
      <c r="J483" s="108"/>
      <c r="K483" s="108"/>
      <c r="L483" s="108"/>
      <c r="M483" s="110"/>
      <c r="N483" s="137" t="e">
        <f t="shared" si="133"/>
        <v>#DIV/0!</v>
      </c>
    </row>
    <row r="484" spans="1:14" ht="12.75" hidden="1" customHeight="1" x14ac:dyDescent="0.25">
      <c r="A484" s="273">
        <v>5399</v>
      </c>
      <c r="B484" s="251">
        <v>612000</v>
      </c>
      <c r="C484" s="82" t="s">
        <v>427</v>
      </c>
      <c r="D484" s="256">
        <f>SUM(D485:D491)</f>
        <v>0</v>
      </c>
      <c r="E484" s="100">
        <f>SUM(E485:E491)</f>
        <v>0</v>
      </c>
      <c r="F484" s="100">
        <f>SUM(F485:F491)</f>
        <v>0</v>
      </c>
      <c r="G484" s="100">
        <f t="shared" si="137"/>
        <v>0</v>
      </c>
      <c r="H484" s="100">
        <f t="shared" ref="H484:M484" si="153">SUM(H485:H491)</f>
        <v>0</v>
      </c>
      <c r="I484" s="100">
        <f t="shared" si="153"/>
        <v>0</v>
      </c>
      <c r="J484" s="100">
        <f t="shared" si="153"/>
        <v>0</v>
      </c>
      <c r="K484" s="100">
        <f t="shared" si="153"/>
        <v>0</v>
      </c>
      <c r="L484" s="100">
        <f t="shared" si="153"/>
        <v>0</v>
      </c>
      <c r="M484" s="101">
        <f t="shared" si="153"/>
        <v>0</v>
      </c>
      <c r="N484" s="137" t="e">
        <f t="shared" si="133"/>
        <v>#DIV/0!</v>
      </c>
    </row>
    <row r="485" spans="1:14" ht="12.75" hidden="1" customHeight="1" x14ac:dyDescent="0.25">
      <c r="A485" s="274">
        <v>5400</v>
      </c>
      <c r="B485" s="83">
        <v>612100</v>
      </c>
      <c r="C485" s="84" t="s">
        <v>428</v>
      </c>
      <c r="D485" s="257"/>
      <c r="E485" s="108"/>
      <c r="F485" s="108"/>
      <c r="G485" s="109">
        <f t="shared" si="137"/>
        <v>0</v>
      </c>
      <c r="H485" s="108"/>
      <c r="I485" s="108"/>
      <c r="J485" s="108"/>
      <c r="K485" s="108"/>
      <c r="L485" s="108"/>
      <c r="M485" s="110"/>
      <c r="N485" s="137" t="e">
        <f t="shared" si="133"/>
        <v>#DIV/0!</v>
      </c>
    </row>
    <row r="486" spans="1:14" ht="12.75" hidden="1" customHeight="1" x14ac:dyDescent="0.25">
      <c r="A486" s="274">
        <v>5401</v>
      </c>
      <c r="B486" s="83">
        <v>612200</v>
      </c>
      <c r="C486" s="84" t="s">
        <v>429</v>
      </c>
      <c r="D486" s="257"/>
      <c r="E486" s="108"/>
      <c r="F486" s="108"/>
      <c r="G486" s="109">
        <f t="shared" si="137"/>
        <v>0</v>
      </c>
      <c r="H486" s="108"/>
      <c r="I486" s="108"/>
      <c r="J486" s="108"/>
      <c r="K486" s="108"/>
      <c r="L486" s="108"/>
      <c r="M486" s="110"/>
      <c r="N486" s="137" t="e">
        <f t="shared" si="133"/>
        <v>#DIV/0!</v>
      </c>
    </row>
    <row r="487" spans="1:14" ht="12.75" hidden="1" customHeight="1" x14ac:dyDescent="0.25">
      <c r="A487" s="274">
        <v>5402</v>
      </c>
      <c r="B487" s="83">
        <v>612300</v>
      </c>
      <c r="C487" s="84" t="s">
        <v>430</v>
      </c>
      <c r="D487" s="257"/>
      <c r="E487" s="108"/>
      <c r="F487" s="108"/>
      <c r="G487" s="109">
        <f t="shared" si="137"/>
        <v>0</v>
      </c>
      <c r="H487" s="108"/>
      <c r="I487" s="108"/>
      <c r="J487" s="108"/>
      <c r="K487" s="108"/>
      <c r="L487" s="108"/>
      <c r="M487" s="110"/>
      <c r="N487" s="137" t="e">
        <f t="shared" si="133"/>
        <v>#DIV/0!</v>
      </c>
    </row>
    <row r="488" spans="1:14" ht="12.75" hidden="1" customHeight="1" x14ac:dyDescent="0.25">
      <c r="A488" s="274">
        <v>5403</v>
      </c>
      <c r="B488" s="83">
        <v>612400</v>
      </c>
      <c r="C488" s="84" t="s">
        <v>431</v>
      </c>
      <c r="D488" s="257"/>
      <c r="E488" s="108"/>
      <c r="F488" s="108"/>
      <c r="G488" s="109">
        <f t="shared" si="137"/>
        <v>0</v>
      </c>
      <c r="H488" s="108"/>
      <c r="I488" s="108"/>
      <c r="J488" s="108"/>
      <c r="K488" s="108"/>
      <c r="L488" s="108"/>
      <c r="M488" s="110"/>
      <c r="N488" s="137" t="e">
        <f t="shared" si="133"/>
        <v>#DIV/0!</v>
      </c>
    </row>
    <row r="489" spans="1:14" ht="12.75" hidden="1" customHeight="1" x14ac:dyDescent="0.25">
      <c r="A489" s="274">
        <v>5404</v>
      </c>
      <c r="B489" s="83">
        <v>612500</v>
      </c>
      <c r="C489" s="84" t="s">
        <v>432</v>
      </c>
      <c r="D489" s="257"/>
      <c r="E489" s="108"/>
      <c r="F489" s="108"/>
      <c r="G489" s="109">
        <f t="shared" si="137"/>
        <v>0</v>
      </c>
      <c r="H489" s="108"/>
      <c r="I489" s="108"/>
      <c r="J489" s="108"/>
      <c r="K489" s="108"/>
      <c r="L489" s="108"/>
      <c r="M489" s="110"/>
      <c r="N489" s="137" t="e">
        <f t="shared" si="133"/>
        <v>#DIV/0!</v>
      </c>
    </row>
    <row r="490" spans="1:14" ht="12.75" hidden="1" customHeight="1" x14ac:dyDescent="0.25">
      <c r="A490" s="274">
        <v>5405</v>
      </c>
      <c r="B490" s="83">
        <v>612600</v>
      </c>
      <c r="C490" s="84" t="s">
        <v>433</v>
      </c>
      <c r="D490" s="257"/>
      <c r="E490" s="108"/>
      <c r="F490" s="108"/>
      <c r="G490" s="109">
        <f t="shared" si="137"/>
        <v>0</v>
      </c>
      <c r="H490" s="108"/>
      <c r="I490" s="108"/>
      <c r="J490" s="108"/>
      <c r="K490" s="108"/>
      <c r="L490" s="108"/>
      <c r="M490" s="110"/>
      <c r="N490" s="137" t="e">
        <f t="shared" si="133"/>
        <v>#DIV/0!</v>
      </c>
    </row>
    <row r="491" spans="1:14" ht="12.75" hidden="1" customHeight="1" x14ac:dyDescent="0.25">
      <c r="A491" s="274">
        <v>5406</v>
      </c>
      <c r="B491" s="83">
        <v>612900</v>
      </c>
      <c r="C491" s="84" t="s">
        <v>173</v>
      </c>
      <c r="D491" s="257"/>
      <c r="E491" s="108"/>
      <c r="F491" s="108"/>
      <c r="G491" s="109">
        <f t="shared" si="137"/>
        <v>0</v>
      </c>
      <c r="H491" s="108"/>
      <c r="I491" s="108"/>
      <c r="J491" s="108"/>
      <c r="K491" s="108"/>
      <c r="L491" s="108"/>
      <c r="M491" s="110"/>
      <c r="N491" s="137" t="e">
        <f t="shared" si="133"/>
        <v>#DIV/0!</v>
      </c>
    </row>
    <row r="492" spans="1:14" ht="12.75" hidden="1" customHeight="1" x14ac:dyDescent="0.25">
      <c r="A492" s="273">
        <v>5407</v>
      </c>
      <c r="B492" s="251">
        <v>613000</v>
      </c>
      <c r="C492" s="82" t="s">
        <v>434</v>
      </c>
      <c r="D492" s="256">
        <f>D493</f>
        <v>0</v>
      </c>
      <c r="E492" s="100">
        <f>E493</f>
        <v>0</v>
      </c>
      <c r="F492" s="100">
        <f>F493</f>
        <v>0</v>
      </c>
      <c r="G492" s="100">
        <f t="shared" si="137"/>
        <v>0</v>
      </c>
      <c r="H492" s="100">
        <f t="shared" ref="H492:M492" si="154">H493</f>
        <v>0</v>
      </c>
      <c r="I492" s="100">
        <f t="shared" si="154"/>
        <v>0</v>
      </c>
      <c r="J492" s="100">
        <f t="shared" si="154"/>
        <v>0</v>
      </c>
      <c r="K492" s="100">
        <f t="shared" si="154"/>
        <v>0</v>
      </c>
      <c r="L492" s="100">
        <f t="shared" si="154"/>
        <v>0</v>
      </c>
      <c r="M492" s="101">
        <f t="shared" si="154"/>
        <v>0</v>
      </c>
      <c r="N492" s="137" t="e">
        <f t="shared" si="133"/>
        <v>#DIV/0!</v>
      </c>
    </row>
    <row r="493" spans="1:14" ht="12.75" hidden="1" customHeight="1" x14ac:dyDescent="0.25">
      <c r="A493" s="274">
        <v>5408</v>
      </c>
      <c r="B493" s="83">
        <v>613100</v>
      </c>
      <c r="C493" s="84" t="s">
        <v>435</v>
      </c>
      <c r="D493" s="257"/>
      <c r="E493" s="108"/>
      <c r="F493" s="108"/>
      <c r="G493" s="109">
        <f t="shared" si="137"/>
        <v>0</v>
      </c>
      <c r="H493" s="108"/>
      <c r="I493" s="108"/>
      <c r="J493" s="108"/>
      <c r="K493" s="108"/>
      <c r="L493" s="108"/>
      <c r="M493" s="110"/>
      <c r="N493" s="137" t="e">
        <f t="shared" si="133"/>
        <v>#DIV/0!</v>
      </c>
    </row>
    <row r="494" spans="1:14" ht="12.75" hidden="1" customHeight="1" x14ac:dyDescent="0.25">
      <c r="A494" s="273">
        <v>5409</v>
      </c>
      <c r="B494" s="251">
        <v>614000</v>
      </c>
      <c r="C494" s="82" t="s">
        <v>436</v>
      </c>
      <c r="D494" s="256">
        <f>D495</f>
        <v>0</v>
      </c>
      <c r="E494" s="100">
        <f>E495</f>
        <v>0</v>
      </c>
      <c r="F494" s="100">
        <f>F495</f>
        <v>0</v>
      </c>
      <c r="G494" s="100">
        <f t="shared" si="137"/>
        <v>0</v>
      </c>
      <c r="H494" s="100">
        <f t="shared" ref="H494:M496" si="155">H495</f>
        <v>0</v>
      </c>
      <c r="I494" s="100">
        <f t="shared" si="155"/>
        <v>0</v>
      </c>
      <c r="J494" s="100">
        <f t="shared" si="155"/>
        <v>0</v>
      </c>
      <c r="K494" s="100">
        <f t="shared" si="155"/>
        <v>0</v>
      </c>
      <c r="L494" s="100">
        <f t="shared" si="155"/>
        <v>0</v>
      </c>
      <c r="M494" s="101">
        <f t="shared" si="155"/>
        <v>0</v>
      </c>
      <c r="N494" s="137" t="e">
        <f t="shared" si="133"/>
        <v>#DIV/0!</v>
      </c>
    </row>
    <row r="495" spans="1:14" ht="12.75" hidden="1" customHeight="1" x14ac:dyDescent="0.25">
      <c r="A495" s="274">
        <v>5410</v>
      </c>
      <c r="B495" s="83">
        <v>614100</v>
      </c>
      <c r="C495" s="84" t="s">
        <v>437</v>
      </c>
      <c r="D495" s="257"/>
      <c r="E495" s="108"/>
      <c r="F495" s="108"/>
      <c r="G495" s="109">
        <f t="shared" si="137"/>
        <v>0</v>
      </c>
      <c r="H495" s="108"/>
      <c r="I495" s="108"/>
      <c r="J495" s="108"/>
      <c r="K495" s="108"/>
      <c r="L495" s="108"/>
      <c r="M495" s="110"/>
      <c r="N495" s="137" t="e">
        <f t="shared" si="133"/>
        <v>#DIV/0!</v>
      </c>
    </row>
    <row r="496" spans="1:14" ht="12.75" hidden="1" customHeight="1" x14ac:dyDescent="0.25">
      <c r="A496" s="273">
        <v>5411</v>
      </c>
      <c r="B496" s="251">
        <v>615000</v>
      </c>
      <c r="C496" s="82" t="s">
        <v>438</v>
      </c>
      <c r="D496" s="256">
        <f>D497</f>
        <v>0</v>
      </c>
      <c r="E496" s="100">
        <f>E497</f>
        <v>0</v>
      </c>
      <c r="F496" s="100">
        <f>F497</f>
        <v>0</v>
      </c>
      <c r="G496" s="100">
        <f t="shared" si="137"/>
        <v>0</v>
      </c>
      <c r="H496" s="100">
        <f t="shared" si="155"/>
        <v>0</v>
      </c>
      <c r="I496" s="100">
        <f t="shared" si="155"/>
        <v>0</v>
      </c>
      <c r="J496" s="100">
        <f t="shared" si="155"/>
        <v>0</v>
      </c>
      <c r="K496" s="100">
        <f t="shared" si="155"/>
        <v>0</v>
      </c>
      <c r="L496" s="100">
        <f t="shared" si="155"/>
        <v>0</v>
      </c>
      <c r="M496" s="101">
        <f t="shared" si="155"/>
        <v>0</v>
      </c>
      <c r="N496" s="137" t="e">
        <f t="shared" ref="N496:N524" si="156">G496/F496</f>
        <v>#DIV/0!</v>
      </c>
    </row>
    <row r="497" spans="1:14" ht="12.75" hidden="1" customHeight="1" x14ac:dyDescent="0.25">
      <c r="A497" s="274">
        <v>5412</v>
      </c>
      <c r="B497" s="83">
        <v>615100</v>
      </c>
      <c r="C497" s="84" t="s">
        <v>439</v>
      </c>
      <c r="D497" s="257"/>
      <c r="E497" s="108"/>
      <c r="F497" s="108"/>
      <c r="G497" s="109">
        <f t="shared" si="137"/>
        <v>0</v>
      </c>
      <c r="H497" s="108"/>
      <c r="I497" s="108"/>
      <c r="J497" s="108"/>
      <c r="K497" s="108"/>
      <c r="L497" s="108"/>
      <c r="M497" s="110"/>
      <c r="N497" s="137" t="e">
        <f t="shared" si="156"/>
        <v>#DIV/0!</v>
      </c>
    </row>
    <row r="498" spans="1:14" ht="12.75" hidden="1" customHeight="1" x14ac:dyDescent="0.25">
      <c r="A498" s="273">
        <v>5413</v>
      </c>
      <c r="B498" s="251">
        <v>620000</v>
      </c>
      <c r="C498" s="82" t="s">
        <v>440</v>
      </c>
      <c r="D498" s="256">
        <f>D499+D513+D522</f>
        <v>0</v>
      </c>
      <c r="E498" s="100">
        <f>E499+E513+E522</f>
        <v>0</v>
      </c>
      <c r="F498" s="100">
        <f>F499+F513+F522</f>
        <v>0</v>
      </c>
      <c r="G498" s="100">
        <f t="shared" si="137"/>
        <v>0</v>
      </c>
      <c r="H498" s="100">
        <f t="shared" ref="H498:M498" si="157">H499+H513+H522</f>
        <v>0</v>
      </c>
      <c r="I498" s="100">
        <f t="shared" si="157"/>
        <v>0</v>
      </c>
      <c r="J498" s="100">
        <f t="shared" si="157"/>
        <v>0</v>
      </c>
      <c r="K498" s="100">
        <f t="shared" si="157"/>
        <v>0</v>
      </c>
      <c r="L498" s="100">
        <f t="shared" si="157"/>
        <v>0</v>
      </c>
      <c r="M498" s="101">
        <f t="shared" si="157"/>
        <v>0</v>
      </c>
      <c r="N498" s="137" t="e">
        <f t="shared" si="156"/>
        <v>#DIV/0!</v>
      </c>
    </row>
    <row r="499" spans="1:14" ht="12.75" hidden="1" customHeight="1" x14ac:dyDescent="0.25">
      <c r="A499" s="273">
        <v>5414</v>
      </c>
      <c r="B499" s="251">
        <v>621000</v>
      </c>
      <c r="C499" s="82" t="s">
        <v>441</v>
      </c>
      <c r="D499" s="256">
        <f>SUM(D500:D512)</f>
        <v>0</v>
      </c>
      <c r="E499" s="100">
        <f>SUM(E500:E512)</f>
        <v>0</v>
      </c>
      <c r="F499" s="100">
        <f>SUM(F500:F512)</f>
        <v>0</v>
      </c>
      <c r="G499" s="100">
        <f t="shared" si="137"/>
        <v>0</v>
      </c>
      <c r="H499" s="100">
        <f t="shared" ref="H499:M499" si="158">SUM(H500:H512)</f>
        <v>0</v>
      </c>
      <c r="I499" s="100">
        <f t="shared" si="158"/>
        <v>0</v>
      </c>
      <c r="J499" s="100">
        <f t="shared" si="158"/>
        <v>0</v>
      </c>
      <c r="K499" s="100">
        <f t="shared" si="158"/>
        <v>0</v>
      </c>
      <c r="L499" s="100">
        <f t="shared" si="158"/>
        <v>0</v>
      </c>
      <c r="M499" s="101">
        <f t="shared" si="158"/>
        <v>0</v>
      </c>
      <c r="N499" s="137" t="e">
        <f t="shared" si="156"/>
        <v>#DIV/0!</v>
      </c>
    </row>
    <row r="500" spans="1:14" ht="12.75" hidden="1" customHeight="1" x14ac:dyDescent="0.25">
      <c r="A500" s="274">
        <v>5415</v>
      </c>
      <c r="B500" s="83">
        <v>621100</v>
      </c>
      <c r="C500" s="84" t="s">
        <v>442</v>
      </c>
      <c r="D500" s="257"/>
      <c r="E500" s="108"/>
      <c r="F500" s="108"/>
      <c r="G500" s="109">
        <f t="shared" si="137"/>
        <v>0</v>
      </c>
      <c r="H500" s="108"/>
      <c r="I500" s="108"/>
      <c r="J500" s="108"/>
      <c r="K500" s="108"/>
      <c r="L500" s="108"/>
      <c r="M500" s="110"/>
      <c r="N500" s="137" t="e">
        <f t="shared" si="156"/>
        <v>#DIV/0!</v>
      </c>
    </row>
    <row r="501" spans="1:14" ht="12.75" hidden="1" customHeight="1" x14ac:dyDescent="0.25">
      <c r="A501" s="645" t="s">
        <v>0</v>
      </c>
      <c r="B501" s="646" t="s">
        <v>1</v>
      </c>
      <c r="C501" s="585" t="s">
        <v>2</v>
      </c>
      <c r="D501" s="259" t="s">
        <v>217</v>
      </c>
      <c r="E501" s="585" t="s">
        <v>217</v>
      </c>
      <c r="F501" s="254" t="s">
        <v>217</v>
      </c>
      <c r="G501" s="575" t="s">
        <v>198</v>
      </c>
      <c r="H501" s="589"/>
      <c r="I501" s="589"/>
      <c r="J501" s="589"/>
      <c r="K501" s="589"/>
      <c r="L501" s="589"/>
      <c r="M501" s="592"/>
      <c r="N501" s="137" t="e">
        <f t="shared" si="156"/>
        <v>#VALUE!</v>
      </c>
    </row>
    <row r="502" spans="1:14" ht="12.75" hidden="1" customHeight="1" x14ac:dyDescent="0.25">
      <c r="A502" s="645"/>
      <c r="B502" s="646"/>
      <c r="C502" s="585"/>
      <c r="D502" s="259"/>
      <c r="E502" s="585"/>
      <c r="F502" s="254"/>
      <c r="G502" s="575" t="s">
        <v>199</v>
      </c>
      <c r="H502" s="575" t="s">
        <v>200</v>
      </c>
      <c r="I502" s="589"/>
      <c r="J502" s="589"/>
      <c r="K502" s="589"/>
      <c r="L502" s="575" t="s">
        <v>7</v>
      </c>
      <c r="M502" s="582" t="s">
        <v>8</v>
      </c>
      <c r="N502" s="137" t="e">
        <f t="shared" si="156"/>
        <v>#VALUE!</v>
      </c>
    </row>
    <row r="503" spans="1:14" ht="12.75" hidden="1" customHeight="1" x14ac:dyDescent="0.25">
      <c r="A503" s="645"/>
      <c r="B503" s="646"/>
      <c r="C503" s="585"/>
      <c r="D503" s="259"/>
      <c r="E503" s="585"/>
      <c r="F503" s="254"/>
      <c r="G503" s="589"/>
      <c r="H503" s="252" t="s">
        <v>201</v>
      </c>
      <c r="I503" s="252" t="s">
        <v>10</v>
      </c>
      <c r="J503" s="252" t="s">
        <v>11</v>
      </c>
      <c r="K503" s="252" t="s">
        <v>12</v>
      </c>
      <c r="L503" s="589"/>
      <c r="M503" s="592"/>
      <c r="N503" s="137" t="e">
        <f t="shared" si="156"/>
        <v>#DIV/0!</v>
      </c>
    </row>
    <row r="504" spans="1:14" ht="12.75" hidden="1" customHeight="1" x14ac:dyDescent="0.25">
      <c r="A504" s="275" t="s">
        <v>18</v>
      </c>
      <c r="B504" s="95" t="s">
        <v>19</v>
      </c>
      <c r="C504" s="253" t="s">
        <v>20</v>
      </c>
      <c r="D504" s="259" t="s">
        <v>21</v>
      </c>
      <c r="E504" s="253" t="s">
        <v>21</v>
      </c>
      <c r="F504" s="253" t="s">
        <v>21</v>
      </c>
      <c r="G504" s="253" t="s">
        <v>22</v>
      </c>
      <c r="H504" s="253" t="s">
        <v>23</v>
      </c>
      <c r="I504" s="253" t="s">
        <v>24</v>
      </c>
      <c r="J504" s="253" t="s">
        <v>25</v>
      </c>
      <c r="K504" s="253" t="s">
        <v>26</v>
      </c>
      <c r="L504" s="253" t="s">
        <v>27</v>
      </c>
      <c r="M504" s="99" t="s">
        <v>28</v>
      </c>
      <c r="N504" s="137">
        <f t="shared" si="156"/>
        <v>1.25</v>
      </c>
    </row>
    <row r="505" spans="1:14" ht="12.75" hidden="1" customHeight="1" x14ac:dyDescent="0.25">
      <c r="A505" s="274">
        <v>5416</v>
      </c>
      <c r="B505" s="83">
        <v>621200</v>
      </c>
      <c r="C505" s="84" t="s">
        <v>443</v>
      </c>
      <c r="D505" s="257"/>
      <c r="E505" s="108"/>
      <c r="F505" s="108"/>
      <c r="G505" s="109">
        <f t="shared" si="137"/>
        <v>0</v>
      </c>
      <c r="H505" s="108"/>
      <c r="I505" s="108"/>
      <c r="J505" s="108"/>
      <c r="K505" s="108"/>
      <c r="L505" s="108"/>
      <c r="M505" s="110"/>
      <c r="N505" s="137" t="e">
        <f t="shared" si="156"/>
        <v>#DIV/0!</v>
      </c>
    </row>
    <row r="506" spans="1:14" ht="12.75" hidden="1" customHeight="1" x14ac:dyDescent="0.25">
      <c r="A506" s="274">
        <v>5417</v>
      </c>
      <c r="B506" s="83">
        <v>621300</v>
      </c>
      <c r="C506" s="84" t="s">
        <v>444</v>
      </c>
      <c r="D506" s="257"/>
      <c r="E506" s="108"/>
      <c r="F506" s="108"/>
      <c r="G506" s="109">
        <f t="shared" si="137"/>
        <v>0</v>
      </c>
      <c r="H506" s="108"/>
      <c r="I506" s="108"/>
      <c r="J506" s="108"/>
      <c r="K506" s="108"/>
      <c r="L506" s="108"/>
      <c r="M506" s="110"/>
      <c r="N506" s="137" t="e">
        <f t="shared" si="156"/>
        <v>#DIV/0!</v>
      </c>
    </row>
    <row r="507" spans="1:14" ht="12.75" hidden="1" customHeight="1" x14ac:dyDescent="0.25">
      <c r="A507" s="274">
        <v>5418</v>
      </c>
      <c r="B507" s="83">
        <v>621400</v>
      </c>
      <c r="C507" s="84" t="s">
        <v>445</v>
      </c>
      <c r="D507" s="257"/>
      <c r="E507" s="108"/>
      <c r="F507" s="108"/>
      <c r="G507" s="109">
        <f t="shared" si="137"/>
        <v>0</v>
      </c>
      <c r="H507" s="108"/>
      <c r="I507" s="108"/>
      <c r="J507" s="108"/>
      <c r="K507" s="108"/>
      <c r="L507" s="108"/>
      <c r="M507" s="110"/>
      <c r="N507" s="137" t="e">
        <f t="shared" si="156"/>
        <v>#DIV/0!</v>
      </c>
    </row>
    <row r="508" spans="1:14" ht="12.75" hidden="1" customHeight="1" x14ac:dyDescent="0.25">
      <c r="A508" s="274">
        <v>5419</v>
      </c>
      <c r="B508" s="83">
        <v>621500</v>
      </c>
      <c r="C508" s="84" t="s">
        <v>446</v>
      </c>
      <c r="D508" s="257"/>
      <c r="E508" s="108"/>
      <c r="F508" s="108"/>
      <c r="G508" s="109">
        <f t="shared" si="137"/>
        <v>0</v>
      </c>
      <c r="H508" s="108"/>
      <c r="I508" s="108"/>
      <c r="J508" s="108"/>
      <c r="K508" s="108"/>
      <c r="L508" s="108"/>
      <c r="M508" s="110"/>
      <c r="N508" s="137" t="e">
        <f t="shared" si="156"/>
        <v>#DIV/0!</v>
      </c>
    </row>
    <row r="509" spans="1:14" ht="12.75" hidden="1" customHeight="1" x14ac:dyDescent="0.25">
      <c r="A509" s="274">
        <v>5420</v>
      </c>
      <c r="B509" s="83">
        <v>621600</v>
      </c>
      <c r="C509" s="84" t="s">
        <v>447</v>
      </c>
      <c r="D509" s="257"/>
      <c r="E509" s="108"/>
      <c r="F509" s="108"/>
      <c r="G509" s="109">
        <f t="shared" si="137"/>
        <v>0</v>
      </c>
      <c r="H509" s="108"/>
      <c r="I509" s="108"/>
      <c r="J509" s="108"/>
      <c r="K509" s="108"/>
      <c r="L509" s="108"/>
      <c r="M509" s="110"/>
      <c r="N509" s="137" t="e">
        <f t="shared" si="156"/>
        <v>#DIV/0!</v>
      </c>
    </row>
    <row r="510" spans="1:14" ht="12.75" hidden="1" customHeight="1" x14ac:dyDescent="0.25">
      <c r="A510" s="274">
        <v>5421</v>
      </c>
      <c r="B510" s="83">
        <v>621700</v>
      </c>
      <c r="C510" s="84" t="s">
        <v>448</v>
      </c>
      <c r="D510" s="257"/>
      <c r="E510" s="108"/>
      <c r="F510" s="108"/>
      <c r="G510" s="109">
        <f t="shared" si="137"/>
        <v>0</v>
      </c>
      <c r="H510" s="108"/>
      <c r="I510" s="108"/>
      <c r="J510" s="108"/>
      <c r="K510" s="108"/>
      <c r="L510" s="108"/>
      <c r="M510" s="110"/>
      <c r="N510" s="137" t="e">
        <f t="shared" si="156"/>
        <v>#DIV/0!</v>
      </c>
    </row>
    <row r="511" spans="1:14" ht="12.75" hidden="1" customHeight="1" x14ac:dyDescent="0.25">
      <c r="A511" s="274">
        <v>5422</v>
      </c>
      <c r="B511" s="83">
        <v>621800</v>
      </c>
      <c r="C511" s="84" t="s">
        <v>449</v>
      </c>
      <c r="D511" s="257"/>
      <c r="E511" s="108"/>
      <c r="F511" s="108"/>
      <c r="G511" s="109">
        <f t="shared" si="137"/>
        <v>0</v>
      </c>
      <c r="H511" s="108"/>
      <c r="I511" s="108"/>
      <c r="J511" s="108"/>
      <c r="K511" s="108"/>
      <c r="L511" s="108"/>
      <c r="M511" s="110"/>
      <c r="N511" s="137" t="e">
        <f t="shared" si="156"/>
        <v>#DIV/0!</v>
      </c>
    </row>
    <row r="512" spans="1:14" ht="12.75" hidden="1" customHeight="1" x14ac:dyDescent="0.25">
      <c r="A512" s="274">
        <v>5423</v>
      </c>
      <c r="B512" s="83">
        <v>621900</v>
      </c>
      <c r="C512" s="84" t="s">
        <v>450</v>
      </c>
      <c r="D512" s="257"/>
      <c r="E512" s="108"/>
      <c r="F512" s="108"/>
      <c r="G512" s="109">
        <f t="shared" si="137"/>
        <v>0</v>
      </c>
      <c r="H512" s="108"/>
      <c r="I512" s="108"/>
      <c r="J512" s="108"/>
      <c r="K512" s="108"/>
      <c r="L512" s="108"/>
      <c r="M512" s="110"/>
      <c r="N512" s="137" t="e">
        <f t="shared" si="156"/>
        <v>#DIV/0!</v>
      </c>
    </row>
    <row r="513" spans="1:14" ht="12.75" hidden="1" customHeight="1" x14ac:dyDescent="0.25">
      <c r="A513" s="273">
        <v>5424</v>
      </c>
      <c r="B513" s="251">
        <v>622000</v>
      </c>
      <c r="C513" s="82" t="s">
        <v>451</v>
      </c>
      <c r="D513" s="256">
        <f>SUM(D514:D521)</f>
        <v>0</v>
      </c>
      <c r="E513" s="100">
        <f>SUM(E514:E521)</f>
        <v>0</v>
      </c>
      <c r="F513" s="100">
        <f>SUM(F514:F521)</f>
        <v>0</v>
      </c>
      <c r="G513" s="100">
        <f t="shared" si="137"/>
        <v>0</v>
      </c>
      <c r="H513" s="100">
        <f t="shared" ref="H513:M513" si="159">SUM(H514:H521)</f>
        <v>0</v>
      </c>
      <c r="I513" s="100">
        <f t="shared" si="159"/>
        <v>0</v>
      </c>
      <c r="J513" s="100">
        <f t="shared" si="159"/>
        <v>0</v>
      </c>
      <c r="K513" s="100">
        <f t="shared" si="159"/>
        <v>0</v>
      </c>
      <c r="L513" s="100">
        <f t="shared" si="159"/>
        <v>0</v>
      </c>
      <c r="M513" s="101">
        <f t="shared" si="159"/>
        <v>0</v>
      </c>
      <c r="N513" s="137" t="e">
        <f t="shared" si="156"/>
        <v>#DIV/0!</v>
      </c>
    </row>
    <row r="514" spans="1:14" ht="12.75" hidden="1" customHeight="1" x14ac:dyDescent="0.25">
      <c r="A514" s="274">
        <v>5425</v>
      </c>
      <c r="B514" s="83">
        <v>622100</v>
      </c>
      <c r="C514" s="84" t="s">
        <v>452</v>
      </c>
      <c r="D514" s="257"/>
      <c r="E514" s="108"/>
      <c r="F514" s="108"/>
      <c r="G514" s="109">
        <f t="shared" si="137"/>
        <v>0</v>
      </c>
      <c r="H514" s="108"/>
      <c r="I514" s="108"/>
      <c r="J514" s="108"/>
      <c r="K514" s="108"/>
      <c r="L514" s="108"/>
      <c r="M514" s="110"/>
      <c r="N514" s="137" t="e">
        <f t="shared" si="156"/>
        <v>#DIV/0!</v>
      </c>
    </row>
    <row r="515" spans="1:14" ht="12.75" hidden="1" customHeight="1" x14ac:dyDescent="0.25">
      <c r="A515" s="274">
        <v>5426</v>
      </c>
      <c r="B515" s="83">
        <v>622200</v>
      </c>
      <c r="C515" s="84" t="s">
        <v>453</v>
      </c>
      <c r="D515" s="257"/>
      <c r="E515" s="108"/>
      <c r="F515" s="108"/>
      <c r="G515" s="109">
        <f t="shared" si="137"/>
        <v>0</v>
      </c>
      <c r="H515" s="108"/>
      <c r="I515" s="108"/>
      <c r="J515" s="108"/>
      <c r="K515" s="108"/>
      <c r="L515" s="108"/>
      <c r="M515" s="110"/>
      <c r="N515" s="137" t="e">
        <f t="shared" si="156"/>
        <v>#DIV/0!</v>
      </c>
    </row>
    <row r="516" spans="1:14" ht="12.75" hidden="1" customHeight="1" x14ac:dyDescent="0.25">
      <c r="A516" s="274">
        <v>5427</v>
      </c>
      <c r="B516" s="83">
        <v>622300</v>
      </c>
      <c r="C516" s="84" t="s">
        <v>454</v>
      </c>
      <c r="D516" s="257"/>
      <c r="E516" s="108"/>
      <c r="F516" s="108"/>
      <c r="G516" s="109">
        <f t="shared" si="137"/>
        <v>0</v>
      </c>
      <c r="H516" s="108"/>
      <c r="I516" s="108"/>
      <c r="J516" s="108"/>
      <c r="K516" s="108"/>
      <c r="L516" s="108"/>
      <c r="M516" s="110"/>
      <c r="N516" s="137" t="e">
        <f t="shared" si="156"/>
        <v>#DIV/0!</v>
      </c>
    </row>
    <row r="517" spans="1:14" ht="12.75" hidden="1" customHeight="1" x14ac:dyDescent="0.25">
      <c r="A517" s="274">
        <v>5428</v>
      </c>
      <c r="B517" s="83">
        <v>622400</v>
      </c>
      <c r="C517" s="84" t="s">
        <v>455</v>
      </c>
      <c r="D517" s="257"/>
      <c r="E517" s="108"/>
      <c r="F517" s="108"/>
      <c r="G517" s="109">
        <f t="shared" si="137"/>
        <v>0</v>
      </c>
      <c r="H517" s="108"/>
      <c r="I517" s="108"/>
      <c r="J517" s="108"/>
      <c r="K517" s="108"/>
      <c r="L517" s="108"/>
      <c r="M517" s="110"/>
      <c r="N517" s="137" t="e">
        <f t="shared" si="156"/>
        <v>#DIV/0!</v>
      </c>
    </row>
    <row r="518" spans="1:14" ht="12.75" hidden="1" customHeight="1" x14ac:dyDescent="0.25">
      <c r="A518" s="274">
        <v>5429</v>
      </c>
      <c r="B518" s="83">
        <v>622500</v>
      </c>
      <c r="C518" s="84" t="s">
        <v>456</v>
      </c>
      <c r="D518" s="257"/>
      <c r="E518" s="108"/>
      <c r="F518" s="108"/>
      <c r="G518" s="109">
        <f t="shared" si="137"/>
        <v>0</v>
      </c>
      <c r="H518" s="108"/>
      <c r="I518" s="108"/>
      <c r="J518" s="108"/>
      <c r="K518" s="108"/>
      <c r="L518" s="108"/>
      <c r="M518" s="110"/>
      <c r="N518" s="137" t="e">
        <f t="shared" si="156"/>
        <v>#DIV/0!</v>
      </c>
    </row>
    <row r="519" spans="1:14" ht="12.75" hidden="1" customHeight="1" x14ac:dyDescent="0.25">
      <c r="A519" s="274">
        <v>5430</v>
      </c>
      <c r="B519" s="83">
        <v>622600</v>
      </c>
      <c r="C519" s="84" t="s">
        <v>457</v>
      </c>
      <c r="D519" s="257"/>
      <c r="E519" s="108"/>
      <c r="F519" s="108"/>
      <c r="G519" s="109">
        <f t="shared" ref="G519:G524" si="160">SUM(H519:M519)</f>
        <v>0</v>
      </c>
      <c r="H519" s="108"/>
      <c r="I519" s="108"/>
      <c r="J519" s="108"/>
      <c r="K519" s="108"/>
      <c r="L519" s="108"/>
      <c r="M519" s="110"/>
      <c r="N519" s="137" t="e">
        <f t="shared" si="156"/>
        <v>#DIV/0!</v>
      </c>
    </row>
    <row r="520" spans="1:14" ht="12.75" hidden="1" customHeight="1" x14ac:dyDescent="0.25">
      <c r="A520" s="274">
        <v>5431</v>
      </c>
      <c r="B520" s="83">
        <v>622700</v>
      </c>
      <c r="C520" s="84" t="s">
        <v>458</v>
      </c>
      <c r="D520" s="257"/>
      <c r="E520" s="108"/>
      <c r="F520" s="108"/>
      <c r="G520" s="109">
        <f t="shared" si="160"/>
        <v>0</v>
      </c>
      <c r="H520" s="108"/>
      <c r="I520" s="108"/>
      <c r="J520" s="108"/>
      <c r="K520" s="108"/>
      <c r="L520" s="108"/>
      <c r="M520" s="110"/>
      <c r="N520" s="137" t="e">
        <f t="shared" si="156"/>
        <v>#DIV/0!</v>
      </c>
    </row>
    <row r="521" spans="1:14" ht="12.75" hidden="1" customHeight="1" x14ac:dyDescent="0.25">
      <c r="A521" s="274">
        <v>5432</v>
      </c>
      <c r="B521" s="83">
        <v>622800</v>
      </c>
      <c r="C521" s="84" t="s">
        <v>459</v>
      </c>
      <c r="D521" s="257"/>
      <c r="E521" s="108"/>
      <c r="F521" s="108"/>
      <c r="G521" s="109">
        <f t="shared" si="160"/>
        <v>0</v>
      </c>
      <c r="H521" s="108"/>
      <c r="I521" s="108"/>
      <c r="J521" s="108"/>
      <c r="K521" s="108"/>
      <c r="L521" s="108"/>
      <c r="M521" s="110"/>
      <c r="N521" s="137" t="e">
        <f t="shared" si="156"/>
        <v>#DIV/0!</v>
      </c>
    </row>
    <row r="522" spans="1:14" ht="12.75" hidden="1" customHeight="1" x14ac:dyDescent="0.25">
      <c r="A522" s="273">
        <v>5433</v>
      </c>
      <c r="B522" s="251">
        <v>623000</v>
      </c>
      <c r="C522" s="82" t="s">
        <v>460</v>
      </c>
      <c r="D522" s="256">
        <f>D523</f>
        <v>0</v>
      </c>
      <c r="E522" s="100">
        <f>E523</f>
        <v>0</v>
      </c>
      <c r="F522" s="100">
        <f>F523</f>
        <v>0</v>
      </c>
      <c r="G522" s="100">
        <f t="shared" si="160"/>
        <v>0</v>
      </c>
      <c r="H522" s="100">
        <f t="shared" ref="H522:M522" si="161">H523</f>
        <v>0</v>
      </c>
      <c r="I522" s="100">
        <f t="shared" si="161"/>
        <v>0</v>
      </c>
      <c r="J522" s="100">
        <f t="shared" si="161"/>
        <v>0</v>
      </c>
      <c r="K522" s="100">
        <f t="shared" si="161"/>
        <v>0</v>
      </c>
      <c r="L522" s="100">
        <f t="shared" si="161"/>
        <v>0</v>
      </c>
      <c r="M522" s="101">
        <f t="shared" si="161"/>
        <v>0</v>
      </c>
      <c r="N522" s="137" t="e">
        <f t="shared" si="156"/>
        <v>#DIV/0!</v>
      </c>
    </row>
    <row r="523" spans="1:14" ht="12.75" hidden="1" customHeight="1" x14ac:dyDescent="0.25">
      <c r="A523" s="274">
        <v>5434</v>
      </c>
      <c r="B523" s="83">
        <v>623100</v>
      </c>
      <c r="C523" s="84" t="s">
        <v>461</v>
      </c>
      <c r="D523" s="257"/>
      <c r="E523" s="108"/>
      <c r="F523" s="108"/>
      <c r="G523" s="109">
        <f t="shared" si="160"/>
        <v>0</v>
      </c>
      <c r="H523" s="108"/>
      <c r="I523" s="108"/>
      <c r="J523" s="108"/>
      <c r="K523" s="108"/>
      <c r="L523" s="108"/>
      <c r="M523" s="110"/>
      <c r="N523" s="137" t="e">
        <f t="shared" si="156"/>
        <v>#DIV/0!</v>
      </c>
    </row>
    <row r="524" spans="1:14" ht="12.75" customHeight="1" thickBot="1" x14ac:dyDescent="0.3">
      <c r="A524" s="276">
        <v>5435</v>
      </c>
      <c r="B524" s="272"/>
      <c r="C524" s="89" t="s">
        <v>462</v>
      </c>
      <c r="D524" s="260">
        <f>D220+D468</f>
        <v>82990</v>
      </c>
      <c r="E524" s="113">
        <f>E220+E468</f>
        <v>1536257</v>
      </c>
      <c r="F524" s="113">
        <f>F220+F468</f>
        <v>1619247</v>
      </c>
      <c r="G524" s="113">
        <f t="shared" si="160"/>
        <v>1587783</v>
      </c>
      <c r="H524" s="113">
        <f t="shared" ref="H524:M524" si="162">H220+H468</f>
        <v>12486</v>
      </c>
      <c r="I524" s="113">
        <f t="shared" si="162"/>
        <v>0</v>
      </c>
      <c r="J524" s="113">
        <f t="shared" si="162"/>
        <v>1699</v>
      </c>
      <c r="K524" s="113">
        <f t="shared" si="162"/>
        <v>1555965</v>
      </c>
      <c r="L524" s="113">
        <f t="shared" si="162"/>
        <v>0</v>
      </c>
      <c r="M524" s="114">
        <f t="shared" si="162"/>
        <v>17633</v>
      </c>
      <c r="N524" s="138">
        <f t="shared" si="156"/>
        <v>0.98056874584297515</v>
      </c>
    </row>
    <row r="525" spans="1:14" ht="18.75" customHeight="1" x14ac:dyDescent="0.25">
      <c r="A525" s="90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</row>
    <row r="526" spans="1:14" ht="12.75" customHeight="1" x14ac:dyDescent="0.25">
      <c r="A526" s="92" t="s">
        <v>516</v>
      </c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</row>
    <row r="527" spans="1:14" ht="12.75" customHeight="1" thickBot="1" x14ac:dyDescent="0.3">
      <c r="A527" s="90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</row>
    <row r="528" spans="1:14" ht="12.75" customHeight="1" thickBot="1" x14ac:dyDescent="0.3">
      <c r="A528" s="637" t="s">
        <v>0</v>
      </c>
      <c r="B528" s="572" t="s">
        <v>1</v>
      </c>
      <c r="C528" s="574" t="s">
        <v>2</v>
      </c>
      <c r="D528" s="639" t="s">
        <v>546</v>
      </c>
      <c r="E528" s="639" t="s">
        <v>517</v>
      </c>
      <c r="F528" s="639" t="s">
        <v>547</v>
      </c>
      <c r="G528" s="641" t="s">
        <v>518</v>
      </c>
      <c r="H528" s="641"/>
      <c r="I528" s="641"/>
      <c r="J528" s="641"/>
      <c r="K528" s="641"/>
      <c r="L528" s="641"/>
      <c r="M528" s="642"/>
    </row>
    <row r="529" spans="1:13" ht="12.75" customHeight="1" thickBot="1" x14ac:dyDescent="0.3">
      <c r="A529" s="638"/>
      <c r="B529" s="573"/>
      <c r="C529" s="575"/>
      <c r="D529" s="640"/>
      <c r="E529" s="640"/>
      <c r="F529" s="640"/>
      <c r="G529" s="643" t="s">
        <v>553</v>
      </c>
      <c r="H529" s="643" t="s">
        <v>519</v>
      </c>
      <c r="I529" s="643"/>
      <c r="J529" s="643"/>
      <c r="K529" s="643"/>
      <c r="L529" s="643" t="s">
        <v>7</v>
      </c>
      <c r="M529" s="644" t="s">
        <v>8</v>
      </c>
    </row>
    <row r="530" spans="1:13" s="115" customFormat="1" ht="12.75" customHeight="1" x14ac:dyDescent="0.25">
      <c r="A530" s="638"/>
      <c r="B530" s="573"/>
      <c r="C530" s="575"/>
      <c r="D530" s="640"/>
      <c r="E530" s="640"/>
      <c r="F530" s="640"/>
      <c r="G530" s="643"/>
      <c r="H530" s="263" t="s">
        <v>9</v>
      </c>
      <c r="I530" s="263" t="s">
        <v>10</v>
      </c>
      <c r="J530" s="263" t="s">
        <v>554</v>
      </c>
      <c r="K530" s="263" t="s">
        <v>12</v>
      </c>
      <c r="L530" s="643"/>
      <c r="M530" s="644"/>
    </row>
    <row r="531" spans="1:13" s="115" customFormat="1" ht="12.75" customHeight="1" x14ac:dyDescent="0.25">
      <c r="A531" s="265">
        <v>1</v>
      </c>
      <c r="B531" s="251">
        <v>2</v>
      </c>
      <c r="C531" s="252">
        <v>3</v>
      </c>
      <c r="D531" s="263">
        <v>4</v>
      </c>
      <c r="E531" s="263">
        <v>5</v>
      </c>
      <c r="F531" s="263" t="s">
        <v>551</v>
      </c>
      <c r="G531" s="263">
        <v>7</v>
      </c>
      <c r="H531" s="263">
        <v>8</v>
      </c>
      <c r="I531" s="263">
        <v>7</v>
      </c>
      <c r="J531" s="263">
        <v>9</v>
      </c>
      <c r="K531" s="263">
        <v>10</v>
      </c>
      <c r="L531" s="263">
        <v>10</v>
      </c>
      <c r="M531" s="268">
        <v>11</v>
      </c>
    </row>
    <row r="532" spans="1:13" s="115" customFormat="1" ht="12.75" customHeight="1" x14ac:dyDescent="0.25">
      <c r="A532" s="265">
        <v>5436</v>
      </c>
      <c r="B532" s="251"/>
      <c r="C532" s="82" t="s">
        <v>520</v>
      </c>
      <c r="D532" s="248">
        <f>D9</f>
        <v>82990</v>
      </c>
      <c r="E532" s="100">
        <f>E9</f>
        <v>1529922</v>
      </c>
      <c r="F532" s="100">
        <f>D532+E532</f>
        <v>1612912</v>
      </c>
      <c r="G532" s="100">
        <f>SUM(H532:M532)</f>
        <v>1588772</v>
      </c>
      <c r="H532" s="100">
        <f t="shared" ref="H532:M532" si="163">H9</f>
        <v>12073</v>
      </c>
      <c r="I532" s="100">
        <f t="shared" si="163"/>
        <v>0</v>
      </c>
      <c r="J532" s="100">
        <f t="shared" si="163"/>
        <v>7566</v>
      </c>
      <c r="K532" s="100">
        <f t="shared" si="163"/>
        <v>1556428</v>
      </c>
      <c r="L532" s="100">
        <f t="shared" si="163"/>
        <v>0</v>
      </c>
      <c r="M532" s="121">
        <f t="shared" si="163"/>
        <v>12705</v>
      </c>
    </row>
    <row r="533" spans="1:13" s="115" customFormat="1" ht="12.75" customHeight="1" x14ac:dyDescent="0.25">
      <c r="A533" s="265">
        <v>5437</v>
      </c>
      <c r="B533" s="251"/>
      <c r="C533" s="82" t="s">
        <v>521</v>
      </c>
      <c r="D533" s="248">
        <f>D220</f>
        <v>82990</v>
      </c>
      <c r="E533" s="100">
        <f>E220</f>
        <v>1536257</v>
      </c>
      <c r="F533" s="100">
        <f>D533+E533</f>
        <v>1619247</v>
      </c>
      <c r="G533" s="100">
        <f>SUM(H533:M533)</f>
        <v>1587783</v>
      </c>
      <c r="H533" s="100">
        <f t="shared" ref="H533:M533" si="164">H220</f>
        <v>12486</v>
      </c>
      <c r="I533" s="100">
        <f t="shared" si="164"/>
        <v>0</v>
      </c>
      <c r="J533" s="100">
        <f t="shared" si="164"/>
        <v>1699</v>
      </c>
      <c r="K533" s="100">
        <f t="shared" si="164"/>
        <v>1555965</v>
      </c>
      <c r="L533" s="100">
        <f t="shared" si="164"/>
        <v>0</v>
      </c>
      <c r="M533" s="121">
        <f t="shared" si="164"/>
        <v>17633</v>
      </c>
    </row>
    <row r="534" spans="1:13" s="115" customFormat="1" ht="12.75" customHeight="1" x14ac:dyDescent="0.25">
      <c r="A534" s="266">
        <v>5438</v>
      </c>
      <c r="B534" s="83"/>
      <c r="C534" s="84" t="s">
        <v>522</v>
      </c>
      <c r="D534" s="249">
        <f>IF((D532-D533)&gt;0,D532-D533,0)</f>
        <v>0</v>
      </c>
      <c r="E534" s="109">
        <f>IF((E532-E533)&gt;0,E532-E533,0)</f>
        <v>0</v>
      </c>
      <c r="F534" s="109">
        <f>IF((F532-F533)&gt;0,F532-F533,0)</f>
        <v>0</v>
      </c>
      <c r="G534" s="109">
        <f>IF((G532-G533)&gt;0,G532-G533,0)</f>
        <v>989</v>
      </c>
      <c r="H534" s="109">
        <f t="shared" ref="H534:M534" si="165">IF((H532-H533)&gt;0,H532-H533,0)</f>
        <v>0</v>
      </c>
      <c r="I534" s="109">
        <f t="shared" si="165"/>
        <v>0</v>
      </c>
      <c r="J534" s="109">
        <f t="shared" si="165"/>
        <v>5867</v>
      </c>
      <c r="K534" s="109">
        <f t="shared" si="165"/>
        <v>463</v>
      </c>
      <c r="L534" s="109">
        <f t="shared" si="165"/>
        <v>0</v>
      </c>
      <c r="M534" s="122">
        <f t="shared" si="165"/>
        <v>0</v>
      </c>
    </row>
    <row r="535" spans="1:13" s="115" customFormat="1" ht="12.75" customHeight="1" x14ac:dyDescent="0.25">
      <c r="A535" s="266">
        <v>5439</v>
      </c>
      <c r="B535" s="83"/>
      <c r="C535" s="84" t="s">
        <v>523</v>
      </c>
      <c r="D535" s="249">
        <f>IF((D533-D532)&gt;0,D533-D532,0)</f>
        <v>0</v>
      </c>
      <c r="E535" s="109">
        <f>IF((E533-E532)&gt;0,E533-E532,0)</f>
        <v>6335</v>
      </c>
      <c r="F535" s="109">
        <f>IF((F533-F532)&gt;0,F533-F532,0)</f>
        <v>6335</v>
      </c>
      <c r="G535" s="109">
        <f>IF((G533-G532)&gt;0,G533-G532,0)</f>
        <v>0</v>
      </c>
      <c r="H535" s="109">
        <f t="shared" ref="H535:M535" si="166">IF((H533-H532)&gt;0,H533-H532,0)</f>
        <v>413</v>
      </c>
      <c r="I535" s="109">
        <f t="shared" si="166"/>
        <v>0</v>
      </c>
      <c r="J535" s="109">
        <f t="shared" si="166"/>
        <v>0</v>
      </c>
      <c r="K535" s="109">
        <f t="shared" si="166"/>
        <v>0</v>
      </c>
      <c r="L535" s="109">
        <f t="shared" si="166"/>
        <v>0</v>
      </c>
      <c r="M535" s="122">
        <f t="shared" si="166"/>
        <v>4928</v>
      </c>
    </row>
    <row r="536" spans="1:13" s="115" customFormat="1" ht="12.75" customHeight="1" x14ac:dyDescent="0.25">
      <c r="A536" s="265">
        <v>5440</v>
      </c>
      <c r="B536" s="251">
        <v>900000</v>
      </c>
      <c r="C536" s="82" t="s">
        <v>524</v>
      </c>
      <c r="D536" s="82"/>
      <c r="E536" s="100">
        <f>E163</f>
        <v>0</v>
      </c>
      <c r="F536" s="100"/>
      <c r="G536" s="100">
        <f>SUM(H536:M536)</f>
        <v>0</v>
      </c>
      <c r="H536" s="100">
        <f t="shared" ref="H536:M536" si="167">H163</f>
        <v>0</v>
      </c>
      <c r="I536" s="100">
        <f t="shared" si="167"/>
        <v>0</v>
      </c>
      <c r="J536" s="100">
        <f t="shared" si="167"/>
        <v>0</v>
      </c>
      <c r="K536" s="100">
        <f t="shared" si="167"/>
        <v>0</v>
      </c>
      <c r="L536" s="100">
        <f t="shared" si="167"/>
        <v>0</v>
      </c>
      <c r="M536" s="121">
        <f t="shared" si="167"/>
        <v>0</v>
      </c>
    </row>
    <row r="537" spans="1:13" s="115" customFormat="1" ht="12.75" customHeight="1" x14ac:dyDescent="0.25">
      <c r="A537" s="265">
        <v>5441</v>
      </c>
      <c r="B537" s="251">
        <v>600000</v>
      </c>
      <c r="C537" s="82" t="s">
        <v>525</v>
      </c>
      <c r="D537" s="82"/>
      <c r="E537" s="100">
        <f>E468</f>
        <v>0</v>
      </c>
      <c r="F537" s="100"/>
      <c r="G537" s="100">
        <f>SUM(H537:M537)</f>
        <v>0</v>
      </c>
      <c r="H537" s="100">
        <f t="shared" ref="H537:M537" si="168">H468</f>
        <v>0</v>
      </c>
      <c r="I537" s="100">
        <f t="shared" si="168"/>
        <v>0</v>
      </c>
      <c r="J537" s="100">
        <f t="shared" si="168"/>
        <v>0</v>
      </c>
      <c r="K537" s="100">
        <f t="shared" si="168"/>
        <v>0</v>
      </c>
      <c r="L537" s="100">
        <f t="shared" si="168"/>
        <v>0</v>
      </c>
      <c r="M537" s="121">
        <f t="shared" si="168"/>
        <v>0</v>
      </c>
    </row>
    <row r="538" spans="1:13" s="115" customFormat="1" ht="12.75" customHeight="1" x14ac:dyDescent="0.25">
      <c r="A538" s="265">
        <v>5442</v>
      </c>
      <c r="B538" s="251"/>
      <c r="C538" s="82" t="s">
        <v>526</v>
      </c>
      <c r="D538" s="82"/>
      <c r="E538" s="100">
        <f>IF((E536-E537)&gt;0,E536-E537,0)</f>
        <v>0</v>
      </c>
      <c r="F538" s="100"/>
      <c r="G538" s="100">
        <f>IF((G536-G537)&gt;0,G536-G537,0)</f>
        <v>0</v>
      </c>
      <c r="H538" s="100">
        <f t="shared" ref="H538:M538" si="169">IF((H536-H537)&gt;0,H536-H537,0)</f>
        <v>0</v>
      </c>
      <c r="I538" s="100">
        <f t="shared" si="169"/>
        <v>0</v>
      </c>
      <c r="J538" s="100">
        <f t="shared" si="169"/>
        <v>0</v>
      </c>
      <c r="K538" s="100">
        <f t="shared" si="169"/>
        <v>0</v>
      </c>
      <c r="L538" s="100">
        <f t="shared" si="169"/>
        <v>0</v>
      </c>
      <c r="M538" s="121">
        <f t="shared" si="169"/>
        <v>0</v>
      </c>
    </row>
    <row r="539" spans="1:13" s="115" customFormat="1" ht="12.75" customHeight="1" x14ac:dyDescent="0.25">
      <c r="A539" s="265">
        <v>5443</v>
      </c>
      <c r="B539" s="251"/>
      <c r="C539" s="82" t="s">
        <v>527</v>
      </c>
      <c r="D539" s="82"/>
      <c r="E539" s="100">
        <f>IF((E537-E536)&gt;0,E537-E536,0)</f>
        <v>0</v>
      </c>
      <c r="F539" s="100"/>
      <c r="G539" s="100">
        <f>IF((G537-G536)&gt;0,G537-G536,0)</f>
        <v>0</v>
      </c>
      <c r="H539" s="100">
        <f t="shared" ref="H539:M539" si="170">IF((H537-H536)&gt;0,H537-H536,0)</f>
        <v>0</v>
      </c>
      <c r="I539" s="100">
        <f t="shared" si="170"/>
        <v>0</v>
      </c>
      <c r="J539" s="100">
        <f t="shared" si="170"/>
        <v>0</v>
      </c>
      <c r="K539" s="100">
        <f t="shared" si="170"/>
        <v>0</v>
      </c>
      <c r="L539" s="100">
        <f t="shared" si="170"/>
        <v>0</v>
      </c>
      <c r="M539" s="121">
        <f t="shared" si="170"/>
        <v>0</v>
      </c>
    </row>
    <row r="540" spans="1:13" s="115" customFormat="1" ht="12.75" customHeight="1" x14ac:dyDescent="0.25">
      <c r="A540" s="265">
        <v>5444</v>
      </c>
      <c r="B540" s="251"/>
      <c r="C540" s="82" t="s">
        <v>528</v>
      </c>
      <c r="D540" s="82"/>
      <c r="E540" s="100">
        <f t="shared" ref="E540:M540" si="171">IF(E211-E524&gt;0,E211-E524,0)</f>
        <v>0</v>
      </c>
      <c r="F540" s="100"/>
      <c r="G540" s="100">
        <f t="shared" si="171"/>
        <v>989</v>
      </c>
      <c r="H540" s="100">
        <f t="shared" si="171"/>
        <v>0</v>
      </c>
      <c r="I540" s="100">
        <f t="shared" si="171"/>
        <v>0</v>
      </c>
      <c r="J540" s="100">
        <f t="shared" si="171"/>
        <v>5867</v>
      </c>
      <c r="K540" s="100">
        <f t="shared" si="171"/>
        <v>463</v>
      </c>
      <c r="L540" s="100">
        <f t="shared" si="171"/>
        <v>0</v>
      </c>
      <c r="M540" s="121">
        <f t="shared" si="171"/>
        <v>0</v>
      </c>
    </row>
    <row r="541" spans="1:13" s="115" customFormat="1" ht="12.75" customHeight="1" thickBot="1" x14ac:dyDescent="0.3">
      <c r="A541" s="267">
        <v>5445</v>
      </c>
      <c r="B541" s="87"/>
      <c r="C541" s="89" t="s">
        <v>529</v>
      </c>
      <c r="D541" s="250">
        <f t="shared" ref="D541:M541" si="172">IF(D524-D211&gt;0,D524-D211,0)</f>
        <v>0</v>
      </c>
      <c r="E541" s="113">
        <f t="shared" si="172"/>
        <v>6335</v>
      </c>
      <c r="F541" s="113">
        <f t="shared" si="172"/>
        <v>6335</v>
      </c>
      <c r="G541" s="113">
        <f t="shared" si="172"/>
        <v>0</v>
      </c>
      <c r="H541" s="113">
        <f t="shared" si="172"/>
        <v>413</v>
      </c>
      <c r="I541" s="113">
        <f t="shared" si="172"/>
        <v>0</v>
      </c>
      <c r="J541" s="113">
        <f t="shared" si="172"/>
        <v>0</v>
      </c>
      <c r="K541" s="113">
        <f t="shared" si="172"/>
        <v>0</v>
      </c>
      <c r="L541" s="113">
        <f t="shared" si="172"/>
        <v>0</v>
      </c>
      <c r="M541" s="123">
        <f t="shared" si="172"/>
        <v>4928</v>
      </c>
    </row>
  </sheetData>
  <mergeCells count="197">
    <mergeCell ref="A5:A7"/>
    <mergeCell ref="B5:B7"/>
    <mergeCell ref="C5:C7"/>
    <mergeCell ref="E5:E7"/>
    <mergeCell ref="G5:M5"/>
    <mergeCell ref="N5:N7"/>
    <mergeCell ref="G6:G7"/>
    <mergeCell ref="H6:K6"/>
    <mergeCell ref="L6:L7"/>
    <mergeCell ref="M6:M7"/>
    <mergeCell ref="D5:D7"/>
    <mergeCell ref="F5:F7"/>
    <mergeCell ref="A14:A16"/>
    <mergeCell ref="B14:B16"/>
    <mergeCell ref="C14:C16"/>
    <mergeCell ref="E14:E16"/>
    <mergeCell ref="G14:M14"/>
    <mergeCell ref="G15:G16"/>
    <mergeCell ref="H15:K15"/>
    <mergeCell ref="L15:L16"/>
    <mergeCell ref="M15:M16"/>
    <mergeCell ref="A46:A48"/>
    <mergeCell ref="B46:B48"/>
    <mergeCell ref="C46:C48"/>
    <mergeCell ref="E46:E48"/>
    <mergeCell ref="G46:M46"/>
    <mergeCell ref="G47:G48"/>
    <mergeCell ref="H47:K47"/>
    <mergeCell ref="L47:L48"/>
    <mergeCell ref="M47:M48"/>
    <mergeCell ref="A73:A75"/>
    <mergeCell ref="B73:B75"/>
    <mergeCell ref="C73:C75"/>
    <mergeCell ref="E73:E75"/>
    <mergeCell ref="G73:M73"/>
    <mergeCell ref="G74:G75"/>
    <mergeCell ref="H74:K74"/>
    <mergeCell ref="L74:L75"/>
    <mergeCell ref="M74:M75"/>
    <mergeCell ref="A103:A105"/>
    <mergeCell ref="B103:B105"/>
    <mergeCell ref="C103:C105"/>
    <mergeCell ref="E103:E105"/>
    <mergeCell ref="G103:M103"/>
    <mergeCell ref="G104:G105"/>
    <mergeCell ref="H104:K104"/>
    <mergeCell ref="L104:L105"/>
    <mergeCell ref="M104:M105"/>
    <mergeCell ref="A129:A131"/>
    <mergeCell ref="B129:B131"/>
    <mergeCell ref="C129:C131"/>
    <mergeCell ref="E129:E131"/>
    <mergeCell ref="G129:M129"/>
    <mergeCell ref="G130:G131"/>
    <mergeCell ref="H130:K130"/>
    <mergeCell ref="L130:L131"/>
    <mergeCell ref="M130:M131"/>
    <mergeCell ref="A156:A158"/>
    <mergeCell ref="B156:B158"/>
    <mergeCell ref="C156:C158"/>
    <mergeCell ref="E156:E158"/>
    <mergeCell ref="G156:M156"/>
    <mergeCell ref="G157:G158"/>
    <mergeCell ref="H157:K157"/>
    <mergeCell ref="L157:L158"/>
    <mergeCell ref="M157:M158"/>
    <mergeCell ref="A182:A184"/>
    <mergeCell ref="B182:B184"/>
    <mergeCell ref="C182:C184"/>
    <mergeCell ref="E182:E184"/>
    <mergeCell ref="G182:M182"/>
    <mergeCell ref="G183:G184"/>
    <mergeCell ref="H183:K183"/>
    <mergeCell ref="L183:L184"/>
    <mergeCell ref="M183:M184"/>
    <mergeCell ref="A204:A206"/>
    <mergeCell ref="B204:B206"/>
    <mergeCell ref="C204:C206"/>
    <mergeCell ref="E204:E206"/>
    <mergeCell ref="G204:M204"/>
    <mergeCell ref="G205:G206"/>
    <mergeCell ref="H205:K205"/>
    <mergeCell ref="L205:L206"/>
    <mergeCell ref="M205:M206"/>
    <mergeCell ref="A216:A218"/>
    <mergeCell ref="B216:B218"/>
    <mergeCell ref="C216:C218"/>
    <mergeCell ref="E216:E218"/>
    <mergeCell ref="G216:M216"/>
    <mergeCell ref="N216:N218"/>
    <mergeCell ref="G217:G218"/>
    <mergeCell ref="H217:K217"/>
    <mergeCell ref="L217:L218"/>
    <mergeCell ref="M217:M218"/>
    <mergeCell ref="D216:D218"/>
    <mergeCell ref="F216:F218"/>
    <mergeCell ref="A235:A237"/>
    <mergeCell ref="B235:B237"/>
    <mergeCell ref="C235:C237"/>
    <mergeCell ref="E235:E237"/>
    <mergeCell ref="G235:M235"/>
    <mergeCell ref="G236:G237"/>
    <mergeCell ref="H236:K236"/>
    <mergeCell ref="L236:L237"/>
    <mergeCell ref="M236:M237"/>
    <mergeCell ref="A271:A273"/>
    <mergeCell ref="B271:B273"/>
    <mergeCell ref="C271:C273"/>
    <mergeCell ref="E271:E273"/>
    <mergeCell ref="G271:M271"/>
    <mergeCell ref="G272:G273"/>
    <mergeCell ref="H272:K272"/>
    <mergeCell ref="L272:L273"/>
    <mergeCell ref="M272:M273"/>
    <mergeCell ref="A302:A304"/>
    <mergeCell ref="B302:B304"/>
    <mergeCell ref="C302:C304"/>
    <mergeCell ref="E302:E304"/>
    <mergeCell ref="G302:M302"/>
    <mergeCell ref="G303:G304"/>
    <mergeCell ref="H303:K303"/>
    <mergeCell ref="L303:L304"/>
    <mergeCell ref="M303:M304"/>
    <mergeCell ref="A332:A334"/>
    <mergeCell ref="B332:B334"/>
    <mergeCell ref="C332:C334"/>
    <mergeCell ref="E332:E334"/>
    <mergeCell ref="G332:M332"/>
    <mergeCell ref="G333:G334"/>
    <mergeCell ref="H333:K333"/>
    <mergeCell ref="L333:L334"/>
    <mergeCell ref="M333:M334"/>
    <mergeCell ref="A358:A360"/>
    <mergeCell ref="B358:B360"/>
    <mergeCell ref="C358:C360"/>
    <mergeCell ref="E358:E360"/>
    <mergeCell ref="G358:M358"/>
    <mergeCell ref="G359:G360"/>
    <mergeCell ref="H359:K359"/>
    <mergeCell ref="L359:L360"/>
    <mergeCell ref="M359:M360"/>
    <mergeCell ref="A383:A385"/>
    <mergeCell ref="B383:B385"/>
    <mergeCell ref="C383:C385"/>
    <mergeCell ref="E383:E385"/>
    <mergeCell ref="G383:M383"/>
    <mergeCell ref="G384:G385"/>
    <mergeCell ref="H384:K384"/>
    <mergeCell ref="L384:L385"/>
    <mergeCell ref="M384:M385"/>
    <mergeCell ref="A411:A413"/>
    <mergeCell ref="B411:B413"/>
    <mergeCell ref="C411:C413"/>
    <mergeCell ref="E411:E413"/>
    <mergeCell ref="G411:M411"/>
    <mergeCell ref="G412:G413"/>
    <mergeCell ref="H412:K412"/>
    <mergeCell ref="L412:L413"/>
    <mergeCell ref="M412:M413"/>
    <mergeCell ref="A446:A448"/>
    <mergeCell ref="B446:B448"/>
    <mergeCell ref="C446:C448"/>
    <mergeCell ref="E446:E448"/>
    <mergeCell ref="G446:M446"/>
    <mergeCell ref="G447:G448"/>
    <mergeCell ref="H447:K447"/>
    <mergeCell ref="L447:L448"/>
    <mergeCell ref="M447:M448"/>
    <mergeCell ref="A474:A476"/>
    <mergeCell ref="B474:B476"/>
    <mergeCell ref="C474:C476"/>
    <mergeCell ref="E474:E476"/>
    <mergeCell ref="G474:M474"/>
    <mergeCell ref="G475:G476"/>
    <mergeCell ref="H475:K475"/>
    <mergeCell ref="L475:L476"/>
    <mergeCell ref="M475:M476"/>
    <mergeCell ref="A501:A503"/>
    <mergeCell ref="B501:B503"/>
    <mergeCell ref="C501:C503"/>
    <mergeCell ref="E501:E503"/>
    <mergeCell ref="G501:M501"/>
    <mergeCell ref="G502:G503"/>
    <mergeCell ref="H502:K502"/>
    <mergeCell ref="L502:L503"/>
    <mergeCell ref="M502:M503"/>
    <mergeCell ref="A528:A530"/>
    <mergeCell ref="B528:B530"/>
    <mergeCell ref="C528:C530"/>
    <mergeCell ref="E528:E530"/>
    <mergeCell ref="G528:M528"/>
    <mergeCell ref="G529:G530"/>
    <mergeCell ref="H529:K529"/>
    <mergeCell ref="L529:L530"/>
    <mergeCell ref="M529:M530"/>
    <mergeCell ref="D528:D530"/>
    <mergeCell ref="F528:F530"/>
  </mergeCells>
  <dataValidations count="1">
    <dataValidation type="whole" allowBlank="1" showErrorMessage="1" errorTitle="Upozorenje" error="Niste uneli korektnu vrednost!_x000a_Ponovite unos." sqref="E9:M13 E220:M234 G275:M301 E275:E301 G239:M270 E239:E270 G107:M128 E107:E128 G77:M102 E77:E102 E415:M445 E387:M410 E450:M473 E478:M500 E362:M382 E336:M357 E306:M331 E505:M524 F77:F128 E186:M203 E160:M181 E133:M155 E50:M72 E18:M45 F235:F301 E208:M211">
      <formula1>0</formula1>
      <formula2>999999999</formula2>
    </dataValidation>
  </dataValidations>
  <pageMargins left="0.16" right="0.16" top="0.56999999999999995" bottom="0.26" header="0.22" footer="0.3"/>
  <pageSetup paperSize="9" scale="95" orientation="landscape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W547"/>
  <sheetViews>
    <sheetView workbookViewId="0">
      <selection activeCell="A548" sqref="A548:XFD549"/>
    </sheetView>
  </sheetViews>
  <sheetFormatPr defaultRowHeight="15" x14ac:dyDescent="0.25"/>
  <cols>
    <col min="1" max="1" width="4.85546875" style="281" customWidth="1"/>
    <col min="2" max="2" width="9" style="281" customWidth="1"/>
    <col min="3" max="3" width="28.42578125" style="281" customWidth="1"/>
    <col min="4" max="4" width="3.28515625" style="281" customWidth="1"/>
    <col min="5" max="5" width="8.7109375" style="281" hidden="1" customWidth="1"/>
    <col min="6" max="6" width="10.42578125" style="281" customWidth="1"/>
    <col min="7" max="7" width="1" style="281" hidden="1" customWidth="1"/>
    <col min="8" max="8" width="9.7109375" style="281" customWidth="1"/>
    <col min="9" max="9" width="7.5703125" style="281" hidden="1" customWidth="1"/>
    <col min="10" max="10" width="0" style="281" hidden="1" customWidth="1"/>
    <col min="11" max="11" width="7.28515625" style="281" customWidth="1"/>
    <col min="12" max="12" width="6.28515625" style="281" hidden="1" customWidth="1"/>
    <col min="13" max="13" width="10.28515625" style="281" customWidth="1"/>
    <col min="14" max="14" width="0" style="281" hidden="1" customWidth="1"/>
    <col min="15" max="15" width="0.5703125" style="281" hidden="1" customWidth="1"/>
    <col min="16" max="16" width="10.5703125" style="281" customWidth="1"/>
    <col min="17" max="17" width="7.85546875" style="281" hidden="1" customWidth="1"/>
    <col min="18" max="22" width="0" style="281" hidden="1" customWidth="1"/>
    <col min="23" max="16384" width="9.140625" style="281"/>
  </cols>
  <sheetData>
    <row r="1" spans="1:17" ht="33.75" customHeight="1" thickBot="1" x14ac:dyDescent="0.3">
      <c r="A1" s="279" t="s">
        <v>507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</row>
    <row r="2" spans="1:17" ht="15" customHeight="1" thickBot="1" x14ac:dyDescent="0.3">
      <c r="A2" s="681" t="s">
        <v>0</v>
      </c>
      <c r="B2" s="683" t="s">
        <v>1</v>
      </c>
      <c r="C2" s="683" t="s">
        <v>2</v>
      </c>
      <c r="D2" s="685"/>
      <c r="E2" s="686" t="s">
        <v>3</v>
      </c>
      <c r="F2" s="687" t="s">
        <v>3</v>
      </c>
      <c r="G2" s="688"/>
      <c r="H2" s="688"/>
      <c r="I2" s="688"/>
      <c r="J2" s="688"/>
      <c r="K2" s="688"/>
      <c r="L2" s="688"/>
      <c r="M2" s="688"/>
      <c r="N2" s="688"/>
      <c r="O2" s="688"/>
      <c r="P2" s="688"/>
      <c r="Q2" s="689"/>
    </row>
    <row r="3" spans="1:17" ht="29.25" customHeight="1" x14ac:dyDescent="0.25">
      <c r="A3" s="682"/>
      <c r="B3" s="658"/>
      <c r="C3" s="684"/>
      <c r="D3" s="680"/>
      <c r="E3" s="658"/>
      <c r="F3" s="685" t="s">
        <v>510</v>
      </c>
      <c r="G3" s="690" t="s">
        <v>5</v>
      </c>
      <c r="H3" s="691" t="s">
        <v>6</v>
      </c>
      <c r="I3" s="692"/>
      <c r="J3" s="692"/>
      <c r="K3" s="692"/>
      <c r="L3" s="692"/>
      <c r="M3" s="692"/>
      <c r="N3" s="693"/>
      <c r="O3" s="668" t="s">
        <v>7</v>
      </c>
      <c r="P3" s="668" t="s">
        <v>8</v>
      </c>
      <c r="Q3" s="669" t="s">
        <v>8</v>
      </c>
    </row>
    <row r="4" spans="1:17" ht="39" x14ac:dyDescent="0.25">
      <c r="A4" s="682"/>
      <c r="B4" s="658"/>
      <c r="C4" s="684"/>
      <c r="D4" s="668"/>
      <c r="E4" s="658"/>
      <c r="F4" s="668"/>
      <c r="G4" s="665"/>
      <c r="H4" s="282" t="s">
        <v>9</v>
      </c>
      <c r="I4" s="283" t="s">
        <v>9</v>
      </c>
      <c r="J4" s="283" t="s">
        <v>9</v>
      </c>
      <c r="K4" s="283" t="s">
        <v>11</v>
      </c>
      <c r="L4" s="283" t="s">
        <v>11</v>
      </c>
      <c r="M4" s="283" t="s">
        <v>12</v>
      </c>
      <c r="N4" s="283" t="s">
        <v>12</v>
      </c>
      <c r="O4" s="658"/>
      <c r="P4" s="658"/>
      <c r="Q4" s="664"/>
    </row>
    <row r="5" spans="1:17" x14ac:dyDescent="0.25">
      <c r="A5" s="284">
        <v>1</v>
      </c>
      <c r="B5" s="283">
        <v>2</v>
      </c>
      <c r="C5" s="283">
        <v>3</v>
      </c>
      <c r="D5" s="283"/>
      <c r="E5" s="283">
        <v>4</v>
      </c>
      <c r="F5" s="283">
        <v>4</v>
      </c>
      <c r="G5" s="283">
        <v>4</v>
      </c>
      <c r="H5" s="283">
        <v>5</v>
      </c>
      <c r="I5" s="283">
        <v>5</v>
      </c>
      <c r="J5" s="283">
        <v>7</v>
      </c>
      <c r="K5" s="283">
        <v>6</v>
      </c>
      <c r="L5" s="283">
        <v>6</v>
      </c>
      <c r="M5" s="283">
        <v>7</v>
      </c>
      <c r="N5" s="283">
        <v>7</v>
      </c>
      <c r="O5" s="283">
        <v>10</v>
      </c>
      <c r="P5" s="283">
        <v>8</v>
      </c>
      <c r="Q5" s="285">
        <v>8</v>
      </c>
    </row>
    <row r="6" spans="1:17" ht="42" customHeight="1" x14ac:dyDescent="0.25">
      <c r="A6" s="286">
        <v>5001</v>
      </c>
      <c r="B6" s="283"/>
      <c r="C6" s="287" t="s">
        <v>13</v>
      </c>
      <c r="D6" s="287"/>
      <c r="E6" s="288">
        <f>E7+E133</f>
        <v>1500538</v>
      </c>
      <c r="F6" s="288">
        <f>F7+F133</f>
        <v>1639234</v>
      </c>
      <c r="G6" s="288">
        <f t="shared" ref="G6:Q6" si="0">G7+G133</f>
        <v>3027938</v>
      </c>
      <c r="H6" s="288">
        <f t="shared" si="0"/>
        <v>26000</v>
      </c>
      <c r="I6" s="288">
        <f t="shared" si="0"/>
        <v>18738</v>
      </c>
      <c r="J6" s="288">
        <f t="shared" si="0"/>
        <v>0</v>
      </c>
      <c r="K6" s="288">
        <f t="shared" si="0"/>
        <v>1000</v>
      </c>
      <c r="L6" s="288">
        <f t="shared" si="0"/>
        <v>505</v>
      </c>
      <c r="M6" s="288">
        <f t="shared" si="0"/>
        <v>1599334</v>
      </c>
      <c r="N6" s="288">
        <f t="shared" si="0"/>
        <v>1398192</v>
      </c>
      <c r="O6" s="288">
        <f t="shared" si="0"/>
        <v>0</v>
      </c>
      <c r="P6" s="288">
        <f t="shared" si="0"/>
        <v>12900</v>
      </c>
      <c r="Q6" s="289">
        <f t="shared" si="0"/>
        <v>12669</v>
      </c>
    </row>
    <row r="7" spans="1:17" ht="39" x14ac:dyDescent="0.25">
      <c r="A7" s="286">
        <v>5002</v>
      </c>
      <c r="B7" s="283">
        <v>700000</v>
      </c>
      <c r="C7" s="287" t="s">
        <v>14</v>
      </c>
      <c r="D7" s="287"/>
      <c r="E7" s="288">
        <f>E8+E60+E74+E86+E115+E122+E126</f>
        <v>1500338</v>
      </c>
      <c r="F7" s="290">
        <f>F86+F122+F126</f>
        <v>1639034</v>
      </c>
      <c r="G7" s="288">
        <f>G8+G60+G74+G86+G115+G122+G126</f>
        <v>3027754</v>
      </c>
      <c r="H7" s="288">
        <f t="shared" ref="H7:Q7" si="1">H8+H60+H74+H86+H115+H122+H126</f>
        <v>26000</v>
      </c>
      <c r="I7" s="288">
        <f t="shared" si="1"/>
        <v>18738</v>
      </c>
      <c r="J7" s="288">
        <f t="shared" si="1"/>
        <v>0</v>
      </c>
      <c r="K7" s="288">
        <f t="shared" si="1"/>
        <v>1000</v>
      </c>
      <c r="L7" s="288">
        <f t="shared" si="1"/>
        <v>505</v>
      </c>
      <c r="M7" s="288">
        <f t="shared" si="1"/>
        <v>1599334</v>
      </c>
      <c r="N7" s="288">
        <f t="shared" si="1"/>
        <v>1398192</v>
      </c>
      <c r="O7" s="288">
        <f t="shared" si="1"/>
        <v>0</v>
      </c>
      <c r="P7" s="288">
        <f t="shared" si="1"/>
        <v>12700</v>
      </c>
      <c r="Q7" s="289">
        <f t="shared" si="1"/>
        <v>12485</v>
      </c>
    </row>
    <row r="8" spans="1:17" ht="39" hidden="1" customHeight="1" x14ac:dyDescent="0.25">
      <c r="A8" s="284">
        <v>5003</v>
      </c>
      <c r="B8" s="283">
        <v>710000</v>
      </c>
      <c r="C8" s="287" t="s">
        <v>15</v>
      </c>
      <c r="D8" s="287"/>
      <c r="E8" s="291">
        <f>E9+E17+E19+E26+E32+E39+E42+E53</f>
        <v>0</v>
      </c>
      <c r="F8" s="291"/>
      <c r="G8" s="291">
        <f t="shared" ref="G8:G41" si="2">SUM(I8:Q8)</f>
        <v>0</v>
      </c>
      <c r="H8" s="291"/>
      <c r="I8" s="291">
        <f t="shared" ref="I8:Q8" si="3">I9+I17+I19+I26+I32+I39+I42+I53</f>
        <v>0</v>
      </c>
      <c r="J8" s="291">
        <f t="shared" si="3"/>
        <v>0</v>
      </c>
      <c r="K8" s="291"/>
      <c r="L8" s="291">
        <f t="shared" si="3"/>
        <v>0</v>
      </c>
      <c r="M8" s="291"/>
      <c r="N8" s="291">
        <f t="shared" si="3"/>
        <v>0</v>
      </c>
      <c r="O8" s="291">
        <f t="shared" si="3"/>
        <v>0</v>
      </c>
      <c r="P8" s="291"/>
      <c r="Q8" s="292">
        <f t="shared" si="3"/>
        <v>0</v>
      </c>
    </row>
    <row r="9" spans="1:17" ht="39" hidden="1" customHeight="1" x14ac:dyDescent="0.25">
      <c r="A9" s="284">
        <v>5004</v>
      </c>
      <c r="B9" s="283">
        <v>711000</v>
      </c>
      <c r="C9" s="287" t="s">
        <v>16</v>
      </c>
      <c r="D9" s="287"/>
      <c r="E9" s="291">
        <f>SUM(E10:E16)</f>
        <v>0</v>
      </c>
      <c r="F9" s="291"/>
      <c r="G9" s="291">
        <f t="shared" si="2"/>
        <v>0</v>
      </c>
      <c r="H9" s="291"/>
      <c r="I9" s="291">
        <f t="shared" ref="I9:Q9" si="4">SUM(I10:I16)</f>
        <v>0</v>
      </c>
      <c r="J9" s="291">
        <f t="shared" si="4"/>
        <v>0</v>
      </c>
      <c r="K9" s="291"/>
      <c r="L9" s="291">
        <f t="shared" si="4"/>
        <v>0</v>
      </c>
      <c r="M9" s="291"/>
      <c r="N9" s="291">
        <f t="shared" si="4"/>
        <v>0</v>
      </c>
      <c r="O9" s="291">
        <f t="shared" si="4"/>
        <v>0</v>
      </c>
      <c r="P9" s="291"/>
      <c r="Q9" s="292">
        <f t="shared" si="4"/>
        <v>0</v>
      </c>
    </row>
    <row r="10" spans="1:17" ht="39" hidden="1" customHeight="1" x14ac:dyDescent="0.25">
      <c r="A10" s="293">
        <v>5005</v>
      </c>
      <c r="B10" s="294">
        <v>711100</v>
      </c>
      <c r="C10" s="295" t="s">
        <v>17</v>
      </c>
      <c r="D10" s="296"/>
      <c r="E10" s="297"/>
      <c r="F10" s="298"/>
      <c r="G10" s="298">
        <f t="shared" si="2"/>
        <v>0</v>
      </c>
      <c r="H10" s="298"/>
      <c r="I10" s="298"/>
      <c r="J10" s="298"/>
      <c r="K10" s="298"/>
      <c r="L10" s="298"/>
      <c r="M10" s="298"/>
      <c r="N10" s="298"/>
      <c r="O10" s="298"/>
      <c r="P10" s="298"/>
      <c r="Q10" s="299"/>
    </row>
    <row r="11" spans="1:17" ht="24" hidden="1" customHeight="1" x14ac:dyDescent="0.25">
      <c r="A11" s="670" t="s">
        <v>0</v>
      </c>
      <c r="B11" s="673" t="s">
        <v>1</v>
      </c>
      <c r="C11" s="676" t="s">
        <v>2</v>
      </c>
      <c r="D11" s="300"/>
      <c r="E11" s="679" t="s">
        <v>3</v>
      </c>
      <c r="F11" s="283"/>
      <c r="G11" s="658" t="s">
        <v>4</v>
      </c>
      <c r="H11" s="658"/>
      <c r="I11" s="658"/>
      <c r="J11" s="658"/>
      <c r="K11" s="658"/>
      <c r="L11" s="658"/>
      <c r="M11" s="658"/>
      <c r="N11" s="658"/>
      <c r="O11" s="658"/>
      <c r="P11" s="658"/>
      <c r="Q11" s="664"/>
    </row>
    <row r="12" spans="1:17" ht="24" hidden="1" customHeight="1" x14ac:dyDescent="0.25">
      <c r="A12" s="671"/>
      <c r="B12" s="674"/>
      <c r="C12" s="677"/>
      <c r="D12" s="301"/>
      <c r="E12" s="680"/>
      <c r="F12" s="283"/>
      <c r="G12" s="665" t="s">
        <v>5</v>
      </c>
      <c r="H12" s="302"/>
      <c r="I12" s="658" t="s">
        <v>6</v>
      </c>
      <c r="J12" s="658"/>
      <c r="K12" s="658"/>
      <c r="L12" s="658"/>
      <c r="M12" s="658"/>
      <c r="N12" s="658"/>
      <c r="O12" s="658" t="s">
        <v>7</v>
      </c>
      <c r="P12" s="283"/>
      <c r="Q12" s="664" t="s">
        <v>8</v>
      </c>
    </row>
    <row r="13" spans="1:17" ht="39" hidden="1" customHeight="1" x14ac:dyDescent="0.25">
      <c r="A13" s="672"/>
      <c r="B13" s="675"/>
      <c r="C13" s="678"/>
      <c r="D13" s="303"/>
      <c r="E13" s="668"/>
      <c r="F13" s="283"/>
      <c r="G13" s="665"/>
      <c r="H13" s="302"/>
      <c r="I13" s="283" t="s">
        <v>9</v>
      </c>
      <c r="J13" s="283" t="s">
        <v>10</v>
      </c>
      <c r="K13" s="283"/>
      <c r="L13" s="283" t="s">
        <v>11</v>
      </c>
      <c r="M13" s="283"/>
      <c r="N13" s="283" t="s">
        <v>12</v>
      </c>
      <c r="O13" s="658"/>
      <c r="P13" s="283"/>
      <c r="Q13" s="664"/>
    </row>
    <row r="14" spans="1:17" ht="26.25" hidden="1" customHeight="1" x14ac:dyDescent="0.25">
      <c r="A14" s="304" t="s">
        <v>18</v>
      </c>
      <c r="B14" s="305" t="s">
        <v>19</v>
      </c>
      <c r="C14" s="305" t="s">
        <v>20</v>
      </c>
      <c r="D14" s="305"/>
      <c r="E14" s="306" t="s">
        <v>21</v>
      </c>
      <c r="F14" s="306"/>
      <c r="G14" s="306" t="s">
        <v>22</v>
      </c>
      <c r="H14" s="306"/>
      <c r="I14" s="306" t="s">
        <v>23</v>
      </c>
      <c r="J14" s="306" t="s">
        <v>24</v>
      </c>
      <c r="K14" s="306"/>
      <c r="L14" s="306" t="s">
        <v>25</v>
      </c>
      <c r="M14" s="306"/>
      <c r="N14" s="306" t="s">
        <v>26</v>
      </c>
      <c r="O14" s="306" t="s">
        <v>27</v>
      </c>
      <c r="P14" s="306"/>
      <c r="Q14" s="307" t="s">
        <v>28</v>
      </c>
    </row>
    <row r="15" spans="1:17" ht="39" hidden="1" customHeight="1" x14ac:dyDescent="0.25">
      <c r="A15" s="293">
        <v>5006</v>
      </c>
      <c r="B15" s="294">
        <v>711200</v>
      </c>
      <c r="C15" s="295" t="s">
        <v>29</v>
      </c>
      <c r="D15" s="295"/>
      <c r="E15" s="298"/>
      <c r="F15" s="298"/>
      <c r="G15" s="298">
        <f t="shared" si="2"/>
        <v>0</v>
      </c>
      <c r="H15" s="298"/>
      <c r="I15" s="298"/>
      <c r="J15" s="298"/>
      <c r="K15" s="298"/>
      <c r="L15" s="298"/>
      <c r="M15" s="298"/>
      <c r="N15" s="298"/>
      <c r="O15" s="298"/>
      <c r="P15" s="298"/>
      <c r="Q15" s="299"/>
    </row>
    <row r="16" spans="1:17" ht="51.75" hidden="1" customHeight="1" x14ac:dyDescent="0.25">
      <c r="A16" s="293">
        <v>5007</v>
      </c>
      <c r="B16" s="294">
        <v>711300</v>
      </c>
      <c r="C16" s="295" t="s">
        <v>30</v>
      </c>
      <c r="D16" s="295"/>
      <c r="E16" s="298"/>
      <c r="F16" s="298"/>
      <c r="G16" s="298">
        <f t="shared" si="2"/>
        <v>0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9"/>
    </row>
    <row r="17" spans="1:17" ht="26.25" hidden="1" customHeight="1" x14ac:dyDescent="0.25">
      <c r="A17" s="284">
        <v>5008</v>
      </c>
      <c r="B17" s="283">
        <v>712000</v>
      </c>
      <c r="C17" s="287" t="s">
        <v>31</v>
      </c>
      <c r="D17" s="287"/>
      <c r="E17" s="291">
        <f>E18</f>
        <v>0</v>
      </c>
      <c r="F17" s="291"/>
      <c r="G17" s="291">
        <f t="shared" si="2"/>
        <v>0</v>
      </c>
      <c r="H17" s="291"/>
      <c r="I17" s="291">
        <f t="shared" ref="I17:Q17" si="5">I18</f>
        <v>0</v>
      </c>
      <c r="J17" s="291">
        <f t="shared" si="5"/>
        <v>0</v>
      </c>
      <c r="K17" s="291"/>
      <c r="L17" s="291">
        <f t="shared" si="5"/>
        <v>0</v>
      </c>
      <c r="M17" s="291"/>
      <c r="N17" s="291">
        <f t="shared" si="5"/>
        <v>0</v>
      </c>
      <c r="O17" s="291">
        <f t="shared" si="5"/>
        <v>0</v>
      </c>
      <c r="P17" s="291"/>
      <c r="Q17" s="292">
        <f t="shared" si="5"/>
        <v>0</v>
      </c>
    </row>
    <row r="18" spans="1:17" ht="15" hidden="1" customHeight="1" x14ac:dyDescent="0.25">
      <c r="A18" s="293">
        <v>5009</v>
      </c>
      <c r="B18" s="294">
        <v>712100</v>
      </c>
      <c r="C18" s="295" t="s">
        <v>32</v>
      </c>
      <c r="D18" s="295"/>
      <c r="E18" s="298"/>
      <c r="F18" s="298"/>
      <c r="G18" s="298">
        <f t="shared" si="2"/>
        <v>0</v>
      </c>
      <c r="H18" s="298"/>
      <c r="I18" s="298"/>
      <c r="J18" s="298"/>
      <c r="K18" s="298"/>
      <c r="L18" s="298"/>
      <c r="M18" s="298"/>
      <c r="N18" s="298"/>
      <c r="O18" s="298"/>
      <c r="P18" s="298"/>
      <c r="Q18" s="299"/>
    </row>
    <row r="19" spans="1:17" ht="26.25" hidden="1" customHeight="1" x14ac:dyDescent="0.25">
      <c r="A19" s="284">
        <v>5010</v>
      </c>
      <c r="B19" s="283">
        <v>713000</v>
      </c>
      <c r="C19" s="287" t="s">
        <v>33</v>
      </c>
      <c r="D19" s="287"/>
      <c r="E19" s="291">
        <f>SUM(E20:E25)</f>
        <v>0</v>
      </c>
      <c r="F19" s="291"/>
      <c r="G19" s="291">
        <f t="shared" si="2"/>
        <v>0</v>
      </c>
      <c r="H19" s="291"/>
      <c r="I19" s="291">
        <f t="shared" ref="I19:Q19" si="6">SUM(I20:I25)</f>
        <v>0</v>
      </c>
      <c r="J19" s="291">
        <f t="shared" si="6"/>
        <v>0</v>
      </c>
      <c r="K19" s="291"/>
      <c r="L19" s="291">
        <f t="shared" si="6"/>
        <v>0</v>
      </c>
      <c r="M19" s="291"/>
      <c r="N19" s="291">
        <f t="shared" si="6"/>
        <v>0</v>
      </c>
      <c r="O19" s="291">
        <f t="shared" si="6"/>
        <v>0</v>
      </c>
      <c r="P19" s="291"/>
      <c r="Q19" s="292">
        <f t="shared" si="6"/>
        <v>0</v>
      </c>
    </row>
    <row r="20" spans="1:17" ht="26.25" hidden="1" customHeight="1" x14ac:dyDescent="0.25">
      <c r="A20" s="293">
        <v>5011</v>
      </c>
      <c r="B20" s="294">
        <v>713100</v>
      </c>
      <c r="C20" s="295" t="s">
        <v>34</v>
      </c>
      <c r="D20" s="295"/>
      <c r="E20" s="298"/>
      <c r="F20" s="298"/>
      <c r="G20" s="298">
        <f t="shared" si="2"/>
        <v>0</v>
      </c>
      <c r="H20" s="298"/>
      <c r="I20" s="298"/>
      <c r="J20" s="298"/>
      <c r="K20" s="298"/>
      <c r="L20" s="298"/>
      <c r="M20" s="298"/>
      <c r="N20" s="298"/>
      <c r="O20" s="298"/>
      <c r="P20" s="298"/>
      <c r="Q20" s="299"/>
    </row>
    <row r="21" spans="1:17" ht="26.25" hidden="1" customHeight="1" x14ac:dyDescent="0.25">
      <c r="A21" s="293">
        <v>5012</v>
      </c>
      <c r="B21" s="294">
        <v>713200</v>
      </c>
      <c r="C21" s="295" t="s">
        <v>35</v>
      </c>
      <c r="D21" s="295"/>
      <c r="E21" s="298"/>
      <c r="F21" s="298"/>
      <c r="G21" s="298">
        <f t="shared" si="2"/>
        <v>0</v>
      </c>
      <c r="H21" s="298"/>
      <c r="I21" s="298"/>
      <c r="J21" s="298"/>
      <c r="K21" s="298"/>
      <c r="L21" s="298"/>
      <c r="M21" s="298"/>
      <c r="N21" s="298"/>
      <c r="O21" s="298"/>
      <c r="P21" s="298"/>
      <c r="Q21" s="299"/>
    </row>
    <row r="22" spans="1:17" ht="26.25" hidden="1" customHeight="1" x14ac:dyDescent="0.25">
      <c r="A22" s="293">
        <v>5013</v>
      </c>
      <c r="B22" s="294">
        <v>713300</v>
      </c>
      <c r="C22" s="295" t="s">
        <v>36</v>
      </c>
      <c r="D22" s="295"/>
      <c r="E22" s="298"/>
      <c r="F22" s="298"/>
      <c r="G22" s="298">
        <f t="shared" si="2"/>
        <v>0</v>
      </c>
      <c r="H22" s="298"/>
      <c r="I22" s="298"/>
      <c r="J22" s="298"/>
      <c r="K22" s="298"/>
      <c r="L22" s="298"/>
      <c r="M22" s="298"/>
      <c r="N22" s="298"/>
      <c r="O22" s="298"/>
      <c r="P22" s="298"/>
      <c r="Q22" s="299"/>
    </row>
    <row r="23" spans="1:17" ht="26.25" hidden="1" customHeight="1" x14ac:dyDescent="0.25">
      <c r="A23" s="293">
        <v>5014</v>
      </c>
      <c r="B23" s="294">
        <v>713400</v>
      </c>
      <c r="C23" s="295" t="s">
        <v>37</v>
      </c>
      <c r="D23" s="295"/>
      <c r="E23" s="298"/>
      <c r="F23" s="298"/>
      <c r="G23" s="298">
        <f t="shared" si="2"/>
        <v>0</v>
      </c>
      <c r="H23" s="298"/>
      <c r="I23" s="298"/>
      <c r="J23" s="298"/>
      <c r="K23" s="298"/>
      <c r="L23" s="298"/>
      <c r="M23" s="298"/>
      <c r="N23" s="298"/>
      <c r="O23" s="298"/>
      <c r="P23" s="298"/>
      <c r="Q23" s="299"/>
    </row>
    <row r="24" spans="1:17" ht="26.25" hidden="1" customHeight="1" x14ac:dyDescent="0.25">
      <c r="A24" s="293">
        <v>5015</v>
      </c>
      <c r="B24" s="294">
        <v>713500</v>
      </c>
      <c r="C24" s="295" t="s">
        <v>38</v>
      </c>
      <c r="D24" s="295"/>
      <c r="E24" s="298"/>
      <c r="F24" s="298"/>
      <c r="G24" s="298">
        <f t="shared" si="2"/>
        <v>0</v>
      </c>
      <c r="H24" s="298"/>
      <c r="I24" s="298"/>
      <c r="J24" s="298"/>
      <c r="K24" s="298"/>
      <c r="L24" s="298"/>
      <c r="M24" s="298"/>
      <c r="N24" s="298"/>
      <c r="O24" s="298"/>
      <c r="P24" s="298"/>
      <c r="Q24" s="299"/>
    </row>
    <row r="25" spans="1:17" ht="26.25" hidden="1" customHeight="1" x14ac:dyDescent="0.25">
      <c r="A25" s="293">
        <v>5016</v>
      </c>
      <c r="B25" s="294">
        <v>713600</v>
      </c>
      <c r="C25" s="295" t="s">
        <v>39</v>
      </c>
      <c r="D25" s="295"/>
      <c r="E25" s="291"/>
      <c r="F25" s="291"/>
      <c r="G25" s="298">
        <f t="shared" si="2"/>
        <v>0</v>
      </c>
      <c r="H25" s="298"/>
      <c r="I25" s="291"/>
      <c r="J25" s="291"/>
      <c r="K25" s="291"/>
      <c r="L25" s="291"/>
      <c r="M25" s="291"/>
      <c r="N25" s="291"/>
      <c r="O25" s="291"/>
      <c r="P25" s="291"/>
      <c r="Q25" s="292"/>
    </row>
    <row r="26" spans="1:17" ht="26.25" hidden="1" customHeight="1" x14ac:dyDescent="0.25">
      <c r="A26" s="284">
        <v>5017</v>
      </c>
      <c r="B26" s="283">
        <v>714000</v>
      </c>
      <c r="C26" s="287" t="s">
        <v>40</v>
      </c>
      <c r="D26" s="287"/>
      <c r="E26" s="291">
        <f>SUM(E27:E31)</f>
        <v>0</v>
      </c>
      <c r="F26" s="291"/>
      <c r="G26" s="291">
        <f t="shared" si="2"/>
        <v>0</v>
      </c>
      <c r="H26" s="291"/>
      <c r="I26" s="291">
        <f t="shared" ref="I26:Q26" si="7">SUM(I27:I31)</f>
        <v>0</v>
      </c>
      <c r="J26" s="291">
        <f t="shared" si="7"/>
        <v>0</v>
      </c>
      <c r="K26" s="291"/>
      <c r="L26" s="291">
        <f t="shared" si="7"/>
        <v>0</v>
      </c>
      <c r="M26" s="291"/>
      <c r="N26" s="291">
        <f t="shared" si="7"/>
        <v>0</v>
      </c>
      <c r="O26" s="291">
        <f t="shared" si="7"/>
        <v>0</v>
      </c>
      <c r="P26" s="291"/>
      <c r="Q26" s="292">
        <f t="shared" si="7"/>
        <v>0</v>
      </c>
    </row>
    <row r="27" spans="1:17" ht="15" hidden="1" customHeight="1" x14ac:dyDescent="0.25">
      <c r="A27" s="293">
        <v>5018</v>
      </c>
      <c r="B27" s="294">
        <v>714100</v>
      </c>
      <c r="C27" s="295" t="s">
        <v>41</v>
      </c>
      <c r="D27" s="295"/>
      <c r="E27" s="298"/>
      <c r="F27" s="298"/>
      <c r="G27" s="298">
        <f t="shared" si="2"/>
        <v>0</v>
      </c>
      <c r="H27" s="298"/>
      <c r="I27" s="298"/>
      <c r="J27" s="298"/>
      <c r="K27" s="298"/>
      <c r="L27" s="298"/>
      <c r="M27" s="298"/>
      <c r="N27" s="298"/>
      <c r="O27" s="298"/>
      <c r="P27" s="298"/>
      <c r="Q27" s="299"/>
    </row>
    <row r="28" spans="1:17" ht="15" hidden="1" customHeight="1" x14ac:dyDescent="0.25">
      <c r="A28" s="293">
        <v>5019</v>
      </c>
      <c r="B28" s="294">
        <v>714300</v>
      </c>
      <c r="C28" s="295" t="s">
        <v>42</v>
      </c>
      <c r="D28" s="295"/>
      <c r="E28" s="298"/>
      <c r="F28" s="298"/>
      <c r="G28" s="298">
        <f t="shared" si="2"/>
        <v>0</v>
      </c>
      <c r="H28" s="298"/>
      <c r="I28" s="298"/>
      <c r="J28" s="298"/>
      <c r="K28" s="298"/>
      <c r="L28" s="298"/>
      <c r="M28" s="298"/>
      <c r="N28" s="298"/>
      <c r="O28" s="298"/>
      <c r="P28" s="298"/>
      <c r="Q28" s="299"/>
    </row>
    <row r="29" spans="1:17" ht="15" hidden="1" customHeight="1" x14ac:dyDescent="0.25">
      <c r="A29" s="293">
        <v>5020</v>
      </c>
      <c r="B29" s="294">
        <v>714400</v>
      </c>
      <c r="C29" s="295" t="s">
        <v>43</v>
      </c>
      <c r="D29" s="295"/>
      <c r="E29" s="298"/>
      <c r="F29" s="298"/>
      <c r="G29" s="298">
        <f t="shared" si="2"/>
        <v>0</v>
      </c>
      <c r="H29" s="298"/>
      <c r="I29" s="298"/>
      <c r="J29" s="298"/>
      <c r="K29" s="298"/>
      <c r="L29" s="298"/>
      <c r="M29" s="298"/>
      <c r="N29" s="298"/>
      <c r="O29" s="298"/>
      <c r="P29" s="298"/>
      <c r="Q29" s="299"/>
    </row>
    <row r="30" spans="1:17" ht="51.75" hidden="1" customHeight="1" x14ac:dyDescent="0.25">
      <c r="A30" s="293">
        <v>5021</v>
      </c>
      <c r="B30" s="294">
        <v>714500</v>
      </c>
      <c r="C30" s="295" t="s">
        <v>44</v>
      </c>
      <c r="D30" s="295"/>
      <c r="E30" s="298"/>
      <c r="F30" s="298"/>
      <c r="G30" s="298">
        <f t="shared" si="2"/>
        <v>0</v>
      </c>
      <c r="H30" s="298"/>
      <c r="I30" s="298"/>
      <c r="J30" s="298"/>
      <c r="K30" s="298"/>
      <c r="L30" s="298"/>
      <c r="M30" s="298"/>
      <c r="N30" s="298"/>
      <c r="O30" s="298"/>
      <c r="P30" s="298"/>
      <c r="Q30" s="299"/>
    </row>
    <row r="31" spans="1:17" ht="15" hidden="1" customHeight="1" x14ac:dyDescent="0.25">
      <c r="A31" s="293">
        <v>5022</v>
      </c>
      <c r="B31" s="294">
        <v>714600</v>
      </c>
      <c r="C31" s="295" t="s">
        <v>45</v>
      </c>
      <c r="D31" s="295"/>
      <c r="E31" s="298"/>
      <c r="F31" s="298"/>
      <c r="G31" s="298">
        <f t="shared" si="2"/>
        <v>0</v>
      </c>
      <c r="H31" s="298"/>
      <c r="I31" s="298"/>
      <c r="J31" s="298"/>
      <c r="K31" s="298"/>
      <c r="L31" s="298"/>
      <c r="M31" s="298"/>
      <c r="N31" s="298"/>
      <c r="O31" s="298"/>
      <c r="P31" s="298"/>
      <c r="Q31" s="299"/>
    </row>
    <row r="32" spans="1:17" ht="39" hidden="1" customHeight="1" x14ac:dyDescent="0.25">
      <c r="A32" s="284">
        <v>5023</v>
      </c>
      <c r="B32" s="283">
        <v>715000</v>
      </c>
      <c r="C32" s="287" t="s">
        <v>46</v>
      </c>
      <c r="D32" s="287"/>
      <c r="E32" s="291">
        <f>SUM(E33:E38)</f>
        <v>0</v>
      </c>
      <c r="F32" s="291"/>
      <c r="G32" s="291">
        <f t="shared" si="2"/>
        <v>0</v>
      </c>
      <c r="H32" s="291"/>
      <c r="I32" s="291">
        <f t="shared" ref="I32:Q32" si="8">SUM(I33:I38)</f>
        <v>0</v>
      </c>
      <c r="J32" s="291">
        <f t="shared" si="8"/>
        <v>0</v>
      </c>
      <c r="K32" s="291"/>
      <c r="L32" s="291">
        <f t="shared" si="8"/>
        <v>0</v>
      </c>
      <c r="M32" s="291"/>
      <c r="N32" s="291">
        <f t="shared" si="8"/>
        <v>0</v>
      </c>
      <c r="O32" s="291">
        <f t="shared" si="8"/>
        <v>0</v>
      </c>
      <c r="P32" s="291"/>
      <c r="Q32" s="292">
        <f t="shared" si="8"/>
        <v>0</v>
      </c>
    </row>
    <row r="33" spans="1:17" ht="15" hidden="1" customHeight="1" x14ac:dyDescent="0.25">
      <c r="A33" s="293">
        <v>5024</v>
      </c>
      <c r="B33" s="294">
        <v>715100</v>
      </c>
      <c r="C33" s="295" t="s">
        <v>47</v>
      </c>
      <c r="D33" s="295"/>
      <c r="E33" s="298"/>
      <c r="F33" s="298"/>
      <c r="G33" s="298">
        <f t="shared" si="2"/>
        <v>0</v>
      </c>
      <c r="H33" s="298"/>
      <c r="I33" s="298"/>
      <c r="J33" s="298"/>
      <c r="K33" s="298"/>
      <c r="L33" s="298"/>
      <c r="M33" s="298"/>
      <c r="N33" s="298"/>
      <c r="O33" s="298"/>
      <c r="P33" s="298"/>
      <c r="Q33" s="299"/>
    </row>
    <row r="34" spans="1:17" ht="15" hidden="1" customHeight="1" x14ac:dyDescent="0.25">
      <c r="A34" s="293">
        <v>5025</v>
      </c>
      <c r="B34" s="294">
        <v>715200</v>
      </c>
      <c r="C34" s="295" t="s">
        <v>48</v>
      </c>
      <c r="D34" s="295"/>
      <c r="E34" s="298"/>
      <c r="F34" s="298"/>
      <c r="G34" s="298">
        <f t="shared" si="2"/>
        <v>0</v>
      </c>
      <c r="H34" s="298"/>
      <c r="I34" s="298"/>
      <c r="J34" s="298"/>
      <c r="K34" s="298"/>
      <c r="L34" s="298"/>
      <c r="M34" s="298"/>
      <c r="N34" s="298"/>
      <c r="O34" s="298"/>
      <c r="P34" s="298"/>
      <c r="Q34" s="299"/>
    </row>
    <row r="35" spans="1:17" ht="26.25" hidden="1" x14ac:dyDescent="0.25">
      <c r="A35" s="293">
        <v>5026</v>
      </c>
      <c r="B35" s="294">
        <v>715300</v>
      </c>
      <c r="C35" s="295" t="s">
        <v>49</v>
      </c>
      <c r="D35" s="295"/>
      <c r="E35" s="298"/>
      <c r="F35" s="298"/>
      <c r="G35" s="298">
        <f t="shared" si="2"/>
        <v>0</v>
      </c>
      <c r="H35" s="298"/>
      <c r="I35" s="298"/>
      <c r="J35" s="298"/>
      <c r="K35" s="298"/>
      <c r="L35" s="298"/>
      <c r="M35" s="298"/>
      <c r="N35" s="298"/>
      <c r="O35" s="298"/>
      <c r="P35" s="298"/>
      <c r="Q35" s="299"/>
    </row>
    <row r="36" spans="1:17" ht="39" hidden="1" x14ac:dyDescent="0.25">
      <c r="A36" s="293">
        <v>5027</v>
      </c>
      <c r="B36" s="294">
        <v>715400</v>
      </c>
      <c r="C36" s="295" t="s">
        <v>50</v>
      </c>
      <c r="D36" s="295"/>
      <c r="E36" s="298"/>
      <c r="F36" s="298"/>
      <c r="G36" s="298">
        <f t="shared" si="2"/>
        <v>0</v>
      </c>
      <c r="H36" s="298"/>
      <c r="I36" s="298"/>
      <c r="J36" s="298"/>
      <c r="K36" s="298"/>
      <c r="L36" s="298"/>
      <c r="M36" s="298"/>
      <c r="N36" s="298"/>
      <c r="O36" s="298"/>
      <c r="P36" s="298"/>
      <c r="Q36" s="299"/>
    </row>
    <row r="37" spans="1:17" ht="26.25" hidden="1" x14ac:dyDescent="0.25">
      <c r="A37" s="293">
        <v>5028</v>
      </c>
      <c r="B37" s="294">
        <v>715500</v>
      </c>
      <c r="C37" s="295" t="s">
        <v>51</v>
      </c>
      <c r="D37" s="295"/>
      <c r="E37" s="298"/>
      <c r="F37" s="298"/>
      <c r="G37" s="298">
        <f t="shared" si="2"/>
        <v>0</v>
      </c>
      <c r="H37" s="298"/>
      <c r="I37" s="298"/>
      <c r="J37" s="298"/>
      <c r="K37" s="298"/>
      <c r="L37" s="298"/>
      <c r="M37" s="298"/>
      <c r="N37" s="298"/>
      <c r="O37" s="298"/>
      <c r="P37" s="298"/>
      <c r="Q37" s="299"/>
    </row>
    <row r="38" spans="1:17" ht="26.25" hidden="1" x14ac:dyDescent="0.25">
      <c r="A38" s="293">
        <v>5029</v>
      </c>
      <c r="B38" s="294">
        <v>715600</v>
      </c>
      <c r="C38" s="295" t="s">
        <v>52</v>
      </c>
      <c r="D38" s="295"/>
      <c r="E38" s="298"/>
      <c r="F38" s="298"/>
      <c r="G38" s="298">
        <f t="shared" si="2"/>
        <v>0</v>
      </c>
      <c r="H38" s="298"/>
      <c r="I38" s="298"/>
      <c r="J38" s="298"/>
      <c r="K38" s="298"/>
      <c r="L38" s="298"/>
      <c r="M38" s="298"/>
      <c r="N38" s="298"/>
      <c r="O38" s="298"/>
      <c r="P38" s="298"/>
      <c r="Q38" s="299"/>
    </row>
    <row r="39" spans="1:17" hidden="1" x14ac:dyDescent="0.25">
      <c r="A39" s="284">
        <v>5030</v>
      </c>
      <c r="B39" s="283">
        <v>716000</v>
      </c>
      <c r="C39" s="287" t="s">
        <v>53</v>
      </c>
      <c r="D39" s="287"/>
      <c r="E39" s="291">
        <f>E40+E41</f>
        <v>0</v>
      </c>
      <c r="F39" s="291"/>
      <c r="G39" s="291">
        <f t="shared" si="2"/>
        <v>0</v>
      </c>
      <c r="H39" s="291"/>
      <c r="I39" s="291">
        <f t="shared" ref="I39:Q39" si="9">I40+I41</f>
        <v>0</v>
      </c>
      <c r="J39" s="291">
        <f t="shared" si="9"/>
        <v>0</v>
      </c>
      <c r="K39" s="291"/>
      <c r="L39" s="291">
        <f t="shared" si="9"/>
        <v>0</v>
      </c>
      <c r="M39" s="291"/>
      <c r="N39" s="291">
        <f t="shared" si="9"/>
        <v>0</v>
      </c>
      <c r="O39" s="291">
        <f t="shared" si="9"/>
        <v>0</v>
      </c>
      <c r="P39" s="291"/>
      <c r="Q39" s="292">
        <f t="shared" si="9"/>
        <v>0</v>
      </c>
    </row>
    <row r="40" spans="1:17" ht="39" hidden="1" x14ac:dyDescent="0.25">
      <c r="A40" s="293">
        <v>5031</v>
      </c>
      <c r="B40" s="294">
        <v>716100</v>
      </c>
      <c r="C40" s="295" t="s">
        <v>54</v>
      </c>
      <c r="D40" s="295"/>
      <c r="E40" s="298"/>
      <c r="F40" s="298"/>
      <c r="G40" s="298">
        <f t="shared" si="2"/>
        <v>0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9"/>
    </row>
    <row r="41" spans="1:17" ht="39" hidden="1" x14ac:dyDescent="0.25">
      <c r="A41" s="293">
        <v>5032</v>
      </c>
      <c r="B41" s="294">
        <v>716200</v>
      </c>
      <c r="C41" s="295" t="s">
        <v>55</v>
      </c>
      <c r="D41" s="295"/>
      <c r="E41" s="298"/>
      <c r="F41" s="298"/>
      <c r="G41" s="298">
        <f t="shared" si="2"/>
        <v>0</v>
      </c>
      <c r="H41" s="298"/>
      <c r="I41" s="298"/>
      <c r="J41" s="298"/>
      <c r="K41" s="298"/>
      <c r="L41" s="298"/>
      <c r="M41" s="298"/>
      <c r="N41" s="298"/>
      <c r="O41" s="298"/>
      <c r="P41" s="298"/>
      <c r="Q41" s="299"/>
    </row>
    <row r="42" spans="1:17" hidden="1" x14ac:dyDescent="0.25">
      <c r="A42" s="284">
        <v>5033</v>
      </c>
      <c r="B42" s="283">
        <v>717000</v>
      </c>
      <c r="C42" s="287" t="s">
        <v>56</v>
      </c>
      <c r="D42" s="287"/>
      <c r="E42" s="291">
        <f>SUM(E47:E52)</f>
        <v>0</v>
      </c>
      <c r="F42" s="291"/>
      <c r="G42" s="291">
        <f t="shared" ref="G42:G83" si="10">SUM(I42:Q42)</f>
        <v>0</v>
      </c>
      <c r="H42" s="291"/>
      <c r="I42" s="291">
        <f t="shared" ref="I42:Q42" si="11">SUM(I47:I52)</f>
        <v>0</v>
      </c>
      <c r="J42" s="291">
        <f t="shared" si="11"/>
        <v>0</v>
      </c>
      <c r="K42" s="291"/>
      <c r="L42" s="291">
        <f t="shared" si="11"/>
        <v>0</v>
      </c>
      <c r="M42" s="291"/>
      <c r="N42" s="291">
        <f t="shared" si="11"/>
        <v>0</v>
      </c>
      <c r="O42" s="291">
        <f t="shared" si="11"/>
        <v>0</v>
      </c>
      <c r="P42" s="291"/>
      <c r="Q42" s="292">
        <f t="shared" si="11"/>
        <v>0</v>
      </c>
    </row>
    <row r="43" spans="1:17" hidden="1" x14ac:dyDescent="0.25">
      <c r="A43" s="663" t="s">
        <v>0</v>
      </c>
      <c r="B43" s="657" t="s">
        <v>1</v>
      </c>
      <c r="C43" s="656" t="s">
        <v>2</v>
      </c>
      <c r="D43" s="308"/>
      <c r="E43" s="666" t="s">
        <v>3</v>
      </c>
      <c r="F43" s="309"/>
      <c r="G43" s="666" t="s">
        <v>4</v>
      </c>
      <c r="H43" s="666"/>
      <c r="I43" s="666"/>
      <c r="J43" s="666"/>
      <c r="K43" s="666"/>
      <c r="L43" s="666"/>
      <c r="M43" s="666"/>
      <c r="N43" s="666"/>
      <c r="O43" s="666"/>
      <c r="P43" s="666"/>
      <c r="Q43" s="667"/>
    </row>
    <row r="44" spans="1:17" hidden="1" x14ac:dyDescent="0.25">
      <c r="A44" s="663"/>
      <c r="B44" s="657"/>
      <c r="C44" s="656"/>
      <c r="D44" s="308"/>
      <c r="E44" s="666"/>
      <c r="F44" s="309"/>
      <c r="G44" s="656" t="s">
        <v>5</v>
      </c>
      <c r="H44" s="308"/>
      <c r="I44" s="666" t="s">
        <v>6</v>
      </c>
      <c r="J44" s="666"/>
      <c r="K44" s="666"/>
      <c r="L44" s="666"/>
      <c r="M44" s="666"/>
      <c r="N44" s="666"/>
      <c r="O44" s="666" t="s">
        <v>7</v>
      </c>
      <c r="P44" s="309"/>
      <c r="Q44" s="667" t="s">
        <v>8</v>
      </c>
    </row>
    <row r="45" spans="1:17" ht="39" hidden="1" x14ac:dyDescent="0.25">
      <c r="A45" s="663"/>
      <c r="B45" s="657"/>
      <c r="C45" s="656"/>
      <c r="D45" s="308"/>
      <c r="E45" s="666"/>
      <c r="F45" s="309"/>
      <c r="G45" s="656"/>
      <c r="H45" s="308"/>
      <c r="I45" s="309" t="s">
        <v>9</v>
      </c>
      <c r="J45" s="309" t="s">
        <v>10</v>
      </c>
      <c r="K45" s="309"/>
      <c r="L45" s="309" t="s">
        <v>11</v>
      </c>
      <c r="M45" s="309"/>
      <c r="N45" s="309" t="s">
        <v>12</v>
      </c>
      <c r="O45" s="666"/>
      <c r="P45" s="309"/>
      <c r="Q45" s="667"/>
    </row>
    <row r="46" spans="1:17" ht="26.25" hidden="1" x14ac:dyDescent="0.25">
      <c r="A46" s="304" t="s">
        <v>18</v>
      </c>
      <c r="B46" s="305" t="s">
        <v>19</v>
      </c>
      <c r="C46" s="305" t="s">
        <v>20</v>
      </c>
      <c r="D46" s="305"/>
      <c r="E46" s="305" t="s">
        <v>21</v>
      </c>
      <c r="F46" s="305"/>
      <c r="G46" s="305" t="s">
        <v>22</v>
      </c>
      <c r="H46" s="305"/>
      <c r="I46" s="305" t="s">
        <v>23</v>
      </c>
      <c r="J46" s="305" t="s">
        <v>24</v>
      </c>
      <c r="K46" s="305"/>
      <c r="L46" s="305" t="s">
        <v>25</v>
      </c>
      <c r="M46" s="305"/>
      <c r="N46" s="305" t="s">
        <v>26</v>
      </c>
      <c r="O46" s="305" t="s">
        <v>27</v>
      </c>
      <c r="P46" s="305"/>
      <c r="Q46" s="310" t="s">
        <v>28</v>
      </c>
    </row>
    <row r="47" spans="1:17" hidden="1" x14ac:dyDescent="0.25">
      <c r="A47" s="293">
        <v>5034</v>
      </c>
      <c r="B47" s="294">
        <v>717100</v>
      </c>
      <c r="C47" s="295" t="s">
        <v>57</v>
      </c>
      <c r="D47" s="295"/>
      <c r="E47" s="298"/>
      <c r="F47" s="298"/>
      <c r="G47" s="298">
        <f t="shared" si="10"/>
        <v>0</v>
      </c>
      <c r="H47" s="298"/>
      <c r="I47" s="298"/>
      <c r="J47" s="298"/>
      <c r="K47" s="298"/>
      <c r="L47" s="298"/>
      <c r="M47" s="298"/>
      <c r="N47" s="298"/>
      <c r="O47" s="298"/>
      <c r="P47" s="298"/>
      <c r="Q47" s="299"/>
    </row>
    <row r="48" spans="1:17" hidden="1" x14ac:dyDescent="0.25">
      <c r="A48" s="293">
        <v>5035</v>
      </c>
      <c r="B48" s="294">
        <v>717200</v>
      </c>
      <c r="C48" s="295" t="s">
        <v>58</v>
      </c>
      <c r="D48" s="295"/>
      <c r="E48" s="298"/>
      <c r="F48" s="298"/>
      <c r="G48" s="298">
        <f t="shared" si="10"/>
        <v>0</v>
      </c>
      <c r="H48" s="298"/>
      <c r="I48" s="298"/>
      <c r="J48" s="298"/>
      <c r="K48" s="298"/>
      <c r="L48" s="298"/>
      <c r="M48" s="298"/>
      <c r="N48" s="298"/>
      <c r="O48" s="298"/>
      <c r="P48" s="298"/>
      <c r="Q48" s="299"/>
    </row>
    <row r="49" spans="1:17" hidden="1" x14ac:dyDescent="0.25">
      <c r="A49" s="293">
        <v>5036</v>
      </c>
      <c r="B49" s="294">
        <v>717300</v>
      </c>
      <c r="C49" s="295" t="s">
        <v>59</v>
      </c>
      <c r="D49" s="295"/>
      <c r="E49" s="298"/>
      <c r="F49" s="298"/>
      <c r="G49" s="298">
        <f t="shared" si="10"/>
        <v>0</v>
      </c>
      <c r="H49" s="298"/>
      <c r="I49" s="298"/>
      <c r="J49" s="298"/>
      <c r="K49" s="298"/>
      <c r="L49" s="298"/>
      <c r="M49" s="298"/>
      <c r="N49" s="298"/>
      <c r="O49" s="298"/>
      <c r="P49" s="298"/>
      <c r="Q49" s="299"/>
    </row>
    <row r="50" spans="1:17" ht="26.25" hidden="1" x14ac:dyDescent="0.25">
      <c r="A50" s="293">
        <v>5037</v>
      </c>
      <c r="B50" s="294">
        <v>717400</v>
      </c>
      <c r="C50" s="295" t="s">
        <v>60</v>
      </c>
      <c r="D50" s="295"/>
      <c r="E50" s="298"/>
      <c r="F50" s="298"/>
      <c r="G50" s="298">
        <f t="shared" si="10"/>
        <v>0</v>
      </c>
      <c r="H50" s="298"/>
      <c r="I50" s="298"/>
      <c r="J50" s="298"/>
      <c r="K50" s="298"/>
      <c r="L50" s="298"/>
      <c r="M50" s="298"/>
      <c r="N50" s="298"/>
      <c r="O50" s="298"/>
      <c r="P50" s="298"/>
      <c r="Q50" s="299"/>
    </row>
    <row r="51" spans="1:17" hidden="1" x14ac:dyDescent="0.25">
      <c r="A51" s="293">
        <v>5038</v>
      </c>
      <c r="B51" s="294">
        <v>717500</v>
      </c>
      <c r="C51" s="295" t="s">
        <v>61</v>
      </c>
      <c r="D51" s="295"/>
      <c r="E51" s="298"/>
      <c r="F51" s="298"/>
      <c r="G51" s="298">
        <f t="shared" si="10"/>
        <v>0</v>
      </c>
      <c r="H51" s="298"/>
      <c r="I51" s="298"/>
      <c r="J51" s="298"/>
      <c r="K51" s="298"/>
      <c r="L51" s="298"/>
      <c r="M51" s="298"/>
      <c r="N51" s="298"/>
      <c r="O51" s="298"/>
      <c r="P51" s="298"/>
      <c r="Q51" s="299"/>
    </row>
    <row r="52" spans="1:17" hidden="1" x14ac:dyDescent="0.25">
      <c r="A52" s="293">
        <v>5039</v>
      </c>
      <c r="B52" s="294">
        <v>717600</v>
      </c>
      <c r="C52" s="295" t="s">
        <v>62</v>
      </c>
      <c r="D52" s="295"/>
      <c r="E52" s="298"/>
      <c r="F52" s="298"/>
      <c r="G52" s="298">
        <f t="shared" si="10"/>
        <v>0</v>
      </c>
      <c r="H52" s="298"/>
      <c r="I52" s="298"/>
      <c r="J52" s="298"/>
      <c r="K52" s="298"/>
      <c r="L52" s="298"/>
      <c r="M52" s="298"/>
      <c r="N52" s="298"/>
      <c r="O52" s="298"/>
      <c r="P52" s="298"/>
      <c r="Q52" s="299"/>
    </row>
    <row r="53" spans="1:17" ht="77.25" hidden="1" x14ac:dyDescent="0.25">
      <c r="A53" s="284">
        <v>5040</v>
      </c>
      <c r="B53" s="283">
        <v>719000</v>
      </c>
      <c r="C53" s="287" t="s">
        <v>63</v>
      </c>
      <c r="D53" s="287"/>
      <c r="E53" s="291">
        <f>SUM(E54:E59)</f>
        <v>0</v>
      </c>
      <c r="F53" s="291"/>
      <c r="G53" s="291">
        <f t="shared" si="10"/>
        <v>0</v>
      </c>
      <c r="H53" s="291"/>
      <c r="I53" s="291">
        <f t="shared" ref="I53:Q53" si="12">SUM(I54:I59)</f>
        <v>0</v>
      </c>
      <c r="J53" s="291">
        <f t="shared" si="12"/>
        <v>0</v>
      </c>
      <c r="K53" s="291"/>
      <c r="L53" s="291">
        <f t="shared" si="12"/>
        <v>0</v>
      </c>
      <c r="M53" s="291"/>
      <c r="N53" s="291">
        <f t="shared" si="12"/>
        <v>0</v>
      </c>
      <c r="O53" s="291">
        <f t="shared" si="12"/>
        <v>0</v>
      </c>
      <c r="P53" s="291"/>
      <c r="Q53" s="292">
        <f t="shared" si="12"/>
        <v>0</v>
      </c>
    </row>
    <row r="54" spans="1:17" ht="39" hidden="1" x14ac:dyDescent="0.25">
      <c r="A54" s="293">
        <v>5041</v>
      </c>
      <c r="B54" s="294">
        <v>719100</v>
      </c>
      <c r="C54" s="295" t="s">
        <v>64</v>
      </c>
      <c r="D54" s="295"/>
      <c r="E54" s="298"/>
      <c r="F54" s="298"/>
      <c r="G54" s="298">
        <f t="shared" si="10"/>
        <v>0</v>
      </c>
      <c r="H54" s="298"/>
      <c r="I54" s="298"/>
      <c r="J54" s="298"/>
      <c r="K54" s="298"/>
      <c r="L54" s="298"/>
      <c r="M54" s="298"/>
      <c r="N54" s="298"/>
      <c r="O54" s="298"/>
      <c r="P54" s="298"/>
      <c r="Q54" s="299"/>
    </row>
    <row r="55" spans="1:17" ht="51.75" hidden="1" x14ac:dyDescent="0.25">
      <c r="A55" s="293">
        <v>5042</v>
      </c>
      <c r="B55" s="294">
        <v>719200</v>
      </c>
      <c r="C55" s="295" t="s">
        <v>65</v>
      </c>
      <c r="D55" s="295"/>
      <c r="E55" s="298"/>
      <c r="F55" s="298"/>
      <c r="G55" s="298">
        <f t="shared" si="10"/>
        <v>0</v>
      </c>
      <c r="H55" s="298"/>
      <c r="I55" s="298"/>
      <c r="J55" s="298"/>
      <c r="K55" s="298"/>
      <c r="L55" s="298"/>
      <c r="M55" s="298"/>
      <c r="N55" s="298"/>
      <c r="O55" s="298"/>
      <c r="P55" s="298"/>
      <c r="Q55" s="299"/>
    </row>
    <row r="56" spans="1:17" ht="39" hidden="1" x14ac:dyDescent="0.25">
      <c r="A56" s="293">
        <v>5043</v>
      </c>
      <c r="B56" s="294">
        <v>719300</v>
      </c>
      <c r="C56" s="295" t="s">
        <v>66</v>
      </c>
      <c r="D56" s="295"/>
      <c r="E56" s="298"/>
      <c r="F56" s="298"/>
      <c r="G56" s="298">
        <f t="shared" si="10"/>
        <v>0</v>
      </c>
      <c r="H56" s="298"/>
      <c r="I56" s="298"/>
      <c r="J56" s="298"/>
      <c r="K56" s="298"/>
      <c r="L56" s="298"/>
      <c r="M56" s="298"/>
      <c r="N56" s="298"/>
      <c r="O56" s="298"/>
      <c r="P56" s="298"/>
      <c r="Q56" s="299"/>
    </row>
    <row r="57" spans="1:17" ht="26.25" hidden="1" x14ac:dyDescent="0.25">
      <c r="A57" s="293">
        <v>5044</v>
      </c>
      <c r="B57" s="294">
        <v>719400</v>
      </c>
      <c r="C57" s="295" t="s">
        <v>67</v>
      </c>
      <c r="D57" s="295"/>
      <c r="E57" s="298"/>
      <c r="F57" s="298"/>
      <c r="G57" s="298">
        <f t="shared" si="10"/>
        <v>0</v>
      </c>
      <c r="H57" s="298"/>
      <c r="I57" s="298"/>
      <c r="J57" s="298"/>
      <c r="K57" s="298"/>
      <c r="L57" s="298"/>
      <c r="M57" s="298"/>
      <c r="N57" s="298"/>
      <c r="O57" s="298"/>
      <c r="P57" s="298"/>
      <c r="Q57" s="299"/>
    </row>
    <row r="58" spans="1:17" ht="39" hidden="1" x14ac:dyDescent="0.25">
      <c r="A58" s="293">
        <v>5045</v>
      </c>
      <c r="B58" s="294">
        <v>719500</v>
      </c>
      <c r="C58" s="295" t="s">
        <v>68</v>
      </c>
      <c r="D58" s="295"/>
      <c r="E58" s="298"/>
      <c r="F58" s="298"/>
      <c r="G58" s="298">
        <f t="shared" si="10"/>
        <v>0</v>
      </c>
      <c r="H58" s="298"/>
      <c r="I58" s="298"/>
      <c r="J58" s="298"/>
      <c r="K58" s="298"/>
      <c r="L58" s="298"/>
      <c r="M58" s="298"/>
      <c r="N58" s="298"/>
      <c r="O58" s="298"/>
      <c r="P58" s="298"/>
      <c r="Q58" s="299"/>
    </row>
    <row r="59" spans="1:17" ht="26.25" hidden="1" x14ac:dyDescent="0.25">
      <c r="A59" s="293">
        <v>5046</v>
      </c>
      <c r="B59" s="294">
        <v>719600</v>
      </c>
      <c r="C59" s="295" t="s">
        <v>69</v>
      </c>
      <c r="D59" s="295"/>
      <c r="E59" s="298"/>
      <c r="F59" s="298"/>
      <c r="G59" s="298">
        <f t="shared" si="10"/>
        <v>0</v>
      </c>
      <c r="H59" s="298"/>
      <c r="I59" s="298"/>
      <c r="J59" s="298"/>
      <c r="K59" s="298"/>
      <c r="L59" s="298"/>
      <c r="M59" s="298"/>
      <c r="N59" s="298"/>
      <c r="O59" s="298"/>
      <c r="P59" s="298"/>
      <c r="Q59" s="299"/>
    </row>
    <row r="60" spans="1:17" ht="26.25" hidden="1" x14ac:dyDescent="0.25">
      <c r="A60" s="284">
        <v>5047</v>
      </c>
      <c r="B60" s="283">
        <v>720000</v>
      </c>
      <c r="C60" s="287" t="s">
        <v>70</v>
      </c>
      <c r="D60" s="287"/>
      <c r="E60" s="288">
        <f>E61+E66</f>
        <v>0</v>
      </c>
      <c r="F60" s="288"/>
      <c r="G60" s="288">
        <f t="shared" si="10"/>
        <v>0</v>
      </c>
      <c r="H60" s="288"/>
      <c r="I60" s="288">
        <f t="shared" ref="I60:Q60" si="13">I61+I66</f>
        <v>0</v>
      </c>
      <c r="J60" s="288">
        <f t="shared" si="13"/>
        <v>0</v>
      </c>
      <c r="K60" s="288"/>
      <c r="L60" s="288">
        <f t="shared" si="13"/>
        <v>0</v>
      </c>
      <c r="M60" s="288"/>
      <c r="N60" s="288">
        <f t="shared" si="13"/>
        <v>0</v>
      </c>
      <c r="O60" s="288">
        <f t="shared" si="13"/>
        <v>0</v>
      </c>
      <c r="P60" s="288"/>
      <c r="Q60" s="289">
        <f t="shared" si="13"/>
        <v>0</v>
      </c>
    </row>
    <row r="61" spans="1:17" ht="26.25" hidden="1" x14ac:dyDescent="0.25">
      <c r="A61" s="284">
        <v>5048</v>
      </c>
      <c r="B61" s="283">
        <v>721000</v>
      </c>
      <c r="C61" s="287" t="s">
        <v>71</v>
      </c>
      <c r="D61" s="287"/>
      <c r="E61" s="288">
        <f>SUM(E62:E65)</f>
        <v>0</v>
      </c>
      <c r="F61" s="288"/>
      <c r="G61" s="288">
        <f t="shared" si="10"/>
        <v>0</v>
      </c>
      <c r="H61" s="288"/>
      <c r="I61" s="288">
        <f t="shared" ref="I61:Q61" si="14">SUM(I62:I65)</f>
        <v>0</v>
      </c>
      <c r="J61" s="288">
        <f t="shared" si="14"/>
        <v>0</v>
      </c>
      <c r="K61" s="288"/>
      <c r="L61" s="288">
        <f t="shared" si="14"/>
        <v>0</v>
      </c>
      <c r="M61" s="288"/>
      <c r="N61" s="288">
        <f t="shared" si="14"/>
        <v>0</v>
      </c>
      <c r="O61" s="288">
        <f t="shared" si="14"/>
        <v>0</v>
      </c>
      <c r="P61" s="288"/>
      <c r="Q61" s="289">
        <f t="shared" si="14"/>
        <v>0</v>
      </c>
    </row>
    <row r="62" spans="1:17" ht="26.25" hidden="1" x14ac:dyDescent="0.25">
      <c r="A62" s="293">
        <v>5049</v>
      </c>
      <c r="B62" s="294">
        <v>721100</v>
      </c>
      <c r="C62" s="295" t="s">
        <v>72</v>
      </c>
      <c r="D62" s="295"/>
      <c r="E62" s="277"/>
      <c r="F62" s="277"/>
      <c r="G62" s="311">
        <f t="shared" si="10"/>
        <v>0</v>
      </c>
      <c r="H62" s="311"/>
      <c r="I62" s="277"/>
      <c r="J62" s="277"/>
      <c r="K62" s="277"/>
      <c r="L62" s="277"/>
      <c r="M62" s="277"/>
      <c r="N62" s="277"/>
      <c r="O62" s="277"/>
      <c r="P62" s="277"/>
      <c r="Q62" s="312"/>
    </row>
    <row r="63" spans="1:17" ht="26.25" hidden="1" x14ac:dyDescent="0.25">
      <c r="A63" s="293">
        <v>5050</v>
      </c>
      <c r="B63" s="294">
        <v>721200</v>
      </c>
      <c r="C63" s="295" t="s">
        <v>73</v>
      </c>
      <c r="D63" s="295"/>
      <c r="E63" s="277"/>
      <c r="F63" s="277"/>
      <c r="G63" s="311">
        <f t="shared" si="10"/>
        <v>0</v>
      </c>
      <c r="H63" s="311"/>
      <c r="I63" s="277"/>
      <c r="J63" s="277"/>
      <c r="K63" s="277"/>
      <c r="L63" s="277"/>
      <c r="M63" s="277"/>
      <c r="N63" s="277"/>
      <c r="O63" s="277"/>
      <c r="P63" s="277"/>
      <c r="Q63" s="312"/>
    </row>
    <row r="64" spans="1:17" ht="51.75" hidden="1" x14ac:dyDescent="0.25">
      <c r="A64" s="293">
        <v>5051</v>
      </c>
      <c r="B64" s="294">
        <v>721300</v>
      </c>
      <c r="C64" s="295" t="s">
        <v>74</v>
      </c>
      <c r="D64" s="295"/>
      <c r="E64" s="277"/>
      <c r="F64" s="277"/>
      <c r="G64" s="311">
        <f t="shared" si="10"/>
        <v>0</v>
      </c>
      <c r="H64" s="311"/>
      <c r="I64" s="277"/>
      <c r="J64" s="277"/>
      <c r="K64" s="277"/>
      <c r="L64" s="277"/>
      <c r="M64" s="277"/>
      <c r="N64" s="277"/>
      <c r="O64" s="277"/>
      <c r="P64" s="277"/>
      <c r="Q64" s="312"/>
    </row>
    <row r="65" spans="1:17" ht="39" hidden="1" x14ac:dyDescent="0.25">
      <c r="A65" s="293">
        <v>5052</v>
      </c>
      <c r="B65" s="294">
        <v>721400</v>
      </c>
      <c r="C65" s="295" t="s">
        <v>75</v>
      </c>
      <c r="D65" s="295"/>
      <c r="E65" s="277"/>
      <c r="F65" s="277"/>
      <c r="G65" s="311">
        <f t="shared" si="10"/>
        <v>0</v>
      </c>
      <c r="H65" s="311"/>
      <c r="I65" s="277"/>
      <c r="J65" s="277"/>
      <c r="K65" s="277"/>
      <c r="L65" s="277"/>
      <c r="M65" s="277"/>
      <c r="N65" s="277"/>
      <c r="O65" s="277"/>
      <c r="P65" s="277"/>
      <c r="Q65" s="312"/>
    </row>
    <row r="66" spans="1:17" ht="26.25" hidden="1" x14ac:dyDescent="0.25">
      <c r="A66" s="284">
        <v>5053</v>
      </c>
      <c r="B66" s="283">
        <v>722000</v>
      </c>
      <c r="C66" s="287" t="s">
        <v>76</v>
      </c>
      <c r="D66" s="287"/>
      <c r="E66" s="288">
        <f>SUM(E67:E69)</f>
        <v>0</v>
      </c>
      <c r="F66" s="288"/>
      <c r="G66" s="288">
        <f t="shared" si="10"/>
        <v>0</v>
      </c>
      <c r="H66" s="288"/>
      <c r="I66" s="288">
        <f t="shared" ref="I66:Q66" si="15">SUM(I67:I69)</f>
        <v>0</v>
      </c>
      <c r="J66" s="288">
        <f t="shared" si="15"/>
        <v>0</v>
      </c>
      <c r="K66" s="288"/>
      <c r="L66" s="288">
        <f t="shared" si="15"/>
        <v>0</v>
      </c>
      <c r="M66" s="288"/>
      <c r="N66" s="288">
        <f t="shared" si="15"/>
        <v>0</v>
      </c>
      <c r="O66" s="288">
        <f t="shared" si="15"/>
        <v>0</v>
      </c>
      <c r="P66" s="288"/>
      <c r="Q66" s="289">
        <f t="shared" si="15"/>
        <v>0</v>
      </c>
    </row>
    <row r="67" spans="1:17" ht="26.25" hidden="1" x14ac:dyDescent="0.25">
      <c r="A67" s="293">
        <v>5054</v>
      </c>
      <c r="B67" s="294">
        <v>722100</v>
      </c>
      <c r="C67" s="295" t="s">
        <v>77</v>
      </c>
      <c r="D67" s="295"/>
      <c r="E67" s="277"/>
      <c r="F67" s="277"/>
      <c r="G67" s="311">
        <f t="shared" si="10"/>
        <v>0</v>
      </c>
      <c r="H67" s="311"/>
      <c r="I67" s="277"/>
      <c r="J67" s="277"/>
      <c r="K67" s="277"/>
      <c r="L67" s="277"/>
      <c r="M67" s="277"/>
      <c r="N67" s="277"/>
      <c r="O67" s="277"/>
      <c r="P67" s="277"/>
      <c r="Q67" s="312"/>
    </row>
    <row r="68" spans="1:17" ht="26.25" hidden="1" x14ac:dyDescent="0.25">
      <c r="A68" s="293">
        <v>5055</v>
      </c>
      <c r="B68" s="294">
        <v>722200</v>
      </c>
      <c r="C68" s="295" t="s">
        <v>78</v>
      </c>
      <c r="D68" s="295"/>
      <c r="E68" s="277"/>
      <c r="F68" s="277"/>
      <c r="G68" s="311">
        <f t="shared" si="10"/>
        <v>0</v>
      </c>
      <c r="H68" s="311"/>
      <c r="I68" s="277"/>
      <c r="J68" s="277"/>
      <c r="K68" s="277"/>
      <c r="L68" s="277"/>
      <c r="M68" s="277"/>
      <c r="N68" s="277"/>
      <c r="O68" s="277"/>
      <c r="P68" s="277"/>
      <c r="Q68" s="312"/>
    </row>
    <row r="69" spans="1:17" ht="26.25" hidden="1" x14ac:dyDescent="0.25">
      <c r="A69" s="293">
        <v>5056</v>
      </c>
      <c r="B69" s="294">
        <v>722300</v>
      </c>
      <c r="C69" s="295" t="s">
        <v>79</v>
      </c>
      <c r="D69" s="295"/>
      <c r="E69" s="277"/>
      <c r="F69" s="277"/>
      <c r="G69" s="311">
        <f t="shared" si="10"/>
        <v>0</v>
      </c>
      <c r="H69" s="311"/>
      <c r="I69" s="277"/>
      <c r="J69" s="277"/>
      <c r="K69" s="277"/>
      <c r="L69" s="277"/>
      <c r="M69" s="277"/>
      <c r="N69" s="277"/>
      <c r="O69" s="277"/>
      <c r="P69" s="277"/>
      <c r="Q69" s="312"/>
    </row>
    <row r="70" spans="1:17" hidden="1" x14ac:dyDescent="0.25">
      <c r="A70" s="663" t="s">
        <v>0</v>
      </c>
      <c r="B70" s="657" t="s">
        <v>1</v>
      </c>
      <c r="C70" s="656" t="s">
        <v>2</v>
      </c>
      <c r="D70" s="308"/>
      <c r="E70" s="658" t="s">
        <v>3</v>
      </c>
      <c r="F70" s="283"/>
      <c r="G70" s="658" t="s">
        <v>4</v>
      </c>
      <c r="H70" s="658"/>
      <c r="I70" s="658"/>
      <c r="J70" s="658"/>
      <c r="K70" s="658"/>
      <c r="L70" s="658"/>
      <c r="M70" s="658"/>
      <c r="N70" s="658"/>
      <c r="O70" s="658"/>
      <c r="P70" s="658"/>
      <c r="Q70" s="664"/>
    </row>
    <row r="71" spans="1:17" hidden="1" x14ac:dyDescent="0.25">
      <c r="A71" s="663"/>
      <c r="B71" s="657"/>
      <c r="C71" s="656"/>
      <c r="D71" s="308"/>
      <c r="E71" s="658"/>
      <c r="F71" s="283"/>
      <c r="G71" s="665" t="s">
        <v>5</v>
      </c>
      <c r="H71" s="302"/>
      <c r="I71" s="658" t="s">
        <v>6</v>
      </c>
      <c r="J71" s="658"/>
      <c r="K71" s="658"/>
      <c r="L71" s="658"/>
      <c r="M71" s="658"/>
      <c r="N71" s="658"/>
      <c r="O71" s="658" t="s">
        <v>7</v>
      </c>
      <c r="P71" s="283"/>
      <c r="Q71" s="664" t="s">
        <v>8</v>
      </c>
    </row>
    <row r="72" spans="1:17" ht="39" hidden="1" x14ac:dyDescent="0.25">
      <c r="A72" s="663"/>
      <c r="B72" s="657"/>
      <c r="C72" s="656"/>
      <c r="D72" s="308"/>
      <c r="E72" s="658"/>
      <c r="F72" s="283"/>
      <c r="G72" s="665"/>
      <c r="H72" s="302"/>
      <c r="I72" s="283" t="s">
        <v>9</v>
      </c>
      <c r="J72" s="283" t="s">
        <v>10</v>
      </c>
      <c r="K72" s="283"/>
      <c r="L72" s="283" t="s">
        <v>11</v>
      </c>
      <c r="M72" s="283"/>
      <c r="N72" s="283" t="s">
        <v>12</v>
      </c>
      <c r="O72" s="658"/>
      <c r="P72" s="283"/>
      <c r="Q72" s="664"/>
    </row>
    <row r="73" spans="1:17" ht="26.25" hidden="1" x14ac:dyDescent="0.25">
      <c r="A73" s="304" t="s">
        <v>18</v>
      </c>
      <c r="B73" s="305" t="s">
        <v>19</v>
      </c>
      <c r="C73" s="305" t="s">
        <v>20</v>
      </c>
      <c r="D73" s="305"/>
      <c r="E73" s="306" t="s">
        <v>21</v>
      </c>
      <c r="F73" s="306"/>
      <c r="G73" s="306" t="s">
        <v>22</v>
      </c>
      <c r="H73" s="306"/>
      <c r="I73" s="306" t="s">
        <v>23</v>
      </c>
      <c r="J73" s="306" t="s">
        <v>24</v>
      </c>
      <c r="K73" s="306"/>
      <c r="L73" s="306" t="s">
        <v>25</v>
      </c>
      <c r="M73" s="306"/>
      <c r="N73" s="306" t="s">
        <v>26</v>
      </c>
      <c r="O73" s="306" t="s">
        <v>27</v>
      </c>
      <c r="P73" s="306"/>
      <c r="Q73" s="307" t="s">
        <v>28</v>
      </c>
    </row>
    <row r="74" spans="1:17" ht="39" hidden="1" x14ac:dyDescent="0.25">
      <c r="A74" s="284">
        <v>5057</v>
      </c>
      <c r="B74" s="283">
        <v>730000</v>
      </c>
      <c r="C74" s="287" t="s">
        <v>80</v>
      </c>
      <c r="D74" s="287"/>
      <c r="E74" s="288">
        <f>E75+E78+E83</f>
        <v>0</v>
      </c>
      <c r="F74" s="288"/>
      <c r="G74" s="288">
        <f t="shared" si="10"/>
        <v>0</v>
      </c>
      <c r="H74" s="288"/>
      <c r="I74" s="288">
        <f t="shared" ref="I74:Q74" si="16">I75+I78+I83</f>
        <v>0</v>
      </c>
      <c r="J74" s="288">
        <f t="shared" si="16"/>
        <v>0</v>
      </c>
      <c r="K74" s="288"/>
      <c r="L74" s="288">
        <f t="shared" si="16"/>
        <v>0</v>
      </c>
      <c r="M74" s="288"/>
      <c r="N74" s="288">
        <f t="shared" si="16"/>
        <v>0</v>
      </c>
      <c r="O74" s="288">
        <f t="shared" si="16"/>
        <v>0</v>
      </c>
      <c r="P74" s="288"/>
      <c r="Q74" s="289">
        <f t="shared" si="16"/>
        <v>0</v>
      </c>
    </row>
    <row r="75" spans="1:17" ht="26.25" hidden="1" x14ac:dyDescent="0.25">
      <c r="A75" s="284">
        <v>5058</v>
      </c>
      <c r="B75" s="283">
        <v>731000</v>
      </c>
      <c r="C75" s="287" t="s">
        <v>81</v>
      </c>
      <c r="D75" s="287"/>
      <c r="E75" s="288">
        <f>E76+E77</f>
        <v>0</v>
      </c>
      <c r="F75" s="288"/>
      <c r="G75" s="288">
        <f t="shared" si="10"/>
        <v>0</v>
      </c>
      <c r="H75" s="288"/>
      <c r="I75" s="288">
        <f t="shared" ref="I75:Q75" si="17">I76+I77</f>
        <v>0</v>
      </c>
      <c r="J75" s="288">
        <f t="shared" si="17"/>
        <v>0</v>
      </c>
      <c r="K75" s="288"/>
      <c r="L75" s="288">
        <f t="shared" si="17"/>
        <v>0</v>
      </c>
      <c r="M75" s="288"/>
      <c r="N75" s="288">
        <f t="shared" si="17"/>
        <v>0</v>
      </c>
      <c r="O75" s="288">
        <f t="shared" si="17"/>
        <v>0</v>
      </c>
      <c r="P75" s="288"/>
      <c r="Q75" s="289">
        <f t="shared" si="17"/>
        <v>0</v>
      </c>
    </row>
    <row r="76" spans="1:17" ht="26.25" hidden="1" x14ac:dyDescent="0.25">
      <c r="A76" s="293">
        <v>5059</v>
      </c>
      <c r="B76" s="294">
        <v>731100</v>
      </c>
      <c r="C76" s="295" t="s">
        <v>82</v>
      </c>
      <c r="D76" s="295"/>
      <c r="E76" s="277"/>
      <c r="F76" s="277"/>
      <c r="G76" s="311">
        <f t="shared" si="10"/>
        <v>0</v>
      </c>
      <c r="H76" s="311"/>
      <c r="I76" s="277"/>
      <c r="J76" s="277"/>
      <c r="K76" s="277"/>
      <c r="L76" s="277"/>
      <c r="M76" s="277"/>
      <c r="N76" s="277"/>
      <c r="O76" s="277"/>
      <c r="P76" s="277"/>
      <c r="Q76" s="312"/>
    </row>
    <row r="77" spans="1:17" ht="26.25" hidden="1" x14ac:dyDescent="0.25">
      <c r="A77" s="293">
        <v>5060</v>
      </c>
      <c r="B77" s="294">
        <v>731200</v>
      </c>
      <c r="C77" s="295" t="s">
        <v>83</v>
      </c>
      <c r="D77" s="295"/>
      <c r="E77" s="277"/>
      <c r="F77" s="277"/>
      <c r="G77" s="311">
        <f t="shared" si="10"/>
        <v>0</v>
      </c>
      <c r="H77" s="311"/>
      <c r="I77" s="277"/>
      <c r="J77" s="277"/>
      <c r="K77" s="277"/>
      <c r="L77" s="277"/>
      <c r="M77" s="277"/>
      <c r="N77" s="277"/>
      <c r="O77" s="277"/>
      <c r="P77" s="277"/>
      <c r="Q77" s="312"/>
    </row>
    <row r="78" spans="1:17" ht="51.75" hidden="1" x14ac:dyDescent="0.25">
      <c r="A78" s="284">
        <v>5061</v>
      </c>
      <c r="B78" s="283">
        <v>732000</v>
      </c>
      <c r="C78" s="287" t="s">
        <v>84</v>
      </c>
      <c r="D78" s="287"/>
      <c r="E78" s="288">
        <f>E79+E80+E81+E82</f>
        <v>0</v>
      </c>
      <c r="F78" s="288"/>
      <c r="G78" s="288">
        <f t="shared" si="10"/>
        <v>0</v>
      </c>
      <c r="H78" s="288"/>
      <c r="I78" s="288">
        <f t="shared" ref="I78:Q78" si="18">I79+I80+I81+I82</f>
        <v>0</v>
      </c>
      <c r="J78" s="288">
        <f t="shared" si="18"/>
        <v>0</v>
      </c>
      <c r="K78" s="288"/>
      <c r="L78" s="288">
        <f t="shared" si="18"/>
        <v>0</v>
      </c>
      <c r="M78" s="288"/>
      <c r="N78" s="288">
        <f t="shared" si="18"/>
        <v>0</v>
      </c>
      <c r="O78" s="288">
        <f t="shared" si="18"/>
        <v>0</v>
      </c>
      <c r="P78" s="288"/>
      <c r="Q78" s="289">
        <f t="shared" si="18"/>
        <v>0</v>
      </c>
    </row>
    <row r="79" spans="1:17" ht="26.25" hidden="1" x14ac:dyDescent="0.25">
      <c r="A79" s="293">
        <v>5062</v>
      </c>
      <c r="B79" s="294">
        <v>732100</v>
      </c>
      <c r="C79" s="295" t="s">
        <v>85</v>
      </c>
      <c r="D79" s="295"/>
      <c r="E79" s="277"/>
      <c r="F79" s="277"/>
      <c r="G79" s="311">
        <f t="shared" si="10"/>
        <v>0</v>
      </c>
      <c r="H79" s="311"/>
      <c r="I79" s="277"/>
      <c r="J79" s="277"/>
      <c r="K79" s="277"/>
      <c r="L79" s="277"/>
      <c r="M79" s="277"/>
      <c r="N79" s="277"/>
      <c r="O79" s="277"/>
      <c r="P79" s="277"/>
      <c r="Q79" s="312"/>
    </row>
    <row r="80" spans="1:17" ht="26.25" hidden="1" x14ac:dyDescent="0.25">
      <c r="A80" s="293">
        <v>5063</v>
      </c>
      <c r="B80" s="294">
        <v>732200</v>
      </c>
      <c r="C80" s="295" t="s">
        <v>86</v>
      </c>
      <c r="D80" s="295"/>
      <c r="E80" s="277"/>
      <c r="F80" s="277"/>
      <c r="G80" s="311">
        <f t="shared" si="10"/>
        <v>0</v>
      </c>
      <c r="H80" s="311"/>
      <c r="I80" s="277"/>
      <c r="J80" s="277"/>
      <c r="K80" s="277"/>
      <c r="L80" s="277"/>
      <c r="M80" s="277"/>
      <c r="N80" s="277"/>
      <c r="O80" s="277"/>
      <c r="P80" s="277"/>
      <c r="Q80" s="312"/>
    </row>
    <row r="81" spans="1:17" hidden="1" x14ac:dyDescent="0.25">
      <c r="A81" s="293">
        <v>5064</v>
      </c>
      <c r="B81" s="294">
        <v>732300</v>
      </c>
      <c r="C81" s="295" t="s">
        <v>87</v>
      </c>
      <c r="D81" s="295"/>
      <c r="E81" s="277"/>
      <c r="F81" s="277"/>
      <c r="G81" s="311">
        <f t="shared" si="10"/>
        <v>0</v>
      </c>
      <c r="H81" s="311"/>
      <c r="I81" s="277"/>
      <c r="J81" s="277"/>
      <c r="K81" s="277"/>
      <c r="L81" s="277"/>
      <c r="M81" s="277"/>
      <c r="N81" s="277"/>
      <c r="O81" s="277"/>
      <c r="P81" s="277"/>
      <c r="Q81" s="312"/>
    </row>
    <row r="82" spans="1:17" hidden="1" x14ac:dyDescent="0.25">
      <c r="A82" s="293">
        <v>5065</v>
      </c>
      <c r="B82" s="294">
        <v>732400</v>
      </c>
      <c r="C82" s="295" t="s">
        <v>88</v>
      </c>
      <c r="D82" s="295"/>
      <c r="E82" s="277"/>
      <c r="F82" s="277"/>
      <c r="G82" s="311">
        <f t="shared" si="10"/>
        <v>0</v>
      </c>
      <c r="H82" s="311"/>
      <c r="I82" s="277"/>
      <c r="J82" s="277"/>
      <c r="K82" s="277"/>
      <c r="L82" s="277"/>
      <c r="M82" s="277"/>
      <c r="N82" s="277"/>
      <c r="O82" s="277"/>
      <c r="P82" s="277"/>
      <c r="Q82" s="312"/>
    </row>
    <row r="83" spans="1:17" ht="26.25" hidden="1" x14ac:dyDescent="0.25">
      <c r="A83" s="284">
        <v>5066</v>
      </c>
      <c r="B83" s="283">
        <v>733000</v>
      </c>
      <c r="C83" s="287" t="s">
        <v>89</v>
      </c>
      <c r="D83" s="287"/>
      <c r="E83" s="288">
        <f>E84+E85</f>
        <v>0</v>
      </c>
      <c r="F83" s="288"/>
      <c r="G83" s="288">
        <f t="shared" si="10"/>
        <v>0</v>
      </c>
      <c r="H83" s="288"/>
      <c r="I83" s="288">
        <f t="shared" ref="I83:Q83" si="19">I84+I85</f>
        <v>0</v>
      </c>
      <c r="J83" s="288">
        <f t="shared" si="19"/>
        <v>0</v>
      </c>
      <c r="K83" s="288"/>
      <c r="L83" s="288">
        <f t="shared" si="19"/>
        <v>0</v>
      </c>
      <c r="M83" s="288"/>
      <c r="N83" s="288">
        <f t="shared" si="19"/>
        <v>0</v>
      </c>
      <c r="O83" s="288">
        <f t="shared" si="19"/>
        <v>0</v>
      </c>
      <c r="P83" s="288"/>
      <c r="Q83" s="289">
        <f t="shared" si="19"/>
        <v>0</v>
      </c>
    </row>
    <row r="84" spans="1:17" ht="26.25" hidden="1" x14ac:dyDescent="0.25">
      <c r="A84" s="293">
        <v>5067</v>
      </c>
      <c r="B84" s="294">
        <v>733100</v>
      </c>
      <c r="C84" s="295" t="s">
        <v>90</v>
      </c>
      <c r="D84" s="295"/>
      <c r="E84" s="277"/>
      <c r="F84" s="277"/>
      <c r="G84" s="311">
        <f t="shared" ref="G84:G119" si="20">SUM(I84:Q84)</f>
        <v>0</v>
      </c>
      <c r="H84" s="311"/>
      <c r="I84" s="277"/>
      <c r="J84" s="277"/>
      <c r="K84" s="277"/>
      <c r="L84" s="277"/>
      <c r="M84" s="277"/>
      <c r="N84" s="277"/>
      <c r="O84" s="277"/>
      <c r="P84" s="277"/>
      <c r="Q84" s="312"/>
    </row>
    <row r="85" spans="1:17" ht="26.25" hidden="1" x14ac:dyDescent="0.25">
      <c r="A85" s="293">
        <v>5068</v>
      </c>
      <c r="B85" s="294">
        <v>733200</v>
      </c>
      <c r="C85" s="295" t="s">
        <v>91</v>
      </c>
      <c r="D85" s="295"/>
      <c r="E85" s="277"/>
      <c r="F85" s="277"/>
      <c r="G85" s="311">
        <f t="shared" si="20"/>
        <v>0</v>
      </c>
      <c r="H85" s="311"/>
      <c r="I85" s="277"/>
      <c r="J85" s="277"/>
      <c r="K85" s="277"/>
      <c r="L85" s="277"/>
      <c r="M85" s="277"/>
      <c r="N85" s="277"/>
      <c r="O85" s="277"/>
      <c r="P85" s="277"/>
      <c r="Q85" s="312"/>
    </row>
    <row r="86" spans="1:17" ht="26.25" x14ac:dyDescent="0.25">
      <c r="A86" s="284">
        <v>5069</v>
      </c>
      <c r="B86" s="283">
        <v>740000</v>
      </c>
      <c r="C86" s="287" t="s">
        <v>92</v>
      </c>
      <c r="D86" s="287"/>
      <c r="E86" s="288">
        <f>E87+E94+E99+E110+E113</f>
        <v>19095</v>
      </c>
      <c r="F86" s="288">
        <f>F87+F94+F99+F110+F113+F120</f>
        <v>15200</v>
      </c>
      <c r="G86" s="288">
        <f t="shared" ref="G86:Q86" si="21">G87+G94+G99+G110+G113</f>
        <v>14780</v>
      </c>
      <c r="H86" s="288">
        <f>H87+H94+H99+H110+H113</f>
        <v>1000</v>
      </c>
      <c r="I86" s="288">
        <f t="shared" si="21"/>
        <v>1165</v>
      </c>
      <c r="J86" s="288">
        <f t="shared" si="21"/>
        <v>0</v>
      </c>
      <c r="K86" s="288">
        <f t="shared" si="21"/>
        <v>0</v>
      </c>
      <c r="L86" s="288">
        <f t="shared" si="21"/>
        <v>0</v>
      </c>
      <c r="M86" s="288">
        <f>M87+M94+M120</f>
        <v>1500</v>
      </c>
      <c r="N86" s="288">
        <f t="shared" si="21"/>
        <v>1130</v>
      </c>
      <c r="O86" s="288">
        <f t="shared" si="21"/>
        <v>0</v>
      </c>
      <c r="P86" s="288">
        <f>P87+P94+P99+P110+P113+P120</f>
        <v>12700</v>
      </c>
      <c r="Q86" s="289">
        <f t="shared" si="21"/>
        <v>12485</v>
      </c>
    </row>
    <row r="87" spans="1:17" ht="26.25" x14ac:dyDescent="0.25">
      <c r="A87" s="284">
        <v>5070</v>
      </c>
      <c r="B87" s="283">
        <v>741000</v>
      </c>
      <c r="C87" s="287" t="s">
        <v>93</v>
      </c>
      <c r="D87" s="287"/>
      <c r="E87" s="288">
        <f>SUM(E88:E93)</f>
        <v>1130</v>
      </c>
      <c r="F87" s="288">
        <f t="shared" ref="F87:Q87" si="22">SUM(F88:F93)</f>
        <v>1500</v>
      </c>
      <c r="G87" s="288">
        <f>SUM(G88:G93)</f>
        <v>1130</v>
      </c>
      <c r="H87" s="288">
        <f t="shared" si="22"/>
        <v>0</v>
      </c>
      <c r="I87" s="288">
        <f t="shared" si="22"/>
        <v>0</v>
      </c>
      <c r="J87" s="288">
        <f t="shared" si="22"/>
        <v>0</v>
      </c>
      <c r="K87" s="288">
        <f t="shared" si="22"/>
        <v>0</v>
      </c>
      <c r="L87" s="288">
        <f t="shared" si="22"/>
        <v>0</v>
      </c>
      <c r="M87" s="288">
        <f t="shared" si="22"/>
        <v>1500</v>
      </c>
      <c r="N87" s="288">
        <f t="shared" si="22"/>
        <v>1130</v>
      </c>
      <c r="O87" s="288">
        <f t="shared" si="22"/>
        <v>0</v>
      </c>
      <c r="P87" s="288">
        <f t="shared" si="22"/>
        <v>0</v>
      </c>
      <c r="Q87" s="289">
        <f t="shared" si="22"/>
        <v>0</v>
      </c>
    </row>
    <row r="88" spans="1:17" hidden="1" x14ac:dyDescent="0.25">
      <c r="A88" s="293">
        <v>5071</v>
      </c>
      <c r="B88" s="294">
        <v>741100</v>
      </c>
      <c r="C88" s="295" t="s">
        <v>94</v>
      </c>
      <c r="D88" s="295"/>
      <c r="E88" s="277"/>
      <c r="F88" s="277"/>
      <c r="G88" s="311">
        <f t="shared" si="20"/>
        <v>0</v>
      </c>
      <c r="H88" s="311"/>
      <c r="I88" s="277"/>
      <c r="J88" s="277"/>
      <c r="K88" s="277"/>
      <c r="L88" s="277"/>
      <c r="M88" s="277"/>
      <c r="N88" s="277"/>
      <c r="O88" s="277"/>
      <c r="P88" s="277"/>
      <c r="Q88" s="312"/>
    </row>
    <row r="89" spans="1:17" hidden="1" x14ac:dyDescent="0.25">
      <c r="A89" s="293">
        <v>5072</v>
      </c>
      <c r="B89" s="294">
        <v>741200</v>
      </c>
      <c r="C89" s="295" t="s">
        <v>95</v>
      </c>
      <c r="D89" s="295"/>
      <c r="E89" s="277"/>
      <c r="F89" s="277"/>
      <c r="G89" s="311">
        <f t="shared" si="20"/>
        <v>0</v>
      </c>
      <c r="H89" s="311"/>
      <c r="I89" s="277"/>
      <c r="J89" s="277"/>
      <c r="K89" s="277"/>
      <c r="L89" s="277"/>
      <c r="M89" s="277"/>
      <c r="N89" s="277"/>
      <c r="O89" s="277"/>
      <c r="P89" s="277"/>
      <c r="Q89" s="312"/>
    </row>
    <row r="90" spans="1:17" ht="26.25" hidden="1" x14ac:dyDescent="0.25">
      <c r="A90" s="293">
        <v>5073</v>
      </c>
      <c r="B90" s="294">
        <v>741300</v>
      </c>
      <c r="C90" s="295" t="s">
        <v>96</v>
      </c>
      <c r="D90" s="295"/>
      <c r="E90" s="277"/>
      <c r="F90" s="277"/>
      <c r="G90" s="311">
        <f t="shared" si="20"/>
        <v>0</v>
      </c>
      <c r="H90" s="311"/>
      <c r="I90" s="277"/>
      <c r="J90" s="277"/>
      <c r="K90" s="277"/>
      <c r="L90" s="277"/>
      <c r="M90" s="277"/>
      <c r="N90" s="277"/>
      <c r="O90" s="277"/>
      <c r="P90" s="277"/>
      <c r="Q90" s="312"/>
    </row>
    <row r="91" spans="1:17" ht="26.25" x14ac:dyDescent="0.25">
      <c r="A91" s="293">
        <v>5074</v>
      </c>
      <c r="B91" s="294">
        <v>741400</v>
      </c>
      <c r="C91" s="295" t="s">
        <v>97</v>
      </c>
      <c r="D91" s="295"/>
      <c r="E91" s="290">
        <v>1130</v>
      </c>
      <c r="F91" s="278">
        <f>H91+K91+M91+P91</f>
        <v>1500</v>
      </c>
      <c r="G91" s="311">
        <f>SUM(I91:Q91)-K91-M91-P91</f>
        <v>1130</v>
      </c>
      <c r="H91" s="311"/>
      <c r="I91" s="278"/>
      <c r="J91" s="278"/>
      <c r="K91" s="278"/>
      <c r="L91" s="278"/>
      <c r="M91" s="278">
        <v>1500</v>
      </c>
      <c r="N91" s="278">
        <v>1130</v>
      </c>
      <c r="O91" s="278"/>
      <c r="P91" s="278"/>
      <c r="Q91" s="313"/>
    </row>
    <row r="92" spans="1:17" hidden="1" x14ac:dyDescent="0.25">
      <c r="A92" s="293">
        <v>5075</v>
      </c>
      <c r="B92" s="294">
        <v>741500</v>
      </c>
      <c r="C92" s="295" t="s">
        <v>98</v>
      </c>
      <c r="D92" s="295"/>
      <c r="E92" s="277"/>
      <c r="F92" s="290">
        <f t="shared" ref="F92:F138" si="23">H92+K92+M92+P92</f>
        <v>0</v>
      </c>
      <c r="G92" s="311">
        <f t="shared" si="20"/>
        <v>0</v>
      </c>
      <c r="H92" s="311"/>
      <c r="I92" s="277"/>
      <c r="J92" s="277"/>
      <c r="K92" s="277"/>
      <c r="L92" s="277"/>
      <c r="M92" s="277"/>
      <c r="N92" s="277"/>
      <c r="O92" s="277"/>
      <c r="P92" s="277"/>
      <c r="Q92" s="312"/>
    </row>
    <row r="93" spans="1:17" ht="26.25" hidden="1" x14ac:dyDescent="0.25">
      <c r="A93" s="293">
        <v>5076</v>
      </c>
      <c r="B93" s="294">
        <v>741600</v>
      </c>
      <c r="C93" s="295" t="s">
        <v>99</v>
      </c>
      <c r="D93" s="295"/>
      <c r="E93" s="277"/>
      <c r="F93" s="290">
        <f t="shared" si="23"/>
        <v>0</v>
      </c>
      <c r="G93" s="311">
        <f t="shared" si="20"/>
        <v>0</v>
      </c>
      <c r="H93" s="311"/>
      <c r="I93" s="277"/>
      <c r="J93" s="277"/>
      <c r="K93" s="277"/>
      <c r="L93" s="277"/>
      <c r="M93" s="277"/>
      <c r="N93" s="277"/>
      <c r="O93" s="277"/>
      <c r="P93" s="277"/>
      <c r="Q93" s="312"/>
    </row>
    <row r="94" spans="1:17" ht="39" x14ac:dyDescent="0.25">
      <c r="A94" s="284">
        <v>5077</v>
      </c>
      <c r="B94" s="283">
        <v>742000</v>
      </c>
      <c r="C94" s="287" t="s">
        <v>100</v>
      </c>
      <c r="D94" s="287"/>
      <c r="E94" s="288">
        <f>SUM(E95:E98)</f>
        <v>13865</v>
      </c>
      <c r="F94" s="290">
        <f>SUM(F95:F98)</f>
        <v>13700</v>
      </c>
      <c r="G94" s="288">
        <f t="shared" ref="G94:Q94" si="24">SUM(G95:G98)</f>
        <v>13236</v>
      </c>
      <c r="H94" s="288">
        <f t="shared" si="24"/>
        <v>1000</v>
      </c>
      <c r="I94" s="288">
        <f t="shared" si="24"/>
        <v>1165</v>
      </c>
      <c r="J94" s="288">
        <f t="shared" si="24"/>
        <v>0</v>
      </c>
      <c r="K94" s="288">
        <f t="shared" si="24"/>
        <v>0</v>
      </c>
      <c r="L94" s="288">
        <f t="shared" si="24"/>
        <v>0</v>
      </c>
      <c r="M94" s="288">
        <f t="shared" si="24"/>
        <v>0</v>
      </c>
      <c r="N94" s="288">
        <f t="shared" si="24"/>
        <v>0</v>
      </c>
      <c r="O94" s="288">
        <f t="shared" si="24"/>
        <v>0</v>
      </c>
      <c r="P94" s="288">
        <f t="shared" si="24"/>
        <v>12700</v>
      </c>
      <c r="Q94" s="289">
        <f t="shared" si="24"/>
        <v>12071</v>
      </c>
    </row>
    <row r="95" spans="1:17" ht="26.25" x14ac:dyDescent="0.25">
      <c r="A95" s="293">
        <v>5078</v>
      </c>
      <c r="B95" s="294">
        <v>742100</v>
      </c>
      <c r="C95" s="295" t="s">
        <v>508</v>
      </c>
      <c r="D95" s="295"/>
      <c r="E95" s="277">
        <v>5000</v>
      </c>
      <c r="F95" s="278">
        <f t="shared" si="23"/>
        <v>5000</v>
      </c>
      <c r="G95" s="311">
        <f>SUM(I95:Q95)-K95-M95-P95</f>
        <v>4891</v>
      </c>
      <c r="H95" s="311"/>
      <c r="I95" s="277"/>
      <c r="J95" s="277"/>
      <c r="K95" s="277"/>
      <c r="L95" s="277"/>
      <c r="M95" s="277"/>
      <c r="N95" s="277"/>
      <c r="O95" s="277"/>
      <c r="P95" s="277">
        <v>5000</v>
      </c>
      <c r="Q95" s="312">
        <v>4891</v>
      </c>
    </row>
    <row r="96" spans="1:17" hidden="1" x14ac:dyDescent="0.25">
      <c r="A96" s="293">
        <v>5079</v>
      </c>
      <c r="B96" s="294">
        <v>742200</v>
      </c>
      <c r="C96" s="295" t="s">
        <v>102</v>
      </c>
      <c r="D96" s="295"/>
      <c r="E96" s="277"/>
      <c r="F96" s="290">
        <f t="shared" si="23"/>
        <v>0</v>
      </c>
      <c r="G96" s="311">
        <f t="shared" ref="G96" si="25">SUM(I96:Q96)-H96-K96-M96-P96</f>
        <v>0</v>
      </c>
      <c r="H96" s="311"/>
      <c r="I96" s="277"/>
      <c r="J96" s="277"/>
      <c r="K96" s="277"/>
      <c r="L96" s="277"/>
      <c r="M96" s="277"/>
      <c r="N96" s="277"/>
      <c r="O96" s="277"/>
      <c r="P96" s="277"/>
      <c r="Q96" s="312"/>
    </row>
    <row r="97" spans="1:17" ht="39" x14ac:dyDescent="0.25">
      <c r="A97" s="293">
        <v>5080</v>
      </c>
      <c r="B97" s="294">
        <v>742300</v>
      </c>
      <c r="C97" s="295" t="s">
        <v>103</v>
      </c>
      <c r="D97" s="295"/>
      <c r="E97" s="277">
        <v>8865</v>
      </c>
      <c r="F97" s="278">
        <f t="shared" si="23"/>
        <v>8700</v>
      </c>
      <c r="G97" s="311">
        <f>SUM(I97:Q97)-K97-M97-P97</f>
        <v>8345</v>
      </c>
      <c r="H97" s="311">
        <v>1000</v>
      </c>
      <c r="I97" s="277">
        <v>1165</v>
      </c>
      <c r="J97" s="277"/>
      <c r="K97" s="277"/>
      <c r="L97" s="277"/>
      <c r="M97" s="277"/>
      <c r="N97" s="277"/>
      <c r="O97" s="277"/>
      <c r="P97" s="277">
        <v>7700</v>
      </c>
      <c r="Q97" s="312">
        <v>7180</v>
      </c>
    </row>
    <row r="98" spans="1:17" ht="26.25" hidden="1" x14ac:dyDescent="0.25">
      <c r="A98" s="293">
        <v>5081</v>
      </c>
      <c r="B98" s="294">
        <v>742400</v>
      </c>
      <c r="C98" s="295" t="s">
        <v>104</v>
      </c>
      <c r="D98" s="295"/>
      <c r="E98" s="277"/>
      <c r="F98" s="278">
        <f t="shared" si="23"/>
        <v>0</v>
      </c>
      <c r="G98" s="311">
        <f t="shared" si="20"/>
        <v>0</v>
      </c>
      <c r="H98" s="311"/>
      <c r="I98" s="277"/>
      <c r="J98" s="277"/>
      <c r="K98" s="277"/>
      <c r="L98" s="277"/>
      <c r="M98" s="277"/>
      <c r="N98" s="277"/>
      <c r="O98" s="277"/>
      <c r="P98" s="277"/>
      <c r="Q98" s="312"/>
    </row>
    <row r="99" spans="1:17" ht="39" hidden="1" x14ac:dyDescent="0.25">
      <c r="A99" s="284">
        <v>5082</v>
      </c>
      <c r="B99" s="283">
        <v>743000</v>
      </c>
      <c r="C99" s="287" t="s">
        <v>105</v>
      </c>
      <c r="D99" s="287"/>
      <c r="E99" s="288">
        <f>SUM(E104:E109)</f>
        <v>0</v>
      </c>
      <c r="F99" s="278">
        <f t="shared" si="23"/>
        <v>0</v>
      </c>
      <c r="G99" s="288">
        <f t="shared" si="20"/>
        <v>0</v>
      </c>
      <c r="H99" s="288"/>
      <c r="I99" s="288">
        <f t="shared" ref="I99:Q99" si="26">SUM(I104:I109)</f>
        <v>0</v>
      </c>
      <c r="J99" s="288">
        <f t="shared" si="26"/>
        <v>0</v>
      </c>
      <c r="K99" s="288"/>
      <c r="L99" s="288">
        <f t="shared" si="26"/>
        <v>0</v>
      </c>
      <c r="M99" s="288"/>
      <c r="N99" s="288">
        <f t="shared" si="26"/>
        <v>0</v>
      </c>
      <c r="O99" s="288">
        <f t="shared" si="26"/>
        <v>0</v>
      </c>
      <c r="P99" s="288"/>
      <c r="Q99" s="289">
        <f t="shared" si="26"/>
        <v>0</v>
      </c>
    </row>
    <row r="100" spans="1:17" hidden="1" x14ac:dyDescent="0.25">
      <c r="A100" s="663" t="s">
        <v>0</v>
      </c>
      <c r="B100" s="657" t="s">
        <v>1</v>
      </c>
      <c r="C100" s="656" t="s">
        <v>2</v>
      </c>
      <c r="D100" s="308"/>
      <c r="E100" s="658" t="s">
        <v>3</v>
      </c>
      <c r="F100" s="278">
        <f t="shared" si="23"/>
        <v>0</v>
      </c>
      <c r="G100" s="658" t="s">
        <v>4</v>
      </c>
      <c r="H100" s="658"/>
      <c r="I100" s="658"/>
      <c r="J100" s="658"/>
      <c r="K100" s="658"/>
      <c r="L100" s="658"/>
      <c r="M100" s="658"/>
      <c r="N100" s="658"/>
      <c r="O100" s="658"/>
      <c r="P100" s="658"/>
      <c r="Q100" s="664"/>
    </row>
    <row r="101" spans="1:17" hidden="1" x14ac:dyDescent="0.25">
      <c r="A101" s="663"/>
      <c r="B101" s="657"/>
      <c r="C101" s="656"/>
      <c r="D101" s="308"/>
      <c r="E101" s="658"/>
      <c r="F101" s="278">
        <f t="shared" si="23"/>
        <v>0</v>
      </c>
      <c r="G101" s="665" t="s">
        <v>5</v>
      </c>
      <c r="H101" s="302"/>
      <c r="I101" s="658" t="s">
        <v>6</v>
      </c>
      <c r="J101" s="658"/>
      <c r="K101" s="658"/>
      <c r="L101" s="658"/>
      <c r="M101" s="658"/>
      <c r="N101" s="658"/>
      <c r="O101" s="658" t="s">
        <v>7</v>
      </c>
      <c r="P101" s="283"/>
      <c r="Q101" s="664" t="s">
        <v>8</v>
      </c>
    </row>
    <row r="102" spans="1:17" ht="39" hidden="1" x14ac:dyDescent="0.25">
      <c r="A102" s="663"/>
      <c r="B102" s="657"/>
      <c r="C102" s="656"/>
      <c r="D102" s="308"/>
      <c r="E102" s="658"/>
      <c r="F102" s="278">
        <f t="shared" si="23"/>
        <v>0</v>
      </c>
      <c r="G102" s="665"/>
      <c r="H102" s="302"/>
      <c r="I102" s="283" t="s">
        <v>9</v>
      </c>
      <c r="J102" s="283" t="s">
        <v>10</v>
      </c>
      <c r="K102" s="283"/>
      <c r="L102" s="283" t="s">
        <v>11</v>
      </c>
      <c r="M102" s="283"/>
      <c r="N102" s="283" t="s">
        <v>12</v>
      </c>
      <c r="O102" s="658"/>
      <c r="P102" s="283"/>
      <c r="Q102" s="664"/>
    </row>
    <row r="103" spans="1:17" ht="26.25" hidden="1" x14ac:dyDescent="0.25">
      <c r="A103" s="304" t="s">
        <v>18</v>
      </c>
      <c r="B103" s="305" t="s">
        <v>19</v>
      </c>
      <c r="C103" s="305" t="s">
        <v>20</v>
      </c>
      <c r="D103" s="305"/>
      <c r="E103" s="306" t="s">
        <v>21</v>
      </c>
      <c r="F103" s="278">
        <f t="shared" si="23"/>
        <v>0</v>
      </c>
      <c r="G103" s="306" t="s">
        <v>22</v>
      </c>
      <c r="H103" s="306"/>
      <c r="I103" s="306" t="s">
        <v>23</v>
      </c>
      <c r="J103" s="306" t="s">
        <v>24</v>
      </c>
      <c r="K103" s="306"/>
      <c r="L103" s="306" t="s">
        <v>25</v>
      </c>
      <c r="M103" s="306"/>
      <c r="N103" s="306" t="s">
        <v>26</v>
      </c>
      <c r="O103" s="306" t="s">
        <v>27</v>
      </c>
      <c r="P103" s="306"/>
      <c r="Q103" s="307" t="s">
        <v>28</v>
      </c>
    </row>
    <row r="104" spans="1:17" ht="26.25" hidden="1" x14ac:dyDescent="0.25">
      <c r="A104" s="293">
        <v>5083</v>
      </c>
      <c r="B104" s="294">
        <v>743100</v>
      </c>
      <c r="C104" s="295" t="s">
        <v>106</v>
      </c>
      <c r="D104" s="295"/>
      <c r="E104" s="277"/>
      <c r="F104" s="278">
        <f t="shared" si="23"/>
        <v>0</v>
      </c>
      <c r="G104" s="311">
        <f t="shared" si="20"/>
        <v>0</v>
      </c>
      <c r="H104" s="311"/>
      <c r="I104" s="277"/>
      <c r="J104" s="277"/>
      <c r="K104" s="277"/>
      <c r="L104" s="277"/>
      <c r="M104" s="277"/>
      <c r="N104" s="277"/>
      <c r="O104" s="277"/>
      <c r="P104" s="277"/>
      <c r="Q104" s="312"/>
    </row>
    <row r="105" spans="1:17" ht="26.25" hidden="1" x14ac:dyDescent="0.25">
      <c r="A105" s="293">
        <v>5084</v>
      </c>
      <c r="B105" s="294">
        <v>743200</v>
      </c>
      <c r="C105" s="295" t="s">
        <v>107</v>
      </c>
      <c r="D105" s="295"/>
      <c r="E105" s="277"/>
      <c r="F105" s="278">
        <f t="shared" si="23"/>
        <v>0</v>
      </c>
      <c r="G105" s="311">
        <f t="shared" si="20"/>
        <v>0</v>
      </c>
      <c r="H105" s="311"/>
      <c r="I105" s="277"/>
      <c r="J105" s="277"/>
      <c r="K105" s="277"/>
      <c r="L105" s="277"/>
      <c r="M105" s="277"/>
      <c r="N105" s="277"/>
      <c r="O105" s="277"/>
      <c r="P105" s="277"/>
      <c r="Q105" s="312"/>
    </row>
    <row r="106" spans="1:17" ht="26.25" hidden="1" x14ac:dyDescent="0.25">
      <c r="A106" s="293">
        <v>5085</v>
      </c>
      <c r="B106" s="294">
        <v>743300</v>
      </c>
      <c r="C106" s="295" t="s">
        <v>108</v>
      </c>
      <c r="D106" s="295"/>
      <c r="E106" s="277"/>
      <c r="F106" s="278">
        <f t="shared" si="23"/>
        <v>0</v>
      </c>
      <c r="G106" s="311">
        <f t="shared" si="20"/>
        <v>0</v>
      </c>
      <c r="H106" s="311"/>
      <c r="I106" s="277"/>
      <c r="J106" s="277"/>
      <c r="K106" s="277"/>
      <c r="L106" s="277"/>
      <c r="M106" s="277"/>
      <c r="N106" s="277"/>
      <c r="O106" s="277"/>
      <c r="P106" s="277"/>
      <c r="Q106" s="312"/>
    </row>
    <row r="107" spans="1:17" hidden="1" x14ac:dyDescent="0.25">
      <c r="A107" s="293">
        <v>5086</v>
      </c>
      <c r="B107" s="294">
        <v>743400</v>
      </c>
      <c r="C107" s="295" t="s">
        <v>109</v>
      </c>
      <c r="D107" s="295"/>
      <c r="E107" s="277"/>
      <c r="F107" s="278">
        <f t="shared" si="23"/>
        <v>0</v>
      </c>
      <c r="G107" s="311">
        <f t="shared" si="20"/>
        <v>0</v>
      </c>
      <c r="H107" s="311"/>
      <c r="I107" s="277"/>
      <c r="J107" s="277"/>
      <c r="K107" s="277"/>
      <c r="L107" s="277"/>
      <c r="M107" s="277"/>
      <c r="N107" s="277"/>
      <c r="O107" s="277"/>
      <c r="P107" s="277"/>
      <c r="Q107" s="312"/>
    </row>
    <row r="108" spans="1:17" ht="26.25" hidden="1" x14ac:dyDescent="0.25">
      <c r="A108" s="293">
        <v>5087</v>
      </c>
      <c r="B108" s="294">
        <v>743500</v>
      </c>
      <c r="C108" s="295" t="s">
        <v>110</v>
      </c>
      <c r="D108" s="295"/>
      <c r="E108" s="277"/>
      <c r="F108" s="278">
        <f t="shared" si="23"/>
        <v>0</v>
      </c>
      <c r="G108" s="311">
        <f t="shared" si="20"/>
        <v>0</v>
      </c>
      <c r="H108" s="311"/>
      <c r="I108" s="277"/>
      <c r="J108" s="277"/>
      <c r="K108" s="277"/>
      <c r="L108" s="277"/>
      <c r="M108" s="277"/>
      <c r="N108" s="277"/>
      <c r="O108" s="277"/>
      <c r="P108" s="277"/>
      <c r="Q108" s="312"/>
    </row>
    <row r="109" spans="1:17" ht="39" hidden="1" x14ac:dyDescent="0.25">
      <c r="A109" s="293">
        <v>5088</v>
      </c>
      <c r="B109" s="294">
        <v>743900</v>
      </c>
      <c r="C109" s="295" t="s">
        <v>111</v>
      </c>
      <c r="D109" s="295"/>
      <c r="E109" s="277"/>
      <c r="F109" s="278">
        <f t="shared" si="23"/>
        <v>0</v>
      </c>
      <c r="G109" s="311">
        <f t="shared" si="20"/>
        <v>0</v>
      </c>
      <c r="H109" s="311"/>
      <c r="I109" s="277"/>
      <c r="J109" s="277"/>
      <c r="K109" s="277"/>
      <c r="L109" s="277"/>
      <c r="M109" s="277"/>
      <c r="N109" s="277"/>
      <c r="O109" s="277"/>
      <c r="P109" s="277"/>
      <c r="Q109" s="312"/>
    </row>
    <row r="110" spans="1:17" ht="39" hidden="1" x14ac:dyDescent="0.25">
      <c r="A110" s="284">
        <v>5089</v>
      </c>
      <c r="B110" s="283">
        <v>744000</v>
      </c>
      <c r="C110" s="287" t="s">
        <v>112</v>
      </c>
      <c r="D110" s="287"/>
      <c r="E110" s="288">
        <f>E111+E112</f>
        <v>4100</v>
      </c>
      <c r="F110" s="278">
        <f t="shared" si="23"/>
        <v>0</v>
      </c>
      <c r="G110" s="288">
        <f t="shared" ref="G110:Q110" si="27">G111+G112</f>
        <v>414</v>
      </c>
      <c r="H110" s="288">
        <f t="shared" si="27"/>
        <v>0</v>
      </c>
      <c r="I110" s="288">
        <f t="shared" si="27"/>
        <v>0</v>
      </c>
      <c r="J110" s="288">
        <f t="shared" si="27"/>
        <v>0</v>
      </c>
      <c r="K110" s="288">
        <f t="shared" si="27"/>
        <v>0</v>
      </c>
      <c r="L110" s="288">
        <f t="shared" si="27"/>
        <v>0</v>
      </c>
      <c r="M110" s="288">
        <f t="shared" si="27"/>
        <v>0</v>
      </c>
      <c r="N110" s="288">
        <f t="shared" si="27"/>
        <v>0</v>
      </c>
      <c r="O110" s="288">
        <f t="shared" si="27"/>
        <v>0</v>
      </c>
      <c r="P110" s="288">
        <f t="shared" si="27"/>
        <v>0</v>
      </c>
      <c r="Q110" s="289">
        <f t="shared" si="27"/>
        <v>414</v>
      </c>
    </row>
    <row r="111" spans="1:17" ht="26.25" hidden="1" x14ac:dyDescent="0.25">
      <c r="A111" s="293">
        <v>5090</v>
      </c>
      <c r="B111" s="294">
        <v>744100</v>
      </c>
      <c r="C111" s="295" t="s">
        <v>113</v>
      </c>
      <c r="D111" s="295"/>
      <c r="E111" s="277">
        <v>4100</v>
      </c>
      <c r="F111" s="278">
        <f t="shared" si="23"/>
        <v>0</v>
      </c>
      <c r="G111" s="311">
        <f t="shared" si="20"/>
        <v>414</v>
      </c>
      <c r="H111" s="311"/>
      <c r="I111" s="277"/>
      <c r="J111" s="277"/>
      <c r="K111" s="277"/>
      <c r="L111" s="277"/>
      <c r="M111" s="277"/>
      <c r="N111" s="277"/>
      <c r="O111" s="277"/>
      <c r="P111" s="277"/>
      <c r="Q111" s="312">
        <v>414</v>
      </c>
    </row>
    <row r="112" spans="1:17" ht="39" hidden="1" x14ac:dyDescent="0.25">
      <c r="A112" s="293">
        <v>5091</v>
      </c>
      <c r="B112" s="294">
        <v>744200</v>
      </c>
      <c r="C112" s="295" t="s">
        <v>114</v>
      </c>
      <c r="D112" s="295"/>
      <c r="E112" s="277"/>
      <c r="F112" s="278">
        <f t="shared" si="23"/>
        <v>0</v>
      </c>
      <c r="G112" s="311">
        <f t="shared" si="20"/>
        <v>0</v>
      </c>
      <c r="H112" s="311"/>
      <c r="I112" s="277"/>
      <c r="J112" s="277"/>
      <c r="K112" s="277"/>
      <c r="L112" s="277"/>
      <c r="M112" s="277"/>
      <c r="N112" s="277"/>
      <c r="O112" s="277"/>
      <c r="P112" s="277"/>
      <c r="Q112" s="312"/>
    </row>
    <row r="113" spans="1:23" ht="26.25" hidden="1" x14ac:dyDescent="0.25">
      <c r="A113" s="284">
        <v>5092</v>
      </c>
      <c r="B113" s="283">
        <v>745000</v>
      </c>
      <c r="C113" s="287" t="s">
        <v>115</v>
      </c>
      <c r="D113" s="287"/>
      <c r="E113" s="288">
        <f>E114</f>
        <v>0</v>
      </c>
      <c r="F113" s="278">
        <f t="shared" si="23"/>
        <v>0</v>
      </c>
      <c r="G113" s="288">
        <f t="shared" si="20"/>
        <v>0</v>
      </c>
      <c r="H113" s="288"/>
      <c r="I113" s="288">
        <f t="shared" ref="I113:Q113" si="28">I114</f>
        <v>0</v>
      </c>
      <c r="J113" s="288">
        <f t="shared" si="28"/>
        <v>0</v>
      </c>
      <c r="K113" s="288"/>
      <c r="L113" s="288">
        <f t="shared" si="28"/>
        <v>0</v>
      </c>
      <c r="M113" s="288"/>
      <c r="N113" s="288">
        <f t="shared" si="28"/>
        <v>0</v>
      </c>
      <c r="O113" s="288">
        <f t="shared" si="28"/>
        <v>0</v>
      </c>
      <c r="P113" s="288"/>
      <c r="Q113" s="289">
        <f t="shared" si="28"/>
        <v>0</v>
      </c>
    </row>
    <row r="114" spans="1:23" hidden="1" x14ac:dyDescent="0.25">
      <c r="A114" s="293">
        <v>5093</v>
      </c>
      <c r="B114" s="294">
        <v>745100</v>
      </c>
      <c r="C114" s="295" t="s">
        <v>116</v>
      </c>
      <c r="D114" s="295"/>
      <c r="E114" s="277"/>
      <c r="F114" s="278">
        <f t="shared" si="23"/>
        <v>0</v>
      </c>
      <c r="G114" s="311">
        <f t="shared" si="20"/>
        <v>0</v>
      </c>
      <c r="H114" s="311"/>
      <c r="I114" s="277"/>
      <c r="J114" s="277"/>
      <c r="K114" s="277"/>
      <c r="L114" s="277"/>
      <c r="M114" s="277"/>
      <c r="N114" s="277"/>
      <c r="O114" s="277"/>
      <c r="P114" s="277"/>
      <c r="Q114" s="312"/>
    </row>
    <row r="115" spans="1:23" ht="39" hidden="1" x14ac:dyDescent="0.25">
      <c r="A115" s="284">
        <v>5094</v>
      </c>
      <c r="B115" s="283">
        <v>770000</v>
      </c>
      <c r="C115" s="287" t="s">
        <v>117</v>
      </c>
      <c r="D115" s="287"/>
      <c r="E115" s="288">
        <f>E116+E118</f>
        <v>0</v>
      </c>
      <c r="F115" s="278">
        <f t="shared" si="23"/>
        <v>0</v>
      </c>
      <c r="G115" s="288">
        <f t="shared" si="20"/>
        <v>0</v>
      </c>
      <c r="H115" s="288"/>
      <c r="I115" s="288">
        <f t="shared" ref="I115:Q115" si="29">I116+I118</f>
        <v>0</v>
      </c>
      <c r="J115" s="288">
        <f t="shared" si="29"/>
        <v>0</v>
      </c>
      <c r="K115" s="288"/>
      <c r="L115" s="288">
        <f t="shared" si="29"/>
        <v>0</v>
      </c>
      <c r="M115" s="288"/>
      <c r="N115" s="288">
        <f t="shared" si="29"/>
        <v>0</v>
      </c>
      <c r="O115" s="288">
        <f t="shared" si="29"/>
        <v>0</v>
      </c>
      <c r="P115" s="288"/>
      <c r="Q115" s="289">
        <f t="shared" si="29"/>
        <v>0</v>
      </c>
    </row>
    <row r="116" spans="1:23" ht="39" hidden="1" x14ac:dyDescent="0.25">
      <c r="A116" s="284">
        <v>5095</v>
      </c>
      <c r="B116" s="283">
        <v>771000</v>
      </c>
      <c r="C116" s="287" t="s">
        <v>118</v>
      </c>
      <c r="D116" s="287"/>
      <c r="E116" s="288">
        <f>E117</f>
        <v>0</v>
      </c>
      <c r="F116" s="278">
        <f t="shared" si="23"/>
        <v>0</v>
      </c>
      <c r="G116" s="288">
        <f t="shared" si="20"/>
        <v>0</v>
      </c>
      <c r="H116" s="288"/>
      <c r="I116" s="288">
        <f t="shared" ref="I116:Q116" si="30">I117</f>
        <v>0</v>
      </c>
      <c r="J116" s="288">
        <f t="shared" si="30"/>
        <v>0</v>
      </c>
      <c r="K116" s="288"/>
      <c r="L116" s="288">
        <f t="shared" si="30"/>
        <v>0</v>
      </c>
      <c r="M116" s="288"/>
      <c r="N116" s="288">
        <f t="shared" si="30"/>
        <v>0</v>
      </c>
      <c r="O116" s="288">
        <f t="shared" si="30"/>
        <v>0</v>
      </c>
      <c r="P116" s="288"/>
      <c r="Q116" s="289">
        <f t="shared" si="30"/>
        <v>0</v>
      </c>
    </row>
    <row r="117" spans="1:23" ht="26.25" hidden="1" x14ac:dyDescent="0.25">
      <c r="A117" s="293">
        <v>5096</v>
      </c>
      <c r="B117" s="294">
        <v>771100</v>
      </c>
      <c r="C117" s="295" t="s">
        <v>119</v>
      </c>
      <c r="D117" s="295"/>
      <c r="E117" s="277"/>
      <c r="F117" s="278">
        <f t="shared" si="23"/>
        <v>0</v>
      </c>
      <c r="G117" s="311">
        <f t="shared" si="20"/>
        <v>0</v>
      </c>
      <c r="H117" s="311"/>
      <c r="I117" s="277"/>
      <c r="J117" s="277"/>
      <c r="K117" s="277"/>
      <c r="L117" s="277"/>
      <c r="M117" s="277"/>
      <c r="N117" s="277"/>
      <c r="O117" s="277"/>
      <c r="P117" s="277"/>
      <c r="Q117" s="312"/>
    </row>
    <row r="118" spans="1:23" ht="51.75" hidden="1" x14ac:dyDescent="0.25">
      <c r="A118" s="284">
        <v>5097</v>
      </c>
      <c r="B118" s="283">
        <v>772000</v>
      </c>
      <c r="C118" s="287" t="s">
        <v>120</v>
      </c>
      <c r="D118" s="287"/>
      <c r="E118" s="288">
        <f>E119</f>
        <v>0</v>
      </c>
      <c r="F118" s="278">
        <f t="shared" si="23"/>
        <v>0</v>
      </c>
      <c r="G118" s="288">
        <f t="shared" si="20"/>
        <v>0</v>
      </c>
      <c r="H118" s="288"/>
      <c r="I118" s="288">
        <f t="shared" ref="I118:Q118" si="31">I119</f>
        <v>0</v>
      </c>
      <c r="J118" s="288">
        <f t="shared" si="31"/>
        <v>0</v>
      </c>
      <c r="K118" s="288"/>
      <c r="L118" s="288">
        <f t="shared" si="31"/>
        <v>0</v>
      </c>
      <c r="M118" s="288"/>
      <c r="N118" s="288">
        <f t="shared" si="31"/>
        <v>0</v>
      </c>
      <c r="O118" s="288">
        <f t="shared" si="31"/>
        <v>0</v>
      </c>
      <c r="P118" s="288"/>
      <c r="Q118" s="289">
        <f t="shared" si="31"/>
        <v>0</v>
      </c>
    </row>
    <row r="119" spans="1:23" ht="39" hidden="1" x14ac:dyDescent="0.25">
      <c r="A119" s="293">
        <v>5098</v>
      </c>
      <c r="B119" s="294">
        <v>772100</v>
      </c>
      <c r="C119" s="295" t="s">
        <v>121</v>
      </c>
      <c r="D119" s="295"/>
      <c r="E119" s="277"/>
      <c r="F119" s="278">
        <f t="shared" si="23"/>
        <v>0</v>
      </c>
      <c r="G119" s="311">
        <f t="shared" si="20"/>
        <v>0</v>
      </c>
      <c r="H119" s="311"/>
      <c r="I119" s="277"/>
      <c r="J119" s="277"/>
      <c r="K119" s="277"/>
      <c r="L119" s="277"/>
      <c r="M119" s="277"/>
      <c r="N119" s="277"/>
      <c r="O119" s="277"/>
      <c r="P119" s="277"/>
      <c r="Q119" s="312"/>
    </row>
    <row r="120" spans="1:23" ht="39" x14ac:dyDescent="0.25">
      <c r="A120" s="284">
        <v>5089</v>
      </c>
      <c r="B120" s="283">
        <v>744000</v>
      </c>
      <c r="C120" s="287" t="s">
        <v>112</v>
      </c>
      <c r="D120" s="287"/>
      <c r="E120" s="288">
        <f>E121+E122</f>
        <v>1447862</v>
      </c>
      <c r="F120" s="314">
        <f t="shared" si="23"/>
        <v>0</v>
      </c>
      <c r="G120" s="288">
        <f t="shared" ref="G120:L120" si="32">G121+G122</f>
        <v>2994896</v>
      </c>
      <c r="H120" s="288">
        <f t="shared" si="32"/>
        <v>0</v>
      </c>
      <c r="I120" s="288">
        <f t="shared" si="32"/>
        <v>0</v>
      </c>
      <c r="J120" s="288">
        <f t="shared" si="32"/>
        <v>0</v>
      </c>
      <c r="K120" s="288">
        <f t="shared" si="32"/>
        <v>0</v>
      </c>
      <c r="L120" s="288">
        <f t="shared" si="32"/>
        <v>0</v>
      </c>
      <c r="M120" s="288"/>
      <c r="P120" s="288">
        <f>P121</f>
        <v>0</v>
      </c>
    </row>
    <row r="121" spans="1:23" ht="26.25" x14ac:dyDescent="0.25">
      <c r="A121" s="293">
        <v>5090</v>
      </c>
      <c r="B121" s="294">
        <v>744100</v>
      </c>
      <c r="C121" s="295" t="s">
        <v>113</v>
      </c>
      <c r="D121" s="295"/>
      <c r="E121" s="277">
        <v>4100</v>
      </c>
      <c r="F121" s="278">
        <f t="shared" si="23"/>
        <v>0</v>
      </c>
      <c r="G121" s="277"/>
      <c r="H121" s="277"/>
      <c r="I121" s="277"/>
      <c r="J121" s="277"/>
      <c r="K121" s="277"/>
      <c r="L121" s="277"/>
      <c r="M121" s="277"/>
      <c r="P121" s="315"/>
    </row>
    <row r="122" spans="1:23" ht="39" x14ac:dyDescent="0.25">
      <c r="A122" s="284">
        <v>5099</v>
      </c>
      <c r="B122" s="283">
        <v>780000</v>
      </c>
      <c r="C122" s="287" t="s">
        <v>122</v>
      </c>
      <c r="D122" s="287"/>
      <c r="E122" s="288">
        <f>E123</f>
        <v>1443762</v>
      </c>
      <c r="F122" s="290">
        <f t="shared" si="23"/>
        <v>1597834</v>
      </c>
      <c r="G122" s="288">
        <f t="shared" ref="G122:Q122" si="33">G123</f>
        <v>2994896</v>
      </c>
      <c r="H122" s="288">
        <f t="shared" si="33"/>
        <v>0</v>
      </c>
      <c r="I122" s="288">
        <f t="shared" si="33"/>
        <v>0</v>
      </c>
      <c r="J122" s="288">
        <f t="shared" si="33"/>
        <v>0</v>
      </c>
      <c r="K122" s="288">
        <f t="shared" si="33"/>
        <v>0</v>
      </c>
      <c r="L122" s="288">
        <f t="shared" si="33"/>
        <v>0</v>
      </c>
      <c r="M122" s="288">
        <f t="shared" si="33"/>
        <v>1597834</v>
      </c>
      <c r="N122" s="288">
        <f t="shared" si="33"/>
        <v>1397062</v>
      </c>
      <c r="O122" s="288">
        <f t="shared" si="33"/>
        <v>0</v>
      </c>
      <c r="P122" s="288">
        <f t="shared" si="33"/>
        <v>0</v>
      </c>
      <c r="Q122" s="289">
        <f t="shared" si="33"/>
        <v>0</v>
      </c>
    </row>
    <row r="123" spans="1:23" ht="39" x14ac:dyDescent="0.25">
      <c r="A123" s="284">
        <v>5100</v>
      </c>
      <c r="B123" s="283">
        <v>781000</v>
      </c>
      <c r="C123" s="287" t="s">
        <v>123</v>
      </c>
      <c r="D123" s="287"/>
      <c r="E123" s="288">
        <f>E124+E125</f>
        <v>1443762</v>
      </c>
      <c r="F123" s="290">
        <f t="shared" si="23"/>
        <v>1597834</v>
      </c>
      <c r="G123" s="288">
        <f t="shared" ref="G123:Q123" si="34">G124+G125</f>
        <v>2994896</v>
      </c>
      <c r="H123" s="288">
        <f t="shared" si="34"/>
        <v>0</v>
      </c>
      <c r="I123" s="288">
        <f t="shared" si="34"/>
        <v>0</v>
      </c>
      <c r="J123" s="288">
        <f t="shared" si="34"/>
        <v>0</v>
      </c>
      <c r="K123" s="288">
        <f t="shared" si="34"/>
        <v>0</v>
      </c>
      <c r="L123" s="288">
        <f t="shared" si="34"/>
        <v>0</v>
      </c>
      <c r="M123" s="288">
        <f t="shared" si="34"/>
        <v>1597834</v>
      </c>
      <c r="N123" s="288">
        <f t="shared" si="34"/>
        <v>1397062</v>
      </c>
      <c r="O123" s="288">
        <f t="shared" si="34"/>
        <v>0</v>
      </c>
      <c r="P123" s="288">
        <f t="shared" si="34"/>
        <v>0</v>
      </c>
      <c r="Q123" s="289">
        <f t="shared" si="34"/>
        <v>0</v>
      </c>
    </row>
    <row r="124" spans="1:23" ht="28.5" x14ac:dyDescent="0.4">
      <c r="A124" s="293">
        <v>5101</v>
      </c>
      <c r="B124" s="294">
        <v>781100</v>
      </c>
      <c r="C124" s="295" t="s">
        <v>124</v>
      </c>
      <c r="D124" s="295"/>
      <c r="E124" s="277">
        <v>1443762</v>
      </c>
      <c r="F124" s="290">
        <f t="shared" si="23"/>
        <v>1597834</v>
      </c>
      <c r="G124" s="311">
        <f>SUM(I124:Q124)</f>
        <v>2994896</v>
      </c>
      <c r="H124" s="311"/>
      <c r="I124" s="277"/>
      <c r="J124" s="277"/>
      <c r="K124" s="277"/>
      <c r="L124" s="277"/>
      <c r="M124" s="277">
        <v>1597834</v>
      </c>
      <c r="N124" s="277">
        <v>1397062</v>
      </c>
      <c r="O124" s="277"/>
      <c r="P124" s="277"/>
      <c r="Q124" s="312"/>
      <c r="V124" s="346" t="s">
        <v>538</v>
      </c>
      <c r="W124" s="326">
        <f>1557447+M233+M238+M242+M310+M392</f>
        <v>1597834</v>
      </c>
    </row>
    <row r="125" spans="1:23" ht="26.25" hidden="1" x14ac:dyDescent="0.25">
      <c r="A125" s="293">
        <v>5102</v>
      </c>
      <c r="B125" s="294">
        <v>781300</v>
      </c>
      <c r="C125" s="295" t="s">
        <v>125</v>
      </c>
      <c r="D125" s="295"/>
      <c r="E125" s="277"/>
      <c r="F125" s="290">
        <f t="shared" si="23"/>
        <v>0</v>
      </c>
      <c r="G125" s="311">
        <f t="shared" ref="G125:G161" si="35">SUM(I125:Q125)</f>
        <v>0</v>
      </c>
      <c r="H125" s="311"/>
      <c r="I125" s="277"/>
      <c r="J125" s="277"/>
      <c r="K125" s="277"/>
      <c r="L125" s="277"/>
      <c r="M125" s="277"/>
      <c r="N125" s="277"/>
      <c r="O125" s="277"/>
      <c r="P125" s="277"/>
      <c r="Q125" s="312"/>
    </row>
    <row r="126" spans="1:23" x14ac:dyDescent="0.25">
      <c r="A126" s="284">
        <v>5103</v>
      </c>
      <c r="B126" s="283">
        <v>790000</v>
      </c>
      <c r="C126" s="287" t="s">
        <v>126</v>
      </c>
      <c r="D126" s="287"/>
      <c r="E126" s="288">
        <f>E127</f>
        <v>37481</v>
      </c>
      <c r="F126" s="290">
        <f t="shared" si="23"/>
        <v>26000</v>
      </c>
      <c r="G126" s="288">
        <f t="shared" ref="G126:Q126" si="36">G127</f>
        <v>18078</v>
      </c>
      <c r="H126" s="288">
        <f>H127</f>
        <v>25000</v>
      </c>
      <c r="I126" s="288">
        <f t="shared" si="36"/>
        <v>17573</v>
      </c>
      <c r="J126" s="288">
        <f t="shared" si="36"/>
        <v>0</v>
      </c>
      <c r="K126" s="288">
        <f t="shared" si="36"/>
        <v>1000</v>
      </c>
      <c r="L126" s="288">
        <f t="shared" si="36"/>
        <v>505</v>
      </c>
      <c r="M126" s="288">
        <f t="shared" si="36"/>
        <v>0</v>
      </c>
      <c r="N126" s="288">
        <f t="shared" si="36"/>
        <v>0</v>
      </c>
      <c r="O126" s="288">
        <f t="shared" si="36"/>
        <v>0</v>
      </c>
      <c r="P126" s="288">
        <f t="shared" si="36"/>
        <v>0</v>
      </c>
      <c r="Q126" s="289">
        <f t="shared" si="36"/>
        <v>0</v>
      </c>
    </row>
    <row r="127" spans="1:23" x14ac:dyDescent="0.25">
      <c r="A127" s="284">
        <v>5104</v>
      </c>
      <c r="B127" s="283">
        <v>791000</v>
      </c>
      <c r="C127" s="287" t="s">
        <v>127</v>
      </c>
      <c r="D127" s="287"/>
      <c r="E127" s="288">
        <f>E132</f>
        <v>37481</v>
      </c>
      <c r="F127" s="290">
        <f t="shared" si="23"/>
        <v>26000</v>
      </c>
      <c r="G127" s="288">
        <f t="shared" ref="G127:Q127" si="37">G132</f>
        <v>18078</v>
      </c>
      <c r="H127" s="288">
        <f t="shared" si="37"/>
        <v>25000</v>
      </c>
      <c r="I127" s="288">
        <f t="shared" si="37"/>
        <v>17573</v>
      </c>
      <c r="J127" s="288">
        <f t="shared" si="37"/>
        <v>0</v>
      </c>
      <c r="K127" s="288">
        <f t="shared" si="37"/>
        <v>1000</v>
      </c>
      <c r="L127" s="288">
        <f t="shared" si="37"/>
        <v>505</v>
      </c>
      <c r="M127" s="288">
        <f t="shared" si="37"/>
        <v>0</v>
      </c>
      <c r="N127" s="288">
        <f t="shared" si="37"/>
        <v>0</v>
      </c>
      <c r="O127" s="288">
        <f t="shared" si="37"/>
        <v>0</v>
      </c>
      <c r="P127" s="288">
        <f t="shared" si="37"/>
        <v>0</v>
      </c>
      <c r="Q127" s="289">
        <f t="shared" si="37"/>
        <v>0</v>
      </c>
    </row>
    <row r="128" spans="1:23" hidden="1" x14ac:dyDescent="0.25">
      <c r="A128" s="663" t="s">
        <v>0</v>
      </c>
      <c r="B128" s="657" t="s">
        <v>1</v>
      </c>
      <c r="C128" s="656" t="s">
        <v>2</v>
      </c>
      <c r="D128" s="308"/>
      <c r="E128" s="658" t="s">
        <v>3</v>
      </c>
      <c r="F128" s="290">
        <f t="shared" si="23"/>
        <v>0</v>
      </c>
      <c r="G128" s="658" t="s">
        <v>4</v>
      </c>
      <c r="H128" s="658"/>
      <c r="I128" s="658"/>
      <c r="J128" s="658"/>
      <c r="K128" s="658"/>
      <c r="L128" s="658"/>
      <c r="M128" s="658"/>
      <c r="N128" s="658"/>
      <c r="O128" s="658"/>
      <c r="P128" s="658"/>
      <c r="Q128" s="664"/>
    </row>
    <row r="129" spans="1:22" hidden="1" x14ac:dyDescent="0.25">
      <c r="A129" s="663"/>
      <c r="B129" s="657"/>
      <c r="C129" s="656"/>
      <c r="D129" s="308"/>
      <c r="E129" s="658"/>
      <c r="F129" s="290">
        <f t="shared" si="23"/>
        <v>0</v>
      </c>
      <c r="G129" s="665" t="s">
        <v>5</v>
      </c>
      <c r="H129" s="302"/>
      <c r="I129" s="658" t="s">
        <v>6</v>
      </c>
      <c r="J129" s="658"/>
      <c r="K129" s="658"/>
      <c r="L129" s="658"/>
      <c r="M129" s="658"/>
      <c r="N129" s="658"/>
      <c r="O129" s="658" t="s">
        <v>7</v>
      </c>
      <c r="P129" s="283"/>
      <c r="Q129" s="664" t="s">
        <v>8</v>
      </c>
    </row>
    <row r="130" spans="1:22" ht="39" hidden="1" x14ac:dyDescent="0.25">
      <c r="A130" s="663"/>
      <c r="B130" s="657"/>
      <c r="C130" s="656"/>
      <c r="D130" s="308"/>
      <c r="E130" s="658"/>
      <c r="F130" s="290">
        <f t="shared" si="23"/>
        <v>0</v>
      </c>
      <c r="G130" s="665"/>
      <c r="H130" s="302"/>
      <c r="I130" s="283" t="s">
        <v>9</v>
      </c>
      <c r="J130" s="283" t="s">
        <v>10</v>
      </c>
      <c r="K130" s="283"/>
      <c r="L130" s="283" t="s">
        <v>11</v>
      </c>
      <c r="M130" s="283"/>
      <c r="N130" s="283" t="s">
        <v>12</v>
      </c>
      <c r="O130" s="658"/>
      <c r="P130" s="283"/>
      <c r="Q130" s="664"/>
    </row>
    <row r="131" spans="1:22" ht="26.25" hidden="1" x14ac:dyDescent="0.25">
      <c r="A131" s="304" t="s">
        <v>18</v>
      </c>
      <c r="B131" s="305" t="s">
        <v>19</v>
      </c>
      <c r="C131" s="305" t="s">
        <v>20</v>
      </c>
      <c r="D131" s="305"/>
      <c r="E131" s="306" t="s">
        <v>21</v>
      </c>
      <c r="F131" s="290">
        <f t="shared" si="23"/>
        <v>0</v>
      </c>
      <c r="G131" s="306" t="s">
        <v>22</v>
      </c>
      <c r="H131" s="306"/>
      <c r="I131" s="306" t="s">
        <v>23</v>
      </c>
      <c r="J131" s="306" t="s">
        <v>24</v>
      </c>
      <c r="K131" s="306"/>
      <c r="L131" s="306" t="s">
        <v>25</v>
      </c>
      <c r="M131" s="306"/>
      <c r="N131" s="306" t="s">
        <v>26</v>
      </c>
      <c r="O131" s="306" t="s">
        <v>27</v>
      </c>
      <c r="P131" s="306"/>
      <c r="Q131" s="307" t="s">
        <v>28</v>
      </c>
    </row>
    <row r="132" spans="1:22" ht="26.25" x14ac:dyDescent="0.4">
      <c r="A132" s="293">
        <v>5105</v>
      </c>
      <c r="B132" s="294">
        <v>791100</v>
      </c>
      <c r="C132" s="295" t="s">
        <v>128</v>
      </c>
      <c r="D132" s="295"/>
      <c r="E132" s="277">
        <v>37481</v>
      </c>
      <c r="F132" s="278">
        <f t="shared" si="23"/>
        <v>26000</v>
      </c>
      <c r="G132" s="340">
        <f>SUM(I132:Q132)-K132-M132-P132</f>
        <v>18078</v>
      </c>
      <c r="H132" s="340">
        <v>25000</v>
      </c>
      <c r="I132" s="277">
        <v>17573</v>
      </c>
      <c r="J132" s="277"/>
      <c r="K132" s="277">
        <v>1000</v>
      </c>
      <c r="L132" s="277">
        <v>505</v>
      </c>
      <c r="M132" s="277"/>
      <c r="N132" s="277"/>
      <c r="O132" s="277"/>
      <c r="P132" s="277"/>
      <c r="Q132" s="312"/>
      <c r="V132" s="346" t="s">
        <v>538</v>
      </c>
    </row>
    <row r="133" spans="1:22" ht="39" x14ac:dyDescent="0.25">
      <c r="A133" s="284">
        <v>5106</v>
      </c>
      <c r="B133" s="283">
        <v>800000</v>
      </c>
      <c r="C133" s="287" t="s">
        <v>129</v>
      </c>
      <c r="D133" s="287"/>
      <c r="E133" s="288">
        <f>E134+E141+E148+E151</f>
        <v>200</v>
      </c>
      <c r="F133" s="290">
        <f t="shared" si="23"/>
        <v>200</v>
      </c>
      <c r="G133" s="288">
        <f t="shared" ref="G133:Q133" si="38">G134+G141+G148+G151</f>
        <v>184</v>
      </c>
      <c r="H133" s="288">
        <f t="shared" si="38"/>
        <v>0</v>
      </c>
      <c r="I133" s="288">
        <f t="shared" si="38"/>
        <v>0</v>
      </c>
      <c r="J133" s="288">
        <f t="shared" si="38"/>
        <v>0</v>
      </c>
      <c r="K133" s="288">
        <f t="shared" si="38"/>
        <v>0</v>
      </c>
      <c r="L133" s="288">
        <f t="shared" si="38"/>
        <v>0</v>
      </c>
      <c r="M133" s="288">
        <f t="shared" si="38"/>
        <v>0</v>
      </c>
      <c r="N133" s="288">
        <f t="shared" si="38"/>
        <v>0</v>
      </c>
      <c r="O133" s="288">
        <f t="shared" si="38"/>
        <v>0</v>
      </c>
      <c r="P133" s="288">
        <f t="shared" si="38"/>
        <v>200</v>
      </c>
      <c r="Q133" s="289">
        <f t="shared" si="38"/>
        <v>184</v>
      </c>
    </row>
    <row r="134" spans="1:22" ht="39" x14ac:dyDescent="0.25">
      <c r="A134" s="284">
        <v>5107</v>
      </c>
      <c r="B134" s="283">
        <v>810000</v>
      </c>
      <c r="C134" s="287" t="s">
        <v>130</v>
      </c>
      <c r="D134" s="287"/>
      <c r="E134" s="288">
        <f>E135+E137+E139</f>
        <v>200</v>
      </c>
      <c r="F134" s="290">
        <f t="shared" si="23"/>
        <v>200</v>
      </c>
      <c r="G134" s="288">
        <f t="shared" ref="G134:Q134" si="39">G135+G137+G139</f>
        <v>184</v>
      </c>
      <c r="H134" s="288">
        <f t="shared" si="39"/>
        <v>0</v>
      </c>
      <c r="I134" s="288">
        <f t="shared" si="39"/>
        <v>0</v>
      </c>
      <c r="J134" s="288">
        <f t="shared" si="39"/>
        <v>0</v>
      </c>
      <c r="K134" s="288">
        <f>K135+K137+K139</f>
        <v>0</v>
      </c>
      <c r="L134" s="288">
        <f t="shared" si="39"/>
        <v>0</v>
      </c>
      <c r="M134" s="288">
        <f t="shared" si="39"/>
        <v>0</v>
      </c>
      <c r="N134" s="288">
        <f t="shared" si="39"/>
        <v>0</v>
      </c>
      <c r="O134" s="288">
        <f t="shared" si="39"/>
        <v>0</v>
      </c>
      <c r="P134" s="288">
        <f t="shared" si="39"/>
        <v>200</v>
      </c>
      <c r="Q134" s="289">
        <f t="shared" si="39"/>
        <v>184</v>
      </c>
    </row>
    <row r="135" spans="1:22" ht="26.25" hidden="1" x14ac:dyDescent="0.25">
      <c r="A135" s="284">
        <v>5108</v>
      </c>
      <c r="B135" s="283">
        <v>811000</v>
      </c>
      <c r="C135" s="287" t="s">
        <v>131</v>
      </c>
      <c r="D135" s="287"/>
      <c r="E135" s="288">
        <f>E136</f>
        <v>0</v>
      </c>
      <c r="F135" s="290">
        <f t="shared" si="23"/>
        <v>0</v>
      </c>
      <c r="G135" s="288">
        <f t="shared" si="35"/>
        <v>0</v>
      </c>
      <c r="H135" s="288"/>
      <c r="I135" s="288">
        <f t="shared" ref="I135:Q135" si="40">I136</f>
        <v>0</v>
      </c>
      <c r="J135" s="288">
        <f t="shared" si="40"/>
        <v>0</v>
      </c>
      <c r="K135" s="288"/>
      <c r="L135" s="288">
        <f t="shared" si="40"/>
        <v>0</v>
      </c>
      <c r="M135" s="288"/>
      <c r="N135" s="288">
        <f t="shared" si="40"/>
        <v>0</v>
      </c>
      <c r="O135" s="288">
        <f t="shared" si="40"/>
        <v>0</v>
      </c>
      <c r="P135" s="288"/>
      <c r="Q135" s="289">
        <f t="shared" si="40"/>
        <v>0</v>
      </c>
    </row>
    <row r="136" spans="1:22" ht="26.25" hidden="1" x14ac:dyDescent="0.25">
      <c r="A136" s="293">
        <v>5109</v>
      </c>
      <c r="B136" s="294">
        <v>811100</v>
      </c>
      <c r="C136" s="295" t="s">
        <v>132</v>
      </c>
      <c r="D136" s="295"/>
      <c r="E136" s="277"/>
      <c r="F136" s="290">
        <f t="shared" si="23"/>
        <v>0</v>
      </c>
      <c r="G136" s="311">
        <f t="shared" si="35"/>
        <v>0</v>
      </c>
      <c r="H136" s="311"/>
      <c r="I136" s="277"/>
      <c r="J136" s="277"/>
      <c r="K136" s="277"/>
      <c r="L136" s="277"/>
      <c r="M136" s="277"/>
      <c r="N136" s="277"/>
      <c r="O136" s="277"/>
      <c r="P136" s="277"/>
      <c r="Q136" s="312"/>
    </row>
    <row r="137" spans="1:22" ht="26.25" x14ac:dyDescent="0.25">
      <c r="A137" s="284">
        <v>5110</v>
      </c>
      <c r="B137" s="283">
        <v>812000</v>
      </c>
      <c r="C137" s="287" t="s">
        <v>133</v>
      </c>
      <c r="D137" s="287"/>
      <c r="E137" s="288">
        <f>E138</f>
        <v>200</v>
      </c>
      <c r="F137" s="290">
        <f t="shared" si="23"/>
        <v>200</v>
      </c>
      <c r="G137" s="288">
        <f t="shared" ref="G137:Q137" si="41">G138</f>
        <v>184</v>
      </c>
      <c r="H137" s="288">
        <f t="shared" si="41"/>
        <v>0</v>
      </c>
      <c r="I137" s="288">
        <f t="shared" si="41"/>
        <v>0</v>
      </c>
      <c r="J137" s="288">
        <f t="shared" si="41"/>
        <v>0</v>
      </c>
      <c r="K137" s="288">
        <f t="shared" si="41"/>
        <v>0</v>
      </c>
      <c r="L137" s="288">
        <f t="shared" si="41"/>
        <v>0</v>
      </c>
      <c r="M137" s="288">
        <f t="shared" si="41"/>
        <v>0</v>
      </c>
      <c r="N137" s="288">
        <f t="shared" si="41"/>
        <v>0</v>
      </c>
      <c r="O137" s="288">
        <f t="shared" si="41"/>
        <v>0</v>
      </c>
      <c r="P137" s="288">
        <f t="shared" si="41"/>
        <v>200</v>
      </c>
      <c r="Q137" s="289">
        <f t="shared" si="41"/>
        <v>184</v>
      </c>
    </row>
    <row r="138" spans="1:22" ht="26.25" x14ac:dyDescent="0.25">
      <c r="A138" s="293">
        <v>5111</v>
      </c>
      <c r="B138" s="294">
        <v>812100</v>
      </c>
      <c r="C138" s="295" t="s">
        <v>134</v>
      </c>
      <c r="D138" s="295"/>
      <c r="E138" s="277">
        <v>200</v>
      </c>
      <c r="F138" s="278">
        <f t="shared" si="23"/>
        <v>200</v>
      </c>
      <c r="G138" s="311">
        <f>SUM(I138:Q138)-K138-M138-P138</f>
        <v>184</v>
      </c>
      <c r="H138" s="311"/>
      <c r="I138" s="277"/>
      <c r="J138" s="277"/>
      <c r="K138" s="277"/>
      <c r="L138" s="277"/>
      <c r="M138" s="277"/>
      <c r="N138" s="277"/>
      <c r="O138" s="277"/>
      <c r="P138" s="277">
        <v>200</v>
      </c>
      <c r="Q138" s="312">
        <v>184</v>
      </c>
    </row>
    <row r="139" spans="1:22" ht="39" hidden="1" x14ac:dyDescent="0.25">
      <c r="A139" s="284">
        <v>5112</v>
      </c>
      <c r="B139" s="283">
        <v>813000</v>
      </c>
      <c r="C139" s="287" t="s">
        <v>135</v>
      </c>
      <c r="D139" s="287"/>
      <c r="E139" s="288">
        <f>E140</f>
        <v>0</v>
      </c>
      <c r="F139" s="288"/>
      <c r="G139" s="288">
        <f t="shared" si="35"/>
        <v>0</v>
      </c>
      <c r="H139" s="288"/>
      <c r="I139" s="288">
        <f t="shared" ref="I139:Q139" si="42">I140</f>
        <v>0</v>
      </c>
      <c r="J139" s="288">
        <f t="shared" si="42"/>
        <v>0</v>
      </c>
      <c r="K139" s="288"/>
      <c r="L139" s="288">
        <f t="shared" si="42"/>
        <v>0</v>
      </c>
      <c r="M139" s="288"/>
      <c r="N139" s="288">
        <f t="shared" si="42"/>
        <v>0</v>
      </c>
      <c r="O139" s="288">
        <f t="shared" si="42"/>
        <v>0</v>
      </c>
      <c r="P139" s="288"/>
      <c r="Q139" s="289">
        <f t="shared" si="42"/>
        <v>0</v>
      </c>
    </row>
    <row r="140" spans="1:22" ht="26.25" hidden="1" x14ac:dyDescent="0.25">
      <c r="A140" s="293">
        <v>5113</v>
      </c>
      <c r="B140" s="294">
        <v>813100</v>
      </c>
      <c r="C140" s="295" t="s">
        <v>136</v>
      </c>
      <c r="D140" s="295"/>
      <c r="E140" s="277"/>
      <c r="F140" s="277"/>
      <c r="G140" s="311">
        <f t="shared" si="35"/>
        <v>0</v>
      </c>
      <c r="H140" s="311"/>
      <c r="I140" s="277"/>
      <c r="J140" s="277"/>
      <c r="K140" s="277"/>
      <c r="L140" s="277"/>
      <c r="M140" s="277"/>
      <c r="N140" s="277"/>
      <c r="O140" s="277"/>
      <c r="P140" s="277"/>
      <c r="Q140" s="312"/>
    </row>
    <row r="141" spans="1:22" ht="26.25" hidden="1" x14ac:dyDescent="0.25">
      <c r="A141" s="284">
        <v>5114</v>
      </c>
      <c r="B141" s="283">
        <v>820000</v>
      </c>
      <c r="C141" s="287" t="s">
        <v>137</v>
      </c>
      <c r="D141" s="287"/>
      <c r="E141" s="288">
        <f>E142+E144+E146</f>
        <v>0</v>
      </c>
      <c r="F141" s="288"/>
      <c r="G141" s="288">
        <f t="shared" si="35"/>
        <v>0</v>
      </c>
      <c r="H141" s="288"/>
      <c r="I141" s="288">
        <f t="shared" ref="I141:Q141" si="43">I142+I144+I146</f>
        <v>0</v>
      </c>
      <c r="J141" s="288">
        <f t="shared" si="43"/>
        <v>0</v>
      </c>
      <c r="K141" s="288"/>
      <c r="L141" s="288">
        <f t="shared" si="43"/>
        <v>0</v>
      </c>
      <c r="M141" s="288"/>
      <c r="N141" s="288">
        <f t="shared" si="43"/>
        <v>0</v>
      </c>
      <c r="O141" s="288">
        <f t="shared" si="43"/>
        <v>0</v>
      </c>
      <c r="P141" s="288"/>
      <c r="Q141" s="289">
        <f t="shared" si="43"/>
        <v>0</v>
      </c>
    </row>
    <row r="142" spans="1:22" ht="26.25" hidden="1" x14ac:dyDescent="0.25">
      <c r="A142" s="284">
        <v>5115</v>
      </c>
      <c r="B142" s="283">
        <v>821000</v>
      </c>
      <c r="C142" s="287" t="s">
        <v>138</v>
      </c>
      <c r="D142" s="287"/>
      <c r="E142" s="288">
        <f>E143</f>
        <v>0</v>
      </c>
      <c r="F142" s="288"/>
      <c r="G142" s="288">
        <f t="shared" si="35"/>
        <v>0</v>
      </c>
      <c r="H142" s="288"/>
      <c r="I142" s="288">
        <f t="shared" ref="I142:Q142" si="44">I143</f>
        <v>0</v>
      </c>
      <c r="J142" s="288">
        <f t="shared" si="44"/>
        <v>0</v>
      </c>
      <c r="K142" s="288"/>
      <c r="L142" s="288">
        <f t="shared" si="44"/>
        <v>0</v>
      </c>
      <c r="M142" s="288"/>
      <c r="N142" s="288">
        <f t="shared" si="44"/>
        <v>0</v>
      </c>
      <c r="O142" s="288">
        <f t="shared" si="44"/>
        <v>0</v>
      </c>
      <c r="P142" s="288"/>
      <c r="Q142" s="289">
        <f t="shared" si="44"/>
        <v>0</v>
      </c>
    </row>
    <row r="143" spans="1:22" ht="26.25" hidden="1" x14ac:dyDescent="0.25">
      <c r="A143" s="293">
        <v>5116</v>
      </c>
      <c r="B143" s="294">
        <v>821100</v>
      </c>
      <c r="C143" s="295" t="s">
        <v>139</v>
      </c>
      <c r="D143" s="295"/>
      <c r="E143" s="277"/>
      <c r="F143" s="277"/>
      <c r="G143" s="311">
        <f t="shared" si="35"/>
        <v>0</v>
      </c>
      <c r="H143" s="311"/>
      <c r="I143" s="277"/>
      <c r="J143" s="277"/>
      <c r="K143" s="277"/>
      <c r="L143" s="277"/>
      <c r="M143" s="277"/>
      <c r="N143" s="277"/>
      <c r="O143" s="277"/>
      <c r="P143" s="277"/>
      <c r="Q143" s="312"/>
    </row>
    <row r="144" spans="1:22" ht="39" hidden="1" x14ac:dyDescent="0.25">
      <c r="A144" s="284">
        <v>5117</v>
      </c>
      <c r="B144" s="283">
        <v>822000</v>
      </c>
      <c r="C144" s="287" t="s">
        <v>140</v>
      </c>
      <c r="D144" s="287"/>
      <c r="E144" s="288">
        <f>E145</f>
        <v>0</v>
      </c>
      <c r="F144" s="288"/>
      <c r="G144" s="288">
        <f t="shared" si="35"/>
        <v>0</v>
      </c>
      <c r="H144" s="288"/>
      <c r="I144" s="288">
        <f t="shared" ref="I144:Q144" si="45">I145</f>
        <v>0</v>
      </c>
      <c r="J144" s="288">
        <f t="shared" si="45"/>
        <v>0</v>
      </c>
      <c r="K144" s="288"/>
      <c r="L144" s="288">
        <f t="shared" si="45"/>
        <v>0</v>
      </c>
      <c r="M144" s="288"/>
      <c r="N144" s="288">
        <f t="shared" si="45"/>
        <v>0</v>
      </c>
      <c r="O144" s="288">
        <f t="shared" si="45"/>
        <v>0</v>
      </c>
      <c r="P144" s="288"/>
      <c r="Q144" s="289">
        <f t="shared" si="45"/>
        <v>0</v>
      </c>
    </row>
    <row r="145" spans="1:17" ht="26.25" hidden="1" x14ac:dyDescent="0.25">
      <c r="A145" s="293">
        <v>5118</v>
      </c>
      <c r="B145" s="294">
        <v>822100</v>
      </c>
      <c r="C145" s="295" t="s">
        <v>141</v>
      </c>
      <c r="D145" s="295"/>
      <c r="E145" s="277"/>
      <c r="F145" s="277"/>
      <c r="G145" s="311">
        <f t="shared" si="35"/>
        <v>0</v>
      </c>
      <c r="H145" s="311"/>
      <c r="I145" s="277"/>
      <c r="J145" s="277"/>
      <c r="K145" s="277"/>
      <c r="L145" s="277"/>
      <c r="M145" s="277"/>
      <c r="N145" s="277"/>
      <c r="O145" s="277"/>
      <c r="P145" s="277"/>
      <c r="Q145" s="312"/>
    </row>
    <row r="146" spans="1:17" ht="39" hidden="1" x14ac:dyDescent="0.25">
      <c r="A146" s="284">
        <v>5119</v>
      </c>
      <c r="B146" s="283">
        <v>823000</v>
      </c>
      <c r="C146" s="287" t="s">
        <v>142</v>
      </c>
      <c r="D146" s="287"/>
      <c r="E146" s="288">
        <f>E147</f>
        <v>0</v>
      </c>
      <c r="F146" s="288"/>
      <c r="G146" s="288">
        <f t="shared" si="35"/>
        <v>0</v>
      </c>
      <c r="H146" s="288"/>
      <c r="I146" s="288">
        <f t="shared" ref="I146:Q146" si="46">I147</f>
        <v>0</v>
      </c>
      <c r="J146" s="288">
        <f t="shared" si="46"/>
        <v>0</v>
      </c>
      <c r="K146" s="288"/>
      <c r="L146" s="288">
        <f t="shared" si="46"/>
        <v>0</v>
      </c>
      <c r="M146" s="288"/>
      <c r="N146" s="288">
        <f t="shared" si="46"/>
        <v>0</v>
      </c>
      <c r="O146" s="288">
        <f t="shared" si="46"/>
        <v>0</v>
      </c>
      <c r="P146" s="288"/>
      <c r="Q146" s="289">
        <f t="shared" si="46"/>
        <v>0</v>
      </c>
    </row>
    <row r="147" spans="1:17" ht="26.25" hidden="1" x14ac:dyDescent="0.25">
      <c r="A147" s="293">
        <v>5120</v>
      </c>
      <c r="B147" s="294">
        <v>823100</v>
      </c>
      <c r="C147" s="295" t="s">
        <v>143</v>
      </c>
      <c r="D147" s="295"/>
      <c r="E147" s="277"/>
      <c r="F147" s="277"/>
      <c r="G147" s="311">
        <f t="shared" si="35"/>
        <v>0</v>
      </c>
      <c r="H147" s="311"/>
      <c r="I147" s="277"/>
      <c r="J147" s="277"/>
      <c r="K147" s="277"/>
      <c r="L147" s="277"/>
      <c r="M147" s="277"/>
      <c r="N147" s="277"/>
      <c r="O147" s="277"/>
      <c r="P147" s="277"/>
      <c r="Q147" s="312"/>
    </row>
    <row r="148" spans="1:17" ht="26.25" hidden="1" x14ac:dyDescent="0.25">
      <c r="A148" s="284">
        <v>5121</v>
      </c>
      <c r="B148" s="283">
        <v>830000</v>
      </c>
      <c r="C148" s="287" t="s">
        <v>144</v>
      </c>
      <c r="D148" s="287"/>
      <c r="E148" s="288">
        <f>E149</f>
        <v>0</v>
      </c>
      <c r="F148" s="288"/>
      <c r="G148" s="288">
        <f t="shared" si="35"/>
        <v>0</v>
      </c>
      <c r="H148" s="288"/>
      <c r="I148" s="288">
        <f t="shared" ref="I148:Q149" si="47">I149</f>
        <v>0</v>
      </c>
      <c r="J148" s="288">
        <f t="shared" si="47"/>
        <v>0</v>
      </c>
      <c r="K148" s="288"/>
      <c r="L148" s="288">
        <f t="shared" si="47"/>
        <v>0</v>
      </c>
      <c r="M148" s="288"/>
      <c r="N148" s="288">
        <f t="shared" si="47"/>
        <v>0</v>
      </c>
      <c r="O148" s="288">
        <f t="shared" si="47"/>
        <v>0</v>
      </c>
      <c r="P148" s="288"/>
      <c r="Q148" s="289">
        <f t="shared" si="47"/>
        <v>0</v>
      </c>
    </row>
    <row r="149" spans="1:17" ht="26.25" hidden="1" x14ac:dyDescent="0.25">
      <c r="A149" s="284">
        <v>5122</v>
      </c>
      <c r="B149" s="283">
        <v>831000</v>
      </c>
      <c r="C149" s="287" t="s">
        <v>145</v>
      </c>
      <c r="D149" s="287"/>
      <c r="E149" s="288">
        <f>E150</f>
        <v>0</v>
      </c>
      <c r="F149" s="288"/>
      <c r="G149" s="288">
        <f t="shared" si="35"/>
        <v>0</v>
      </c>
      <c r="H149" s="288"/>
      <c r="I149" s="288">
        <f t="shared" si="47"/>
        <v>0</v>
      </c>
      <c r="J149" s="288">
        <f t="shared" si="47"/>
        <v>0</v>
      </c>
      <c r="K149" s="288"/>
      <c r="L149" s="288">
        <f t="shared" si="47"/>
        <v>0</v>
      </c>
      <c r="M149" s="288"/>
      <c r="N149" s="288">
        <f t="shared" si="47"/>
        <v>0</v>
      </c>
      <c r="O149" s="288">
        <f t="shared" si="47"/>
        <v>0</v>
      </c>
      <c r="P149" s="288"/>
      <c r="Q149" s="289">
        <f t="shared" si="47"/>
        <v>0</v>
      </c>
    </row>
    <row r="150" spans="1:17" ht="26.25" hidden="1" x14ac:dyDescent="0.25">
      <c r="A150" s="293">
        <v>5123</v>
      </c>
      <c r="B150" s="294">
        <v>831100</v>
      </c>
      <c r="C150" s="295" t="s">
        <v>146</v>
      </c>
      <c r="D150" s="295"/>
      <c r="E150" s="277"/>
      <c r="F150" s="277"/>
      <c r="G150" s="311">
        <f t="shared" si="35"/>
        <v>0</v>
      </c>
      <c r="H150" s="311"/>
      <c r="I150" s="277"/>
      <c r="J150" s="277"/>
      <c r="K150" s="277"/>
      <c r="L150" s="277"/>
      <c r="M150" s="277"/>
      <c r="N150" s="277"/>
      <c r="O150" s="277"/>
      <c r="P150" s="277"/>
      <c r="Q150" s="312"/>
    </row>
    <row r="151" spans="1:17" ht="39" hidden="1" x14ac:dyDescent="0.25">
      <c r="A151" s="284">
        <v>5124</v>
      </c>
      <c r="B151" s="283">
        <v>840000</v>
      </c>
      <c r="C151" s="287" t="s">
        <v>147</v>
      </c>
      <c r="D151" s="287"/>
      <c r="E151" s="288">
        <f>E152+E154+E160</f>
        <v>0</v>
      </c>
      <c r="F151" s="288"/>
      <c r="G151" s="288">
        <f t="shared" si="35"/>
        <v>0</v>
      </c>
      <c r="H151" s="288"/>
      <c r="I151" s="288">
        <f t="shared" ref="I151:Q151" si="48">I152+I154+I160</f>
        <v>0</v>
      </c>
      <c r="J151" s="288">
        <f t="shared" si="48"/>
        <v>0</v>
      </c>
      <c r="K151" s="288"/>
      <c r="L151" s="288">
        <f t="shared" si="48"/>
        <v>0</v>
      </c>
      <c r="M151" s="288"/>
      <c r="N151" s="288">
        <f t="shared" si="48"/>
        <v>0</v>
      </c>
      <c r="O151" s="288">
        <f t="shared" si="48"/>
        <v>0</v>
      </c>
      <c r="P151" s="288"/>
      <c r="Q151" s="289">
        <f t="shared" si="48"/>
        <v>0</v>
      </c>
    </row>
    <row r="152" spans="1:17" ht="26.25" hidden="1" x14ac:dyDescent="0.25">
      <c r="A152" s="284">
        <v>5125</v>
      </c>
      <c r="B152" s="283">
        <v>841000</v>
      </c>
      <c r="C152" s="287" t="s">
        <v>148</v>
      </c>
      <c r="D152" s="287"/>
      <c r="E152" s="288">
        <f>E153</f>
        <v>0</v>
      </c>
      <c r="F152" s="288"/>
      <c r="G152" s="288">
        <f t="shared" si="35"/>
        <v>0</v>
      </c>
      <c r="H152" s="288"/>
      <c r="I152" s="288">
        <f t="shared" ref="I152:Q152" si="49">I153</f>
        <v>0</v>
      </c>
      <c r="J152" s="288">
        <f t="shared" si="49"/>
        <v>0</v>
      </c>
      <c r="K152" s="288"/>
      <c r="L152" s="288">
        <f t="shared" si="49"/>
        <v>0</v>
      </c>
      <c r="M152" s="288"/>
      <c r="N152" s="288">
        <f t="shared" si="49"/>
        <v>0</v>
      </c>
      <c r="O152" s="288">
        <f t="shared" si="49"/>
        <v>0</v>
      </c>
      <c r="P152" s="288"/>
      <c r="Q152" s="289">
        <f t="shared" si="49"/>
        <v>0</v>
      </c>
    </row>
    <row r="153" spans="1:17" hidden="1" x14ac:dyDescent="0.25">
      <c r="A153" s="293">
        <v>5126</v>
      </c>
      <c r="B153" s="294">
        <v>841100</v>
      </c>
      <c r="C153" s="295" t="s">
        <v>149</v>
      </c>
      <c r="D153" s="295"/>
      <c r="E153" s="277"/>
      <c r="F153" s="277"/>
      <c r="G153" s="311">
        <f t="shared" si="35"/>
        <v>0</v>
      </c>
      <c r="H153" s="311"/>
      <c r="I153" s="277"/>
      <c r="J153" s="277"/>
      <c r="K153" s="277"/>
      <c r="L153" s="277"/>
      <c r="M153" s="277"/>
      <c r="N153" s="277"/>
      <c r="O153" s="277"/>
      <c r="P153" s="277"/>
      <c r="Q153" s="312"/>
    </row>
    <row r="154" spans="1:17" ht="26.25" hidden="1" x14ac:dyDescent="0.25">
      <c r="A154" s="284">
        <v>5127</v>
      </c>
      <c r="B154" s="283">
        <v>842000</v>
      </c>
      <c r="C154" s="287" t="s">
        <v>150</v>
      </c>
      <c r="D154" s="287"/>
      <c r="E154" s="288">
        <f>E159</f>
        <v>0</v>
      </c>
      <c r="F154" s="288"/>
      <c r="G154" s="288">
        <f t="shared" si="35"/>
        <v>0</v>
      </c>
      <c r="H154" s="288"/>
      <c r="I154" s="288">
        <f t="shared" ref="I154:Q154" si="50">I159</f>
        <v>0</v>
      </c>
      <c r="J154" s="288">
        <f t="shared" si="50"/>
        <v>0</v>
      </c>
      <c r="K154" s="288"/>
      <c r="L154" s="288">
        <f t="shared" si="50"/>
        <v>0</v>
      </c>
      <c r="M154" s="288"/>
      <c r="N154" s="288">
        <f t="shared" si="50"/>
        <v>0</v>
      </c>
      <c r="O154" s="288">
        <f t="shared" si="50"/>
        <v>0</v>
      </c>
      <c r="P154" s="288"/>
      <c r="Q154" s="289">
        <f t="shared" si="50"/>
        <v>0</v>
      </c>
    </row>
    <row r="155" spans="1:17" hidden="1" x14ac:dyDescent="0.25">
      <c r="A155" s="663" t="s">
        <v>0</v>
      </c>
      <c r="B155" s="657" t="s">
        <v>1</v>
      </c>
      <c r="C155" s="656" t="s">
        <v>2</v>
      </c>
      <c r="D155" s="308"/>
      <c r="E155" s="658" t="s">
        <v>3</v>
      </c>
      <c r="F155" s="283"/>
      <c r="G155" s="658" t="s">
        <v>4</v>
      </c>
      <c r="H155" s="658"/>
      <c r="I155" s="658"/>
      <c r="J155" s="658"/>
      <c r="K155" s="658"/>
      <c r="L155" s="658"/>
      <c r="M155" s="658"/>
      <c r="N155" s="658"/>
      <c r="O155" s="658"/>
      <c r="P155" s="658"/>
      <c r="Q155" s="664"/>
    </row>
    <row r="156" spans="1:17" hidden="1" x14ac:dyDescent="0.25">
      <c r="A156" s="663"/>
      <c r="B156" s="657"/>
      <c r="C156" s="656"/>
      <c r="D156" s="308"/>
      <c r="E156" s="658"/>
      <c r="F156" s="283"/>
      <c r="G156" s="665" t="s">
        <v>5</v>
      </c>
      <c r="H156" s="302"/>
      <c r="I156" s="658" t="s">
        <v>6</v>
      </c>
      <c r="J156" s="658"/>
      <c r="K156" s="658"/>
      <c r="L156" s="658"/>
      <c r="M156" s="658"/>
      <c r="N156" s="658"/>
      <c r="O156" s="658" t="s">
        <v>7</v>
      </c>
      <c r="P156" s="283"/>
      <c r="Q156" s="664" t="s">
        <v>8</v>
      </c>
    </row>
    <row r="157" spans="1:17" ht="39" hidden="1" x14ac:dyDescent="0.25">
      <c r="A157" s="663"/>
      <c r="B157" s="657"/>
      <c r="C157" s="656"/>
      <c r="D157" s="308"/>
      <c r="E157" s="658"/>
      <c r="F157" s="283"/>
      <c r="G157" s="665"/>
      <c r="H157" s="302"/>
      <c r="I157" s="283" t="s">
        <v>9</v>
      </c>
      <c r="J157" s="283" t="s">
        <v>10</v>
      </c>
      <c r="K157" s="283"/>
      <c r="L157" s="283" t="s">
        <v>11</v>
      </c>
      <c r="M157" s="283"/>
      <c r="N157" s="283" t="s">
        <v>12</v>
      </c>
      <c r="O157" s="658"/>
      <c r="P157" s="283"/>
      <c r="Q157" s="664"/>
    </row>
    <row r="158" spans="1:17" ht="26.25" hidden="1" x14ac:dyDescent="0.25">
      <c r="A158" s="304" t="s">
        <v>18</v>
      </c>
      <c r="B158" s="305" t="s">
        <v>19</v>
      </c>
      <c r="C158" s="305" t="s">
        <v>20</v>
      </c>
      <c r="D158" s="305"/>
      <c r="E158" s="306" t="s">
        <v>21</v>
      </c>
      <c r="F158" s="306"/>
      <c r="G158" s="306" t="s">
        <v>22</v>
      </c>
      <c r="H158" s="306"/>
      <c r="I158" s="306" t="s">
        <v>23</v>
      </c>
      <c r="J158" s="306" t="s">
        <v>24</v>
      </c>
      <c r="K158" s="306"/>
      <c r="L158" s="306" t="s">
        <v>25</v>
      </c>
      <c r="M158" s="306"/>
      <c r="N158" s="306" t="s">
        <v>26</v>
      </c>
      <c r="O158" s="306" t="s">
        <v>27</v>
      </c>
      <c r="P158" s="306"/>
      <c r="Q158" s="307" t="s">
        <v>28</v>
      </c>
    </row>
    <row r="159" spans="1:17" ht="26.25" hidden="1" x14ac:dyDescent="0.25">
      <c r="A159" s="293">
        <v>5128</v>
      </c>
      <c r="B159" s="294">
        <v>842100</v>
      </c>
      <c r="C159" s="295" t="s">
        <v>151</v>
      </c>
      <c r="D159" s="295"/>
      <c r="E159" s="277"/>
      <c r="F159" s="277"/>
      <c r="G159" s="311">
        <f t="shared" si="35"/>
        <v>0</v>
      </c>
      <c r="H159" s="311"/>
      <c r="I159" s="277"/>
      <c r="J159" s="277"/>
      <c r="K159" s="277"/>
      <c r="L159" s="277"/>
      <c r="M159" s="277"/>
      <c r="N159" s="277"/>
      <c r="O159" s="277"/>
      <c r="P159" s="277"/>
      <c r="Q159" s="312"/>
    </row>
    <row r="160" spans="1:17" ht="26.25" hidden="1" x14ac:dyDescent="0.25">
      <c r="A160" s="284">
        <v>5129</v>
      </c>
      <c r="B160" s="283">
        <v>843000</v>
      </c>
      <c r="C160" s="287" t="s">
        <v>152</v>
      </c>
      <c r="D160" s="287"/>
      <c r="E160" s="288">
        <f>E161</f>
        <v>0</v>
      </c>
      <c r="F160" s="288"/>
      <c r="G160" s="288">
        <f t="shared" si="35"/>
        <v>0</v>
      </c>
      <c r="H160" s="288"/>
      <c r="I160" s="288">
        <f t="shared" ref="I160:Q160" si="51">I161</f>
        <v>0</v>
      </c>
      <c r="J160" s="288">
        <f t="shared" si="51"/>
        <v>0</v>
      </c>
      <c r="K160" s="288"/>
      <c r="L160" s="288">
        <f t="shared" si="51"/>
        <v>0</v>
      </c>
      <c r="M160" s="288"/>
      <c r="N160" s="288">
        <f t="shared" si="51"/>
        <v>0</v>
      </c>
      <c r="O160" s="288">
        <f t="shared" si="51"/>
        <v>0</v>
      </c>
      <c r="P160" s="288"/>
      <c r="Q160" s="289">
        <f t="shared" si="51"/>
        <v>0</v>
      </c>
    </row>
    <row r="161" spans="1:17" hidden="1" x14ac:dyDescent="0.25">
      <c r="A161" s="293">
        <v>5130</v>
      </c>
      <c r="B161" s="294">
        <v>843100</v>
      </c>
      <c r="C161" s="295" t="s">
        <v>153</v>
      </c>
      <c r="D161" s="295"/>
      <c r="E161" s="277"/>
      <c r="F161" s="277"/>
      <c r="G161" s="311">
        <f t="shared" si="35"/>
        <v>0</v>
      </c>
      <c r="H161" s="311"/>
      <c r="I161" s="277"/>
      <c r="J161" s="277"/>
      <c r="K161" s="277"/>
      <c r="L161" s="277"/>
      <c r="M161" s="277"/>
      <c r="N161" s="277"/>
      <c r="O161" s="277"/>
      <c r="P161" s="277"/>
      <c r="Q161" s="312"/>
    </row>
    <row r="162" spans="1:17" ht="51.75" hidden="1" x14ac:dyDescent="0.25">
      <c r="A162" s="284">
        <v>5131</v>
      </c>
      <c r="B162" s="283">
        <v>900000</v>
      </c>
      <c r="C162" s="287" t="s">
        <v>154</v>
      </c>
      <c r="D162" s="287"/>
      <c r="E162" s="288">
        <f>E163+E186</f>
        <v>0</v>
      </c>
      <c r="F162" s="288"/>
      <c r="G162" s="288">
        <f t="shared" ref="G162:G197" si="52">SUM(I162:Q162)</f>
        <v>0</v>
      </c>
      <c r="H162" s="288"/>
      <c r="I162" s="288">
        <f t="shared" ref="I162:Q162" si="53">I163+I186</f>
        <v>0</v>
      </c>
      <c r="J162" s="288">
        <f t="shared" si="53"/>
        <v>0</v>
      </c>
      <c r="K162" s="288"/>
      <c r="L162" s="288">
        <f t="shared" si="53"/>
        <v>0</v>
      </c>
      <c r="M162" s="288"/>
      <c r="N162" s="288">
        <f t="shared" si="53"/>
        <v>0</v>
      </c>
      <c r="O162" s="288">
        <f t="shared" si="53"/>
        <v>0</v>
      </c>
      <c r="P162" s="288"/>
      <c r="Q162" s="289">
        <f t="shared" si="53"/>
        <v>0</v>
      </c>
    </row>
    <row r="163" spans="1:17" ht="26.25" hidden="1" x14ac:dyDescent="0.25">
      <c r="A163" s="284">
        <v>5132</v>
      </c>
      <c r="B163" s="283">
        <v>910000</v>
      </c>
      <c r="C163" s="287" t="s">
        <v>155</v>
      </c>
      <c r="D163" s="287"/>
      <c r="E163" s="288">
        <f>E164+E174</f>
        <v>0</v>
      </c>
      <c r="F163" s="288"/>
      <c r="G163" s="288">
        <f t="shared" si="52"/>
        <v>0</v>
      </c>
      <c r="H163" s="288"/>
      <c r="I163" s="288">
        <f t="shared" ref="I163:Q163" si="54">I164+I174</f>
        <v>0</v>
      </c>
      <c r="J163" s="288">
        <f t="shared" si="54"/>
        <v>0</v>
      </c>
      <c r="K163" s="288"/>
      <c r="L163" s="288">
        <f t="shared" si="54"/>
        <v>0</v>
      </c>
      <c r="M163" s="288"/>
      <c r="N163" s="288">
        <f t="shared" si="54"/>
        <v>0</v>
      </c>
      <c r="O163" s="288">
        <f t="shared" si="54"/>
        <v>0</v>
      </c>
      <c r="P163" s="288"/>
      <c r="Q163" s="289">
        <f t="shared" si="54"/>
        <v>0</v>
      </c>
    </row>
    <row r="164" spans="1:17" ht="39" hidden="1" x14ac:dyDescent="0.25">
      <c r="A164" s="284">
        <v>5133</v>
      </c>
      <c r="B164" s="283">
        <v>911000</v>
      </c>
      <c r="C164" s="287" t="s">
        <v>156</v>
      </c>
      <c r="D164" s="287"/>
      <c r="E164" s="288">
        <f>SUM(E165:E173)</f>
        <v>0</v>
      </c>
      <c r="F164" s="288"/>
      <c r="G164" s="288">
        <f t="shared" si="52"/>
        <v>0</v>
      </c>
      <c r="H164" s="288"/>
      <c r="I164" s="288">
        <f t="shared" ref="I164:Q164" si="55">SUM(I165:I173)</f>
        <v>0</v>
      </c>
      <c r="J164" s="288">
        <f t="shared" si="55"/>
        <v>0</v>
      </c>
      <c r="K164" s="288"/>
      <c r="L164" s="288">
        <f t="shared" si="55"/>
        <v>0</v>
      </c>
      <c r="M164" s="288"/>
      <c r="N164" s="288">
        <f t="shared" si="55"/>
        <v>0</v>
      </c>
      <c r="O164" s="288">
        <f t="shared" si="55"/>
        <v>0</v>
      </c>
      <c r="P164" s="288"/>
      <c r="Q164" s="289">
        <f t="shared" si="55"/>
        <v>0</v>
      </c>
    </row>
    <row r="165" spans="1:17" ht="39" hidden="1" x14ac:dyDescent="0.25">
      <c r="A165" s="293">
        <v>5134</v>
      </c>
      <c r="B165" s="294">
        <v>911100</v>
      </c>
      <c r="C165" s="295" t="s">
        <v>157</v>
      </c>
      <c r="D165" s="295"/>
      <c r="E165" s="277"/>
      <c r="F165" s="277"/>
      <c r="G165" s="311">
        <f t="shared" si="52"/>
        <v>0</v>
      </c>
      <c r="H165" s="311"/>
      <c r="I165" s="277"/>
      <c r="J165" s="277"/>
      <c r="K165" s="277"/>
      <c r="L165" s="277"/>
      <c r="M165" s="277"/>
      <c r="N165" s="277"/>
      <c r="O165" s="277"/>
      <c r="P165" s="277"/>
      <c r="Q165" s="312"/>
    </row>
    <row r="166" spans="1:17" ht="26.25" hidden="1" x14ac:dyDescent="0.25">
      <c r="A166" s="293">
        <v>5135</v>
      </c>
      <c r="B166" s="294">
        <v>911200</v>
      </c>
      <c r="C166" s="295" t="s">
        <v>158</v>
      </c>
      <c r="D166" s="295"/>
      <c r="E166" s="277"/>
      <c r="F166" s="277"/>
      <c r="G166" s="311">
        <f t="shared" si="52"/>
        <v>0</v>
      </c>
      <c r="H166" s="311"/>
      <c r="I166" s="277"/>
      <c r="J166" s="277"/>
      <c r="K166" s="277"/>
      <c r="L166" s="277"/>
      <c r="M166" s="277"/>
      <c r="N166" s="277"/>
      <c r="O166" s="277"/>
      <c r="P166" s="277"/>
      <c r="Q166" s="312"/>
    </row>
    <row r="167" spans="1:17" ht="39" hidden="1" x14ac:dyDescent="0.25">
      <c r="A167" s="293">
        <v>5136</v>
      </c>
      <c r="B167" s="294">
        <v>911300</v>
      </c>
      <c r="C167" s="295" t="s">
        <v>159</v>
      </c>
      <c r="D167" s="295"/>
      <c r="E167" s="277"/>
      <c r="F167" s="277"/>
      <c r="G167" s="311">
        <f t="shared" si="52"/>
        <v>0</v>
      </c>
      <c r="H167" s="311"/>
      <c r="I167" s="277"/>
      <c r="J167" s="277"/>
      <c r="K167" s="277"/>
      <c r="L167" s="277"/>
      <c r="M167" s="277"/>
      <c r="N167" s="277"/>
      <c r="O167" s="277"/>
      <c r="P167" s="277"/>
      <c r="Q167" s="312"/>
    </row>
    <row r="168" spans="1:17" ht="26.25" hidden="1" x14ac:dyDescent="0.25">
      <c r="A168" s="293">
        <v>5137</v>
      </c>
      <c r="B168" s="294">
        <v>911400</v>
      </c>
      <c r="C168" s="295" t="s">
        <v>160</v>
      </c>
      <c r="D168" s="295"/>
      <c r="E168" s="277"/>
      <c r="F168" s="277"/>
      <c r="G168" s="311">
        <f t="shared" si="52"/>
        <v>0</v>
      </c>
      <c r="H168" s="311"/>
      <c r="I168" s="277"/>
      <c r="J168" s="277"/>
      <c r="K168" s="277"/>
      <c r="L168" s="277"/>
      <c r="M168" s="277"/>
      <c r="N168" s="277"/>
      <c r="O168" s="277"/>
      <c r="P168" s="277"/>
      <c r="Q168" s="312"/>
    </row>
    <row r="169" spans="1:17" ht="26.25" hidden="1" x14ac:dyDescent="0.25">
      <c r="A169" s="293">
        <v>5138</v>
      </c>
      <c r="B169" s="294">
        <v>911500</v>
      </c>
      <c r="C169" s="295" t="s">
        <v>161</v>
      </c>
      <c r="D169" s="295"/>
      <c r="E169" s="277"/>
      <c r="F169" s="277"/>
      <c r="G169" s="311">
        <f t="shared" si="52"/>
        <v>0</v>
      </c>
      <c r="H169" s="311"/>
      <c r="I169" s="277"/>
      <c r="J169" s="277"/>
      <c r="K169" s="277"/>
      <c r="L169" s="277"/>
      <c r="M169" s="277"/>
      <c r="N169" s="277"/>
      <c r="O169" s="277"/>
      <c r="P169" s="277"/>
      <c r="Q169" s="312"/>
    </row>
    <row r="170" spans="1:17" ht="26.25" hidden="1" x14ac:dyDescent="0.25">
      <c r="A170" s="293">
        <v>5139</v>
      </c>
      <c r="B170" s="294">
        <v>911600</v>
      </c>
      <c r="C170" s="295" t="s">
        <v>162</v>
      </c>
      <c r="D170" s="295"/>
      <c r="E170" s="277"/>
      <c r="F170" s="277"/>
      <c r="G170" s="311">
        <f t="shared" si="52"/>
        <v>0</v>
      </c>
      <c r="H170" s="311"/>
      <c r="I170" s="277"/>
      <c r="J170" s="277"/>
      <c r="K170" s="277"/>
      <c r="L170" s="277"/>
      <c r="M170" s="277"/>
      <c r="N170" s="277"/>
      <c r="O170" s="277"/>
      <c r="P170" s="277"/>
      <c r="Q170" s="312"/>
    </row>
    <row r="171" spans="1:17" ht="26.25" hidden="1" x14ac:dyDescent="0.25">
      <c r="A171" s="293">
        <v>5140</v>
      </c>
      <c r="B171" s="294">
        <v>911700</v>
      </c>
      <c r="C171" s="295" t="s">
        <v>163</v>
      </c>
      <c r="D171" s="295"/>
      <c r="E171" s="277"/>
      <c r="F171" s="277"/>
      <c r="G171" s="311">
        <f t="shared" si="52"/>
        <v>0</v>
      </c>
      <c r="H171" s="311"/>
      <c r="I171" s="277"/>
      <c r="J171" s="277"/>
      <c r="K171" s="277"/>
      <c r="L171" s="277"/>
      <c r="M171" s="277"/>
      <c r="N171" s="277"/>
      <c r="O171" s="277"/>
      <c r="P171" s="277"/>
      <c r="Q171" s="312"/>
    </row>
    <row r="172" spans="1:17" hidden="1" x14ac:dyDescent="0.25">
      <c r="A172" s="293">
        <v>5141</v>
      </c>
      <c r="B172" s="294">
        <v>911800</v>
      </c>
      <c r="C172" s="295" t="s">
        <v>164</v>
      </c>
      <c r="D172" s="295"/>
      <c r="E172" s="277"/>
      <c r="F172" s="277"/>
      <c r="G172" s="311">
        <f t="shared" si="52"/>
        <v>0</v>
      </c>
      <c r="H172" s="311"/>
      <c r="I172" s="277"/>
      <c r="J172" s="277"/>
      <c r="K172" s="277"/>
      <c r="L172" s="277"/>
      <c r="M172" s="277"/>
      <c r="N172" s="277"/>
      <c r="O172" s="277"/>
      <c r="P172" s="277"/>
      <c r="Q172" s="312"/>
    </row>
    <row r="173" spans="1:17" hidden="1" x14ac:dyDescent="0.25">
      <c r="A173" s="293">
        <v>5142</v>
      </c>
      <c r="B173" s="294">
        <v>911900</v>
      </c>
      <c r="C173" s="295" t="s">
        <v>165</v>
      </c>
      <c r="D173" s="295"/>
      <c r="E173" s="277"/>
      <c r="F173" s="277"/>
      <c r="G173" s="311">
        <f t="shared" si="52"/>
        <v>0</v>
      </c>
      <c r="H173" s="311"/>
      <c r="I173" s="277"/>
      <c r="J173" s="277"/>
      <c r="K173" s="277"/>
      <c r="L173" s="277"/>
      <c r="M173" s="277"/>
      <c r="N173" s="277"/>
      <c r="O173" s="277"/>
      <c r="P173" s="277"/>
      <c r="Q173" s="312"/>
    </row>
    <row r="174" spans="1:17" ht="39" hidden="1" x14ac:dyDescent="0.25">
      <c r="A174" s="284">
        <v>5143</v>
      </c>
      <c r="B174" s="283">
        <v>912000</v>
      </c>
      <c r="C174" s="287" t="s">
        <v>166</v>
      </c>
      <c r="D174" s="287"/>
      <c r="E174" s="288">
        <f>SUM(E175:E185)</f>
        <v>0</v>
      </c>
      <c r="F174" s="288"/>
      <c r="G174" s="288">
        <f t="shared" si="52"/>
        <v>0</v>
      </c>
      <c r="H174" s="288"/>
      <c r="I174" s="288">
        <f t="shared" ref="I174:Q174" si="56">SUM(I175:I185)</f>
        <v>0</v>
      </c>
      <c r="J174" s="288">
        <f t="shared" si="56"/>
        <v>0</v>
      </c>
      <c r="K174" s="288"/>
      <c r="L174" s="288">
        <f t="shared" si="56"/>
        <v>0</v>
      </c>
      <c r="M174" s="288"/>
      <c r="N174" s="288">
        <f t="shared" si="56"/>
        <v>0</v>
      </c>
      <c r="O174" s="288">
        <f t="shared" si="56"/>
        <v>0</v>
      </c>
      <c r="P174" s="288"/>
      <c r="Q174" s="289">
        <f t="shared" si="56"/>
        <v>0</v>
      </c>
    </row>
    <row r="175" spans="1:17" ht="51.75" hidden="1" x14ac:dyDescent="0.25">
      <c r="A175" s="293">
        <v>5144</v>
      </c>
      <c r="B175" s="294">
        <v>912100</v>
      </c>
      <c r="C175" s="295" t="s">
        <v>167</v>
      </c>
      <c r="D175" s="295"/>
      <c r="E175" s="277"/>
      <c r="F175" s="277"/>
      <c r="G175" s="311">
        <f t="shared" si="52"/>
        <v>0</v>
      </c>
      <c r="H175" s="311"/>
      <c r="I175" s="277"/>
      <c r="J175" s="277"/>
      <c r="K175" s="277"/>
      <c r="L175" s="277"/>
      <c r="M175" s="277"/>
      <c r="N175" s="277"/>
      <c r="O175" s="277"/>
      <c r="P175" s="277"/>
      <c r="Q175" s="312"/>
    </row>
    <row r="176" spans="1:17" ht="26.25" hidden="1" x14ac:dyDescent="0.25">
      <c r="A176" s="293">
        <v>5145</v>
      </c>
      <c r="B176" s="294">
        <v>912200</v>
      </c>
      <c r="C176" s="295" t="s">
        <v>168</v>
      </c>
      <c r="D176" s="295"/>
      <c r="E176" s="277"/>
      <c r="F176" s="277"/>
      <c r="G176" s="311">
        <f t="shared" si="52"/>
        <v>0</v>
      </c>
      <c r="H176" s="311"/>
      <c r="I176" s="277"/>
      <c r="J176" s="277"/>
      <c r="K176" s="277"/>
      <c r="L176" s="277"/>
      <c r="M176" s="277"/>
      <c r="N176" s="277"/>
      <c r="O176" s="277"/>
      <c r="P176" s="277"/>
      <c r="Q176" s="312"/>
    </row>
    <row r="177" spans="1:17" ht="26.25" hidden="1" x14ac:dyDescent="0.25">
      <c r="A177" s="293">
        <v>5146</v>
      </c>
      <c r="B177" s="294">
        <v>912300</v>
      </c>
      <c r="C177" s="295" t="s">
        <v>169</v>
      </c>
      <c r="D177" s="295"/>
      <c r="E177" s="277"/>
      <c r="F177" s="277"/>
      <c r="G177" s="311">
        <f t="shared" si="52"/>
        <v>0</v>
      </c>
      <c r="H177" s="311"/>
      <c r="I177" s="277"/>
      <c r="J177" s="277"/>
      <c r="K177" s="277"/>
      <c r="L177" s="277"/>
      <c r="M177" s="277"/>
      <c r="N177" s="277"/>
      <c r="O177" s="277"/>
      <c r="P177" s="277"/>
      <c r="Q177" s="312"/>
    </row>
    <row r="178" spans="1:17" ht="26.25" hidden="1" x14ac:dyDescent="0.25">
      <c r="A178" s="293">
        <v>5147</v>
      </c>
      <c r="B178" s="294">
        <v>912400</v>
      </c>
      <c r="C178" s="295" t="s">
        <v>170</v>
      </c>
      <c r="D178" s="295"/>
      <c r="E178" s="277"/>
      <c r="F178" s="277"/>
      <c r="G178" s="311">
        <f t="shared" si="52"/>
        <v>0</v>
      </c>
      <c r="H178" s="311"/>
      <c r="I178" s="277"/>
      <c r="J178" s="277"/>
      <c r="K178" s="277"/>
      <c r="L178" s="277"/>
      <c r="M178" s="277"/>
      <c r="N178" s="277"/>
      <c r="O178" s="277"/>
      <c r="P178" s="277"/>
      <c r="Q178" s="312"/>
    </row>
    <row r="179" spans="1:17" ht="26.25" hidden="1" x14ac:dyDescent="0.25">
      <c r="A179" s="293">
        <v>5148</v>
      </c>
      <c r="B179" s="294">
        <v>912500</v>
      </c>
      <c r="C179" s="295" t="s">
        <v>171</v>
      </c>
      <c r="D179" s="295"/>
      <c r="E179" s="277"/>
      <c r="F179" s="277"/>
      <c r="G179" s="311">
        <f t="shared" si="52"/>
        <v>0</v>
      </c>
      <c r="H179" s="311"/>
      <c r="I179" s="277"/>
      <c r="J179" s="277"/>
      <c r="K179" s="277"/>
      <c r="L179" s="277"/>
      <c r="M179" s="277"/>
      <c r="N179" s="277"/>
      <c r="O179" s="277"/>
      <c r="P179" s="277"/>
      <c r="Q179" s="312"/>
    </row>
    <row r="180" spans="1:17" ht="26.25" hidden="1" x14ac:dyDescent="0.25">
      <c r="A180" s="293">
        <v>5149</v>
      </c>
      <c r="B180" s="294">
        <v>912600</v>
      </c>
      <c r="C180" s="295" t="s">
        <v>172</v>
      </c>
      <c r="D180" s="295"/>
      <c r="E180" s="277"/>
      <c r="F180" s="277"/>
      <c r="G180" s="311">
        <f t="shared" si="52"/>
        <v>0</v>
      </c>
      <c r="H180" s="311"/>
      <c r="I180" s="277"/>
      <c r="J180" s="277"/>
      <c r="K180" s="277"/>
      <c r="L180" s="277"/>
      <c r="M180" s="277"/>
      <c r="N180" s="277"/>
      <c r="O180" s="277"/>
      <c r="P180" s="277"/>
      <c r="Q180" s="312"/>
    </row>
    <row r="181" spans="1:17" hidden="1" x14ac:dyDescent="0.25">
      <c r="A181" s="663" t="s">
        <v>0</v>
      </c>
      <c r="B181" s="657" t="s">
        <v>1</v>
      </c>
      <c r="C181" s="656" t="s">
        <v>2</v>
      </c>
      <c r="D181" s="308"/>
      <c r="E181" s="658" t="s">
        <v>3</v>
      </c>
      <c r="F181" s="283"/>
      <c r="G181" s="658" t="s">
        <v>4</v>
      </c>
      <c r="H181" s="658"/>
      <c r="I181" s="658"/>
      <c r="J181" s="658"/>
      <c r="K181" s="658"/>
      <c r="L181" s="658"/>
      <c r="M181" s="658"/>
      <c r="N181" s="658"/>
      <c r="O181" s="658"/>
      <c r="P181" s="658"/>
      <c r="Q181" s="664"/>
    </row>
    <row r="182" spans="1:17" hidden="1" x14ac:dyDescent="0.25">
      <c r="A182" s="663"/>
      <c r="B182" s="657"/>
      <c r="C182" s="656"/>
      <c r="D182" s="308"/>
      <c r="E182" s="658"/>
      <c r="F182" s="283"/>
      <c r="G182" s="665" t="s">
        <v>5</v>
      </c>
      <c r="H182" s="302"/>
      <c r="I182" s="658" t="s">
        <v>6</v>
      </c>
      <c r="J182" s="658"/>
      <c r="K182" s="658"/>
      <c r="L182" s="658"/>
      <c r="M182" s="658"/>
      <c r="N182" s="658"/>
      <c r="O182" s="658" t="s">
        <v>7</v>
      </c>
      <c r="P182" s="283"/>
      <c r="Q182" s="664" t="s">
        <v>8</v>
      </c>
    </row>
    <row r="183" spans="1:17" ht="39" hidden="1" x14ac:dyDescent="0.25">
      <c r="A183" s="663"/>
      <c r="B183" s="657"/>
      <c r="C183" s="656"/>
      <c r="D183" s="308"/>
      <c r="E183" s="658"/>
      <c r="F183" s="283"/>
      <c r="G183" s="665"/>
      <c r="H183" s="302"/>
      <c r="I183" s="283" t="s">
        <v>9</v>
      </c>
      <c r="J183" s="283" t="s">
        <v>10</v>
      </c>
      <c r="K183" s="283"/>
      <c r="L183" s="283" t="s">
        <v>11</v>
      </c>
      <c r="M183" s="283"/>
      <c r="N183" s="283" t="s">
        <v>12</v>
      </c>
      <c r="O183" s="658"/>
      <c r="P183" s="283"/>
      <c r="Q183" s="664"/>
    </row>
    <row r="184" spans="1:17" ht="26.25" hidden="1" x14ac:dyDescent="0.25">
      <c r="A184" s="304" t="s">
        <v>18</v>
      </c>
      <c r="B184" s="305" t="s">
        <v>19</v>
      </c>
      <c r="C184" s="305" t="s">
        <v>20</v>
      </c>
      <c r="D184" s="305"/>
      <c r="E184" s="306" t="s">
        <v>21</v>
      </c>
      <c r="F184" s="306"/>
      <c r="G184" s="306" t="s">
        <v>22</v>
      </c>
      <c r="H184" s="306"/>
      <c r="I184" s="306" t="s">
        <v>23</v>
      </c>
      <c r="J184" s="306" t="s">
        <v>24</v>
      </c>
      <c r="K184" s="306"/>
      <c r="L184" s="306" t="s">
        <v>25</v>
      </c>
      <c r="M184" s="306"/>
      <c r="N184" s="306" t="s">
        <v>26</v>
      </c>
      <c r="O184" s="306" t="s">
        <v>27</v>
      </c>
      <c r="P184" s="306"/>
      <c r="Q184" s="307" t="s">
        <v>28</v>
      </c>
    </row>
    <row r="185" spans="1:17" hidden="1" x14ac:dyDescent="0.25">
      <c r="A185" s="293">
        <v>5150</v>
      </c>
      <c r="B185" s="294">
        <v>912900</v>
      </c>
      <c r="C185" s="295" t="s">
        <v>173</v>
      </c>
      <c r="D185" s="295"/>
      <c r="E185" s="277"/>
      <c r="F185" s="277"/>
      <c r="G185" s="311">
        <f t="shared" si="52"/>
        <v>0</v>
      </c>
      <c r="H185" s="311"/>
      <c r="I185" s="277"/>
      <c r="J185" s="277"/>
      <c r="K185" s="277"/>
      <c r="L185" s="277"/>
      <c r="M185" s="277"/>
      <c r="N185" s="277"/>
      <c r="O185" s="277"/>
      <c r="P185" s="277"/>
      <c r="Q185" s="312"/>
    </row>
    <row r="186" spans="1:17" ht="39" hidden="1" x14ac:dyDescent="0.25">
      <c r="A186" s="284">
        <v>5151</v>
      </c>
      <c r="B186" s="283">
        <v>920000</v>
      </c>
      <c r="C186" s="287" t="s">
        <v>174</v>
      </c>
      <c r="D186" s="287"/>
      <c r="E186" s="288">
        <f>E187+E197</f>
        <v>0</v>
      </c>
      <c r="F186" s="288"/>
      <c r="G186" s="288">
        <f t="shared" si="52"/>
        <v>0</v>
      </c>
      <c r="H186" s="288"/>
      <c r="I186" s="288">
        <f t="shared" ref="I186:Q186" si="57">I187+I197</f>
        <v>0</v>
      </c>
      <c r="J186" s="288">
        <f t="shared" si="57"/>
        <v>0</v>
      </c>
      <c r="K186" s="288"/>
      <c r="L186" s="288">
        <f t="shared" si="57"/>
        <v>0</v>
      </c>
      <c r="M186" s="288"/>
      <c r="N186" s="288">
        <f t="shared" si="57"/>
        <v>0</v>
      </c>
      <c r="O186" s="288">
        <f t="shared" si="57"/>
        <v>0</v>
      </c>
      <c r="P186" s="288"/>
      <c r="Q186" s="289">
        <f t="shared" si="57"/>
        <v>0</v>
      </c>
    </row>
    <row r="187" spans="1:17" ht="39" hidden="1" x14ac:dyDescent="0.25">
      <c r="A187" s="284">
        <v>5152</v>
      </c>
      <c r="B187" s="283">
        <v>921000</v>
      </c>
      <c r="C187" s="287" t="s">
        <v>175</v>
      </c>
      <c r="D187" s="287"/>
      <c r="E187" s="288">
        <f>SUM(E188:E196)</f>
        <v>0</v>
      </c>
      <c r="F187" s="288"/>
      <c r="G187" s="288">
        <f t="shared" si="52"/>
        <v>0</v>
      </c>
      <c r="H187" s="288"/>
      <c r="I187" s="288">
        <f t="shared" ref="I187:Q187" si="58">SUM(I188:I196)</f>
        <v>0</v>
      </c>
      <c r="J187" s="288">
        <f t="shared" si="58"/>
        <v>0</v>
      </c>
      <c r="K187" s="288"/>
      <c r="L187" s="288">
        <f t="shared" si="58"/>
        <v>0</v>
      </c>
      <c r="M187" s="288"/>
      <c r="N187" s="288">
        <f t="shared" si="58"/>
        <v>0</v>
      </c>
      <c r="O187" s="288">
        <f t="shared" si="58"/>
        <v>0</v>
      </c>
      <c r="P187" s="288"/>
      <c r="Q187" s="289">
        <f t="shared" si="58"/>
        <v>0</v>
      </c>
    </row>
    <row r="188" spans="1:17" ht="39" hidden="1" x14ac:dyDescent="0.25">
      <c r="A188" s="293">
        <v>5153</v>
      </c>
      <c r="B188" s="294">
        <v>921100</v>
      </c>
      <c r="C188" s="295" t="s">
        <v>176</v>
      </c>
      <c r="D188" s="295"/>
      <c r="E188" s="277"/>
      <c r="F188" s="277"/>
      <c r="G188" s="311">
        <f t="shared" si="52"/>
        <v>0</v>
      </c>
      <c r="H188" s="311"/>
      <c r="I188" s="277"/>
      <c r="J188" s="277"/>
      <c r="K188" s="277"/>
      <c r="L188" s="277"/>
      <c r="M188" s="277"/>
      <c r="N188" s="277"/>
      <c r="O188" s="277"/>
      <c r="P188" s="277"/>
      <c r="Q188" s="312"/>
    </row>
    <row r="189" spans="1:17" ht="26.25" hidden="1" x14ac:dyDescent="0.25">
      <c r="A189" s="293">
        <v>5154</v>
      </c>
      <c r="B189" s="294">
        <v>921200</v>
      </c>
      <c r="C189" s="295" t="s">
        <v>177</v>
      </c>
      <c r="D189" s="295"/>
      <c r="E189" s="277"/>
      <c r="F189" s="277"/>
      <c r="G189" s="311">
        <f t="shared" si="52"/>
        <v>0</v>
      </c>
      <c r="H189" s="311"/>
      <c r="I189" s="277"/>
      <c r="J189" s="277"/>
      <c r="K189" s="277"/>
      <c r="L189" s="277"/>
      <c r="M189" s="277"/>
      <c r="N189" s="277"/>
      <c r="O189" s="277"/>
      <c r="P189" s="277"/>
      <c r="Q189" s="312"/>
    </row>
    <row r="190" spans="1:17" ht="39" hidden="1" x14ac:dyDescent="0.25">
      <c r="A190" s="293">
        <v>5155</v>
      </c>
      <c r="B190" s="294">
        <v>921300</v>
      </c>
      <c r="C190" s="295" t="s">
        <v>178</v>
      </c>
      <c r="D190" s="295"/>
      <c r="E190" s="277"/>
      <c r="F190" s="277"/>
      <c r="G190" s="311">
        <f t="shared" si="52"/>
        <v>0</v>
      </c>
      <c r="H190" s="311"/>
      <c r="I190" s="277"/>
      <c r="J190" s="277"/>
      <c r="K190" s="277"/>
      <c r="L190" s="277"/>
      <c r="M190" s="277"/>
      <c r="N190" s="277"/>
      <c r="O190" s="277"/>
      <c r="P190" s="277"/>
      <c r="Q190" s="312"/>
    </row>
    <row r="191" spans="1:17" ht="26.25" hidden="1" x14ac:dyDescent="0.25">
      <c r="A191" s="293">
        <v>5156</v>
      </c>
      <c r="B191" s="294">
        <v>921400</v>
      </c>
      <c r="C191" s="295" t="s">
        <v>179</v>
      </c>
      <c r="D191" s="295"/>
      <c r="E191" s="277"/>
      <c r="F191" s="277"/>
      <c r="G191" s="311">
        <f t="shared" si="52"/>
        <v>0</v>
      </c>
      <c r="H191" s="311"/>
      <c r="I191" s="277"/>
      <c r="J191" s="277"/>
      <c r="K191" s="277"/>
      <c r="L191" s="277"/>
      <c r="M191" s="277"/>
      <c r="N191" s="277"/>
      <c r="O191" s="277"/>
      <c r="P191" s="277"/>
      <c r="Q191" s="312"/>
    </row>
    <row r="192" spans="1:17" ht="39" hidden="1" x14ac:dyDescent="0.25">
      <c r="A192" s="293">
        <v>5157</v>
      </c>
      <c r="B192" s="294">
        <v>921500</v>
      </c>
      <c r="C192" s="295" t="s">
        <v>180</v>
      </c>
      <c r="D192" s="295"/>
      <c r="E192" s="277"/>
      <c r="F192" s="277"/>
      <c r="G192" s="311">
        <f t="shared" si="52"/>
        <v>0</v>
      </c>
      <c r="H192" s="311"/>
      <c r="I192" s="277"/>
      <c r="J192" s="277"/>
      <c r="K192" s="277"/>
      <c r="L192" s="277"/>
      <c r="M192" s="277"/>
      <c r="N192" s="277"/>
      <c r="O192" s="277"/>
      <c r="P192" s="277"/>
      <c r="Q192" s="312"/>
    </row>
    <row r="193" spans="1:17" ht="39" hidden="1" x14ac:dyDescent="0.25">
      <c r="A193" s="293">
        <v>5158</v>
      </c>
      <c r="B193" s="294">
        <v>921600</v>
      </c>
      <c r="C193" s="295" t="s">
        <v>181</v>
      </c>
      <c r="D193" s="295"/>
      <c r="E193" s="277"/>
      <c r="F193" s="277"/>
      <c r="G193" s="311">
        <f t="shared" si="52"/>
        <v>0</v>
      </c>
      <c r="H193" s="311"/>
      <c r="I193" s="277"/>
      <c r="J193" s="277"/>
      <c r="K193" s="277"/>
      <c r="L193" s="277"/>
      <c r="M193" s="277"/>
      <c r="N193" s="277"/>
      <c r="O193" s="277"/>
      <c r="P193" s="277"/>
      <c r="Q193" s="312"/>
    </row>
    <row r="194" spans="1:17" ht="39" hidden="1" x14ac:dyDescent="0.25">
      <c r="A194" s="293">
        <v>5159</v>
      </c>
      <c r="B194" s="294">
        <v>921700</v>
      </c>
      <c r="C194" s="295" t="s">
        <v>182</v>
      </c>
      <c r="D194" s="295"/>
      <c r="E194" s="277"/>
      <c r="F194" s="277"/>
      <c r="G194" s="311">
        <f t="shared" si="52"/>
        <v>0</v>
      </c>
      <c r="H194" s="311"/>
      <c r="I194" s="277"/>
      <c r="J194" s="277"/>
      <c r="K194" s="277"/>
      <c r="L194" s="277"/>
      <c r="M194" s="277"/>
      <c r="N194" s="277"/>
      <c r="O194" s="277"/>
      <c r="P194" s="277"/>
      <c r="Q194" s="312"/>
    </row>
    <row r="195" spans="1:17" ht="39" hidden="1" x14ac:dyDescent="0.25">
      <c r="A195" s="293">
        <v>5160</v>
      </c>
      <c r="B195" s="294">
        <v>921800</v>
      </c>
      <c r="C195" s="295" t="s">
        <v>183</v>
      </c>
      <c r="D195" s="295"/>
      <c r="E195" s="277"/>
      <c r="F195" s="277"/>
      <c r="G195" s="311">
        <f t="shared" si="52"/>
        <v>0</v>
      </c>
      <c r="H195" s="311"/>
      <c r="I195" s="277"/>
      <c r="J195" s="277"/>
      <c r="K195" s="277"/>
      <c r="L195" s="277"/>
      <c r="M195" s="277"/>
      <c r="N195" s="277"/>
      <c r="O195" s="277"/>
      <c r="P195" s="277"/>
      <c r="Q195" s="312"/>
    </row>
    <row r="196" spans="1:17" ht="26.25" hidden="1" x14ac:dyDescent="0.25">
      <c r="A196" s="293">
        <v>5161</v>
      </c>
      <c r="B196" s="294">
        <v>921900</v>
      </c>
      <c r="C196" s="295" t="s">
        <v>184</v>
      </c>
      <c r="D196" s="295"/>
      <c r="E196" s="277"/>
      <c r="F196" s="277"/>
      <c r="G196" s="311">
        <f t="shared" si="52"/>
        <v>0</v>
      </c>
      <c r="H196" s="311"/>
      <c r="I196" s="277"/>
      <c r="J196" s="277"/>
      <c r="K196" s="277"/>
      <c r="L196" s="277"/>
      <c r="M196" s="277"/>
      <c r="N196" s="277"/>
      <c r="O196" s="277"/>
      <c r="P196" s="277"/>
      <c r="Q196" s="312"/>
    </row>
    <row r="197" spans="1:17" ht="39" hidden="1" x14ac:dyDescent="0.25">
      <c r="A197" s="284">
        <v>5162</v>
      </c>
      <c r="B197" s="283">
        <v>922000</v>
      </c>
      <c r="C197" s="287" t="s">
        <v>185</v>
      </c>
      <c r="D197" s="287"/>
      <c r="E197" s="288">
        <f>SUM(E198:E209)</f>
        <v>0</v>
      </c>
      <c r="F197" s="288"/>
      <c r="G197" s="288">
        <f t="shared" si="52"/>
        <v>0</v>
      </c>
      <c r="H197" s="288"/>
      <c r="I197" s="288">
        <f t="shared" ref="I197:Q197" si="59">SUM(I198:I209)</f>
        <v>0</v>
      </c>
      <c r="J197" s="288">
        <f t="shared" si="59"/>
        <v>0</v>
      </c>
      <c r="K197" s="288"/>
      <c r="L197" s="288">
        <f t="shared" si="59"/>
        <v>0</v>
      </c>
      <c r="M197" s="288"/>
      <c r="N197" s="288">
        <f t="shared" si="59"/>
        <v>0</v>
      </c>
      <c r="O197" s="288">
        <f t="shared" si="59"/>
        <v>0</v>
      </c>
      <c r="P197" s="288"/>
      <c r="Q197" s="289">
        <f t="shared" si="59"/>
        <v>0</v>
      </c>
    </row>
    <row r="198" spans="1:17" ht="39" hidden="1" x14ac:dyDescent="0.25">
      <c r="A198" s="293">
        <v>5163</v>
      </c>
      <c r="B198" s="294">
        <v>922100</v>
      </c>
      <c r="C198" s="295" t="s">
        <v>186</v>
      </c>
      <c r="D198" s="295"/>
      <c r="E198" s="277"/>
      <c r="F198" s="277"/>
      <c r="G198" s="311">
        <f t="shared" ref="G198:G209" si="60">SUM(I198:Q198)</f>
        <v>0</v>
      </c>
      <c r="H198" s="311"/>
      <c r="I198" s="277"/>
      <c r="J198" s="277"/>
      <c r="K198" s="277"/>
      <c r="L198" s="277"/>
      <c r="M198" s="277"/>
      <c r="N198" s="277"/>
      <c r="O198" s="277"/>
      <c r="P198" s="277"/>
      <c r="Q198" s="312"/>
    </row>
    <row r="199" spans="1:17" ht="26.25" hidden="1" x14ac:dyDescent="0.25">
      <c r="A199" s="293">
        <v>5164</v>
      </c>
      <c r="B199" s="294">
        <v>922200</v>
      </c>
      <c r="C199" s="295" t="s">
        <v>187</v>
      </c>
      <c r="D199" s="295"/>
      <c r="E199" s="277"/>
      <c r="F199" s="277"/>
      <c r="G199" s="311">
        <f t="shared" si="60"/>
        <v>0</v>
      </c>
      <c r="H199" s="311"/>
      <c r="I199" s="277"/>
      <c r="J199" s="277"/>
      <c r="K199" s="277"/>
      <c r="L199" s="277"/>
      <c r="M199" s="277"/>
      <c r="N199" s="277"/>
      <c r="O199" s="277"/>
      <c r="P199" s="277"/>
      <c r="Q199" s="312"/>
    </row>
    <row r="200" spans="1:17" ht="39" hidden="1" x14ac:dyDescent="0.25">
      <c r="A200" s="293">
        <v>5165</v>
      </c>
      <c r="B200" s="294">
        <v>922300</v>
      </c>
      <c r="C200" s="295" t="s">
        <v>188</v>
      </c>
      <c r="D200" s="295"/>
      <c r="E200" s="277"/>
      <c r="F200" s="277"/>
      <c r="G200" s="311">
        <f t="shared" si="60"/>
        <v>0</v>
      </c>
      <c r="H200" s="311"/>
      <c r="I200" s="277"/>
      <c r="J200" s="277"/>
      <c r="K200" s="277"/>
      <c r="L200" s="277"/>
      <c r="M200" s="277"/>
      <c r="N200" s="277"/>
      <c r="O200" s="277"/>
      <c r="P200" s="277"/>
      <c r="Q200" s="312"/>
    </row>
    <row r="201" spans="1:17" ht="39" hidden="1" x14ac:dyDescent="0.25">
      <c r="A201" s="293">
        <v>5166</v>
      </c>
      <c r="B201" s="294">
        <v>922400</v>
      </c>
      <c r="C201" s="295" t="s">
        <v>189</v>
      </c>
      <c r="D201" s="295"/>
      <c r="E201" s="277"/>
      <c r="F201" s="277"/>
      <c r="G201" s="311">
        <f t="shared" si="60"/>
        <v>0</v>
      </c>
      <c r="H201" s="311"/>
      <c r="I201" s="277"/>
      <c r="J201" s="277"/>
      <c r="K201" s="277"/>
      <c r="L201" s="277"/>
      <c r="M201" s="277"/>
      <c r="N201" s="277"/>
      <c r="O201" s="277"/>
      <c r="P201" s="277"/>
      <c r="Q201" s="312"/>
    </row>
    <row r="202" spans="1:17" ht="39" hidden="1" x14ac:dyDescent="0.25">
      <c r="A202" s="293">
        <v>5167</v>
      </c>
      <c r="B202" s="294">
        <v>922500</v>
      </c>
      <c r="C202" s="295" t="s">
        <v>190</v>
      </c>
      <c r="D202" s="295"/>
      <c r="E202" s="277"/>
      <c r="F202" s="277"/>
      <c r="G202" s="311">
        <f t="shared" si="60"/>
        <v>0</v>
      </c>
      <c r="H202" s="311"/>
      <c r="I202" s="277"/>
      <c r="J202" s="277"/>
      <c r="K202" s="277"/>
      <c r="L202" s="277"/>
      <c r="M202" s="277"/>
      <c r="N202" s="277"/>
      <c r="O202" s="277"/>
      <c r="P202" s="277"/>
      <c r="Q202" s="312"/>
    </row>
    <row r="203" spans="1:17" hidden="1" x14ac:dyDescent="0.25">
      <c r="A203" s="663" t="s">
        <v>0</v>
      </c>
      <c r="B203" s="657" t="s">
        <v>1</v>
      </c>
      <c r="C203" s="656" t="s">
        <v>2</v>
      </c>
      <c r="D203" s="308"/>
      <c r="E203" s="658" t="s">
        <v>3</v>
      </c>
      <c r="F203" s="283"/>
      <c r="G203" s="658" t="s">
        <v>4</v>
      </c>
      <c r="H203" s="658"/>
      <c r="I203" s="658"/>
      <c r="J203" s="658"/>
      <c r="K203" s="658"/>
      <c r="L203" s="658"/>
      <c r="M203" s="658"/>
      <c r="N203" s="658"/>
      <c r="O203" s="658"/>
      <c r="P203" s="658"/>
      <c r="Q203" s="664"/>
    </row>
    <row r="204" spans="1:17" hidden="1" x14ac:dyDescent="0.25">
      <c r="A204" s="663"/>
      <c r="B204" s="657"/>
      <c r="C204" s="656"/>
      <c r="D204" s="308"/>
      <c r="E204" s="658"/>
      <c r="F204" s="283"/>
      <c r="G204" s="665" t="s">
        <v>5</v>
      </c>
      <c r="H204" s="302"/>
      <c r="I204" s="658" t="s">
        <v>6</v>
      </c>
      <c r="J204" s="658"/>
      <c r="K204" s="658"/>
      <c r="L204" s="658"/>
      <c r="M204" s="658"/>
      <c r="N204" s="658"/>
      <c r="O204" s="658" t="s">
        <v>7</v>
      </c>
      <c r="P204" s="283"/>
      <c r="Q204" s="664" t="s">
        <v>8</v>
      </c>
    </row>
    <row r="205" spans="1:17" ht="39" hidden="1" x14ac:dyDescent="0.25">
      <c r="A205" s="663"/>
      <c r="B205" s="657"/>
      <c r="C205" s="656"/>
      <c r="D205" s="308"/>
      <c r="E205" s="658"/>
      <c r="F205" s="283"/>
      <c r="G205" s="665"/>
      <c r="H205" s="302"/>
      <c r="I205" s="283" t="s">
        <v>9</v>
      </c>
      <c r="J205" s="283" t="s">
        <v>10</v>
      </c>
      <c r="K205" s="283"/>
      <c r="L205" s="283" t="s">
        <v>11</v>
      </c>
      <c r="M205" s="283"/>
      <c r="N205" s="283" t="s">
        <v>12</v>
      </c>
      <c r="O205" s="658"/>
      <c r="P205" s="283"/>
      <c r="Q205" s="664"/>
    </row>
    <row r="206" spans="1:17" ht="26.25" hidden="1" x14ac:dyDescent="0.25">
      <c r="A206" s="304" t="s">
        <v>18</v>
      </c>
      <c r="B206" s="305" t="s">
        <v>19</v>
      </c>
      <c r="C206" s="305" t="s">
        <v>20</v>
      </c>
      <c r="D206" s="305"/>
      <c r="E206" s="306" t="s">
        <v>21</v>
      </c>
      <c r="F206" s="306"/>
      <c r="G206" s="306" t="s">
        <v>22</v>
      </c>
      <c r="H206" s="306"/>
      <c r="I206" s="306" t="s">
        <v>23</v>
      </c>
      <c r="J206" s="306" t="s">
        <v>24</v>
      </c>
      <c r="K206" s="306"/>
      <c r="L206" s="306" t="s">
        <v>25</v>
      </c>
      <c r="M206" s="306"/>
      <c r="N206" s="306" t="s">
        <v>26</v>
      </c>
      <c r="O206" s="306" t="s">
        <v>27</v>
      </c>
      <c r="P206" s="306"/>
      <c r="Q206" s="307" t="s">
        <v>28</v>
      </c>
    </row>
    <row r="207" spans="1:17" ht="39" hidden="1" x14ac:dyDescent="0.25">
      <c r="A207" s="293">
        <v>5168</v>
      </c>
      <c r="B207" s="294">
        <v>922600</v>
      </c>
      <c r="C207" s="295" t="s">
        <v>191</v>
      </c>
      <c r="D207" s="295"/>
      <c r="E207" s="277"/>
      <c r="F207" s="277"/>
      <c r="G207" s="311">
        <f t="shared" si="60"/>
        <v>0</v>
      </c>
      <c r="H207" s="311"/>
      <c r="I207" s="277"/>
      <c r="J207" s="277"/>
      <c r="K207" s="277"/>
      <c r="L207" s="277"/>
      <c r="M207" s="277"/>
      <c r="N207" s="277"/>
      <c r="O207" s="277"/>
      <c r="P207" s="277"/>
      <c r="Q207" s="312"/>
    </row>
    <row r="208" spans="1:17" ht="26.25" hidden="1" x14ac:dyDescent="0.25">
      <c r="A208" s="293">
        <v>5169</v>
      </c>
      <c r="B208" s="294">
        <v>922700</v>
      </c>
      <c r="C208" s="295" t="s">
        <v>192</v>
      </c>
      <c r="D208" s="295"/>
      <c r="E208" s="277"/>
      <c r="F208" s="277"/>
      <c r="G208" s="311">
        <f t="shared" si="60"/>
        <v>0</v>
      </c>
      <c r="H208" s="311"/>
      <c r="I208" s="277"/>
      <c r="J208" s="277"/>
      <c r="K208" s="277"/>
      <c r="L208" s="277"/>
      <c r="M208" s="277"/>
      <c r="N208" s="277"/>
      <c r="O208" s="277"/>
      <c r="P208" s="277"/>
      <c r="Q208" s="312"/>
    </row>
    <row r="209" spans="1:18" ht="26.25" hidden="1" x14ac:dyDescent="0.25">
      <c r="A209" s="293">
        <v>5170</v>
      </c>
      <c r="B209" s="294">
        <v>922800</v>
      </c>
      <c r="C209" s="295" t="s">
        <v>193</v>
      </c>
      <c r="D209" s="295"/>
      <c r="E209" s="277"/>
      <c r="F209" s="277"/>
      <c r="G209" s="311">
        <f t="shared" si="60"/>
        <v>0</v>
      </c>
      <c r="H209" s="311"/>
      <c r="I209" s="277"/>
      <c r="J209" s="277"/>
      <c r="K209" s="277"/>
      <c r="L209" s="277"/>
      <c r="M209" s="277"/>
      <c r="N209" s="277"/>
      <c r="O209" s="277"/>
      <c r="P209" s="277"/>
      <c r="Q209" s="312"/>
    </row>
    <row r="210" spans="1:18" ht="27" thickBot="1" x14ac:dyDescent="0.3">
      <c r="A210" s="316">
        <v>5171</v>
      </c>
      <c r="B210" s="317"/>
      <c r="C210" s="318" t="s">
        <v>194</v>
      </c>
      <c r="D210" s="318"/>
      <c r="E210" s="319">
        <f>E6+E162</f>
        <v>1500538</v>
      </c>
      <c r="F210" s="319">
        <f t="shared" ref="F210:Q210" si="61">F6+F162</f>
        <v>1639234</v>
      </c>
      <c r="G210" s="319">
        <f t="shared" si="61"/>
        <v>3027938</v>
      </c>
      <c r="H210" s="319">
        <f t="shared" si="61"/>
        <v>26000</v>
      </c>
      <c r="I210" s="319">
        <f t="shared" si="61"/>
        <v>18738</v>
      </c>
      <c r="J210" s="319">
        <f t="shared" si="61"/>
        <v>0</v>
      </c>
      <c r="K210" s="319">
        <f t="shared" si="61"/>
        <v>1000</v>
      </c>
      <c r="L210" s="319">
        <f t="shared" si="61"/>
        <v>505</v>
      </c>
      <c r="M210" s="319">
        <f t="shared" si="61"/>
        <v>1599334</v>
      </c>
      <c r="N210" s="319">
        <f t="shared" si="61"/>
        <v>1398192</v>
      </c>
      <c r="O210" s="319">
        <f t="shared" si="61"/>
        <v>0</v>
      </c>
      <c r="P210" s="319">
        <f t="shared" si="61"/>
        <v>12900</v>
      </c>
      <c r="Q210" s="320">
        <f t="shared" si="61"/>
        <v>12669</v>
      </c>
    </row>
    <row r="211" spans="1:18" ht="25.5" customHeight="1" x14ac:dyDescent="0.25">
      <c r="A211" s="321"/>
      <c r="B211" s="322"/>
      <c r="C211" s="323"/>
      <c r="D211" s="323"/>
      <c r="E211" s="324"/>
      <c r="F211" s="324"/>
      <c r="G211" s="324"/>
      <c r="H211" s="324"/>
      <c r="I211" s="324"/>
      <c r="J211" s="324"/>
      <c r="K211" s="324"/>
      <c r="L211" s="324"/>
      <c r="M211" s="324"/>
      <c r="N211" s="324"/>
      <c r="O211" s="324"/>
      <c r="P211" s="324"/>
      <c r="Q211" s="324"/>
    </row>
    <row r="212" spans="1:18" ht="3" hidden="1" customHeight="1" x14ac:dyDescent="0.25">
      <c r="A212" s="325"/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  <c r="O212" s="280"/>
      <c r="P212" s="280"/>
      <c r="Q212" s="280"/>
    </row>
    <row r="213" spans="1:18" ht="19.5" customHeight="1" x14ac:dyDescent="0.25">
      <c r="A213" s="279" t="s">
        <v>195</v>
      </c>
      <c r="B213" s="280"/>
      <c r="C213" s="280"/>
      <c r="D213" s="280"/>
      <c r="E213" s="280"/>
      <c r="F213" s="280"/>
      <c r="G213" s="280"/>
      <c r="H213" s="280"/>
      <c r="I213" s="280"/>
      <c r="J213" s="280"/>
      <c r="K213" s="280"/>
      <c r="L213" s="280"/>
      <c r="M213" s="280"/>
      <c r="N213" s="280"/>
      <c r="O213" s="280"/>
      <c r="P213" s="280"/>
      <c r="Q213" s="280"/>
    </row>
    <row r="214" spans="1:18" ht="3.75" hidden="1" customHeight="1" x14ac:dyDescent="0.25">
      <c r="A214" s="325"/>
      <c r="B214" s="280"/>
      <c r="C214" s="280"/>
      <c r="D214" s="280"/>
      <c r="E214" s="280"/>
      <c r="F214" s="280"/>
      <c r="G214" s="280"/>
      <c r="H214" s="280"/>
      <c r="I214" s="280"/>
      <c r="J214" s="280"/>
      <c r="K214" s="280"/>
      <c r="L214" s="280"/>
      <c r="M214" s="280"/>
      <c r="N214" s="280"/>
      <c r="O214" s="280" t="s">
        <v>196</v>
      </c>
      <c r="P214" s="280"/>
      <c r="Q214" s="280"/>
    </row>
    <row r="215" spans="1:18" ht="15" customHeight="1" x14ac:dyDescent="0.25">
      <c r="A215" s="658" t="s">
        <v>0</v>
      </c>
      <c r="B215" s="658" t="s">
        <v>1</v>
      </c>
      <c r="C215" s="658" t="s">
        <v>2</v>
      </c>
      <c r="D215" s="658"/>
      <c r="E215" s="658" t="s">
        <v>197</v>
      </c>
      <c r="F215" s="660" t="s">
        <v>512</v>
      </c>
      <c r="G215" s="661"/>
      <c r="H215" s="661"/>
      <c r="I215" s="661"/>
      <c r="J215" s="661"/>
      <c r="K215" s="661"/>
      <c r="L215" s="661"/>
      <c r="M215" s="661"/>
      <c r="N215" s="661"/>
      <c r="O215" s="661"/>
      <c r="P215" s="661"/>
      <c r="Q215" s="662"/>
    </row>
    <row r="216" spans="1:18" ht="15" customHeight="1" x14ac:dyDescent="0.25">
      <c r="A216" s="659"/>
      <c r="B216" s="659"/>
      <c r="C216" s="659"/>
      <c r="D216" s="658"/>
      <c r="E216" s="659"/>
      <c r="F216" s="658" t="s">
        <v>511</v>
      </c>
      <c r="G216" s="658" t="s">
        <v>199</v>
      </c>
      <c r="H216" s="660" t="s">
        <v>200</v>
      </c>
      <c r="I216" s="661"/>
      <c r="J216" s="661"/>
      <c r="K216" s="661"/>
      <c r="L216" s="661"/>
      <c r="M216" s="661"/>
      <c r="N216" s="662"/>
      <c r="O216" s="658" t="s">
        <v>7</v>
      </c>
      <c r="P216" s="658" t="s">
        <v>8</v>
      </c>
      <c r="Q216" s="658" t="s">
        <v>8</v>
      </c>
    </row>
    <row r="217" spans="1:18" ht="39" x14ac:dyDescent="0.25">
      <c r="A217" s="659"/>
      <c r="B217" s="659"/>
      <c r="C217" s="659"/>
      <c r="D217" s="658"/>
      <c r="E217" s="659"/>
      <c r="F217" s="659"/>
      <c r="G217" s="659"/>
      <c r="H217" s="283" t="s">
        <v>201</v>
      </c>
      <c r="I217" s="283" t="s">
        <v>201</v>
      </c>
      <c r="J217" s="283" t="s">
        <v>10</v>
      </c>
      <c r="K217" s="283" t="s">
        <v>11</v>
      </c>
      <c r="L217" s="283" t="s">
        <v>11</v>
      </c>
      <c r="M217" s="283" t="s">
        <v>12</v>
      </c>
      <c r="N217" s="283" t="s">
        <v>12</v>
      </c>
      <c r="O217" s="659"/>
      <c r="P217" s="659"/>
      <c r="Q217" s="659"/>
    </row>
    <row r="218" spans="1:18" x14ac:dyDescent="0.25">
      <c r="A218" s="283">
        <v>1</v>
      </c>
      <c r="B218" s="283">
        <v>2</v>
      </c>
      <c r="C218" s="283">
        <v>3</v>
      </c>
      <c r="D218" s="283"/>
      <c r="E218" s="283">
        <v>4</v>
      </c>
      <c r="F218" s="283">
        <v>4</v>
      </c>
      <c r="G218" s="283">
        <v>5</v>
      </c>
      <c r="H218" s="283">
        <v>5</v>
      </c>
      <c r="I218" s="283">
        <v>6</v>
      </c>
      <c r="J218" s="283">
        <v>7</v>
      </c>
      <c r="K218" s="283">
        <v>6</v>
      </c>
      <c r="L218" s="283">
        <v>8</v>
      </c>
      <c r="M218" s="283">
        <v>7</v>
      </c>
      <c r="N218" s="283">
        <v>9</v>
      </c>
      <c r="O218" s="283">
        <v>10</v>
      </c>
      <c r="P218" s="283">
        <v>8</v>
      </c>
      <c r="Q218" s="283">
        <v>11</v>
      </c>
    </row>
    <row r="219" spans="1:18" ht="39" x14ac:dyDescent="0.25">
      <c r="A219" s="309">
        <v>5172</v>
      </c>
      <c r="B219" s="283"/>
      <c r="C219" s="287" t="s">
        <v>202</v>
      </c>
      <c r="D219" s="287"/>
      <c r="E219" s="288">
        <f t="shared" ref="E219:Q219" si="62">E220+E434</f>
        <v>1500538</v>
      </c>
      <c r="F219" s="288">
        <f t="shared" si="62"/>
        <v>1639545</v>
      </c>
      <c r="G219" s="288">
        <f t="shared" si="62"/>
        <v>1138166</v>
      </c>
      <c r="H219" s="288">
        <f t="shared" si="62"/>
        <v>26000</v>
      </c>
      <c r="I219" s="288">
        <f t="shared" si="62"/>
        <v>1577</v>
      </c>
      <c r="J219" s="288">
        <f t="shared" si="62"/>
        <v>0</v>
      </c>
      <c r="K219" s="288">
        <f t="shared" si="62"/>
        <v>1000</v>
      </c>
      <c r="L219" s="288">
        <f t="shared" si="62"/>
        <v>1273</v>
      </c>
      <c r="M219" s="288">
        <f t="shared" si="62"/>
        <v>1599334</v>
      </c>
      <c r="N219" s="288">
        <f t="shared" si="62"/>
        <v>1125638</v>
      </c>
      <c r="O219" s="288">
        <f t="shared" si="62"/>
        <v>0</v>
      </c>
      <c r="P219" s="288">
        <f t="shared" si="62"/>
        <v>13211</v>
      </c>
      <c r="Q219" s="288">
        <f t="shared" si="62"/>
        <v>9668</v>
      </c>
      <c r="R219" s="326">
        <f>H219+K219+M219+P219</f>
        <v>1639545</v>
      </c>
    </row>
    <row r="220" spans="1:18" ht="39" x14ac:dyDescent="0.25">
      <c r="A220" s="309">
        <v>5173</v>
      </c>
      <c r="B220" s="283">
        <v>400000</v>
      </c>
      <c r="C220" s="287" t="s">
        <v>203</v>
      </c>
      <c r="D220" s="287"/>
      <c r="E220" s="288">
        <f>E221+E247+E314+E333+E361+E374+E394+E413</f>
        <v>1464986</v>
      </c>
      <c r="F220" s="288">
        <f>F221+F247+F333+F374+F413</f>
        <v>1612316</v>
      </c>
      <c r="G220" s="288">
        <f t="shared" ref="G220:Q220" si="63">G221+G247+G314+G333+G361+G374+G394+G413</f>
        <v>1134903</v>
      </c>
      <c r="H220" s="288">
        <f t="shared" si="63"/>
        <v>1000</v>
      </c>
      <c r="I220" s="288">
        <f t="shared" si="63"/>
        <v>127</v>
      </c>
      <c r="J220" s="288">
        <f t="shared" si="63"/>
        <v>0</v>
      </c>
      <c r="K220" s="288">
        <f t="shared" si="63"/>
        <v>0</v>
      </c>
      <c r="L220" s="288">
        <f t="shared" si="63"/>
        <v>1273</v>
      </c>
      <c r="M220" s="288">
        <f t="shared" si="63"/>
        <v>1599334</v>
      </c>
      <c r="N220" s="288">
        <f t="shared" si="63"/>
        <v>1125638</v>
      </c>
      <c r="O220" s="288">
        <f t="shared" si="63"/>
        <v>0</v>
      </c>
      <c r="P220" s="288">
        <f t="shared" si="63"/>
        <v>11982</v>
      </c>
      <c r="Q220" s="288">
        <f t="shared" si="63"/>
        <v>7855</v>
      </c>
      <c r="R220" s="326">
        <f>F220+F434</f>
        <v>1639545</v>
      </c>
    </row>
    <row r="221" spans="1:18" ht="39" x14ac:dyDescent="0.25">
      <c r="A221" s="309">
        <v>5174</v>
      </c>
      <c r="B221" s="283">
        <v>410000</v>
      </c>
      <c r="C221" s="287" t="s">
        <v>204</v>
      </c>
      <c r="D221" s="287"/>
      <c r="E221" s="288">
        <f>E222+E224+E228+E230+E239+E241+E243+E245</f>
        <v>1029655</v>
      </c>
      <c r="F221" s="288">
        <f t="shared" ref="F221:Q221" si="64">F222+F224+F228+F230+F239+F241+F243+F245</f>
        <v>1216506</v>
      </c>
      <c r="G221" s="288">
        <f t="shared" si="64"/>
        <v>1027665</v>
      </c>
      <c r="H221" s="288">
        <f t="shared" si="64"/>
        <v>0</v>
      </c>
      <c r="I221" s="288">
        <f t="shared" si="64"/>
        <v>0</v>
      </c>
      <c r="J221" s="288">
        <f t="shared" si="64"/>
        <v>0</v>
      </c>
      <c r="K221" s="288">
        <f t="shared" si="64"/>
        <v>0</v>
      </c>
      <c r="L221" s="288">
        <f t="shared" si="64"/>
        <v>0</v>
      </c>
      <c r="M221" s="288">
        <f t="shared" si="64"/>
        <v>1212877</v>
      </c>
      <c r="N221" s="288">
        <f t="shared" si="64"/>
        <v>1025065</v>
      </c>
      <c r="O221" s="288">
        <f t="shared" si="64"/>
        <v>0</v>
      </c>
      <c r="P221" s="288">
        <f t="shared" si="64"/>
        <v>3629</v>
      </c>
      <c r="Q221" s="288">
        <f t="shared" si="64"/>
        <v>2600</v>
      </c>
    </row>
    <row r="222" spans="1:18" ht="26.25" x14ac:dyDescent="0.25">
      <c r="A222" s="309">
        <v>5175</v>
      </c>
      <c r="B222" s="283">
        <v>411000</v>
      </c>
      <c r="C222" s="287" t="s">
        <v>205</v>
      </c>
      <c r="D222" s="287"/>
      <c r="E222" s="288">
        <f>E223</f>
        <v>851785</v>
      </c>
      <c r="F222" s="288">
        <f t="shared" ref="F222:Q222" si="65">F223</f>
        <v>1010985</v>
      </c>
      <c r="G222" s="288">
        <f t="shared" si="65"/>
        <v>851785</v>
      </c>
      <c r="H222" s="288">
        <f t="shared" si="65"/>
        <v>0</v>
      </c>
      <c r="I222" s="288">
        <f t="shared" si="65"/>
        <v>0</v>
      </c>
      <c r="J222" s="288">
        <f t="shared" si="65"/>
        <v>0</v>
      </c>
      <c r="K222" s="288">
        <f t="shared" si="65"/>
        <v>0</v>
      </c>
      <c r="L222" s="288">
        <f t="shared" si="65"/>
        <v>0</v>
      </c>
      <c r="M222" s="288">
        <f t="shared" si="65"/>
        <v>1008061</v>
      </c>
      <c r="N222" s="288">
        <f t="shared" si="65"/>
        <v>849796</v>
      </c>
      <c r="O222" s="288">
        <f t="shared" si="65"/>
        <v>0</v>
      </c>
      <c r="P222" s="288">
        <f t="shared" si="65"/>
        <v>2924</v>
      </c>
      <c r="Q222" s="288">
        <f t="shared" si="65"/>
        <v>1989</v>
      </c>
    </row>
    <row r="223" spans="1:18" ht="26.25" x14ac:dyDescent="0.25">
      <c r="A223" s="327">
        <v>5176</v>
      </c>
      <c r="B223" s="294">
        <v>411100</v>
      </c>
      <c r="C223" s="295" t="s">
        <v>206</v>
      </c>
      <c r="D223" s="295"/>
      <c r="E223" s="277">
        <f>851823-26-11-1</f>
        <v>851785</v>
      </c>
      <c r="F223" s="277">
        <f>H223+K223+M223+P223</f>
        <v>1010985</v>
      </c>
      <c r="G223" s="311">
        <f>SUM(I223:Q223)-K223-M223-P223</f>
        <v>851785</v>
      </c>
      <c r="H223" s="311"/>
      <c r="I223" s="277"/>
      <c r="J223" s="277"/>
      <c r="K223" s="277"/>
      <c r="L223" s="277"/>
      <c r="M223" s="277">
        <v>1008061</v>
      </c>
      <c r="N223" s="277">
        <f>851785-1989</f>
        <v>849796</v>
      </c>
      <c r="O223" s="277"/>
      <c r="P223" s="277">
        <v>2924</v>
      </c>
      <c r="Q223" s="277">
        <v>1989</v>
      </c>
      <c r="R223" s="326">
        <f>M223+P223</f>
        <v>1010985</v>
      </c>
    </row>
    <row r="224" spans="1:18" ht="39" x14ac:dyDescent="0.25">
      <c r="A224" s="309">
        <v>5177</v>
      </c>
      <c r="B224" s="283">
        <v>412000</v>
      </c>
      <c r="C224" s="287" t="s">
        <v>207</v>
      </c>
      <c r="D224" s="287"/>
      <c r="E224" s="288">
        <f>SUM(E225:E227)</f>
        <v>141866</v>
      </c>
      <c r="F224" s="288">
        <f t="shared" ref="F224:Q224" si="66">SUM(F225:F227)</f>
        <v>153194</v>
      </c>
      <c r="G224" s="288">
        <f t="shared" si="66"/>
        <v>141866</v>
      </c>
      <c r="H224" s="288">
        <f t="shared" si="66"/>
        <v>0</v>
      </c>
      <c r="I224" s="288">
        <f t="shared" si="66"/>
        <v>0</v>
      </c>
      <c r="J224" s="288">
        <f t="shared" si="66"/>
        <v>0</v>
      </c>
      <c r="K224" s="288">
        <f t="shared" si="66"/>
        <v>0</v>
      </c>
      <c r="L224" s="288">
        <f t="shared" si="66"/>
        <v>0</v>
      </c>
      <c r="M224" s="288">
        <f t="shared" si="66"/>
        <v>152721</v>
      </c>
      <c r="N224" s="288">
        <f t="shared" si="66"/>
        <v>141535</v>
      </c>
      <c r="O224" s="288">
        <f t="shared" si="66"/>
        <v>0</v>
      </c>
      <c r="P224" s="288">
        <f t="shared" si="66"/>
        <v>473</v>
      </c>
      <c r="Q224" s="288">
        <f t="shared" si="66"/>
        <v>331</v>
      </c>
    </row>
    <row r="225" spans="1:22" ht="26.25" x14ac:dyDescent="0.25">
      <c r="A225" s="327">
        <v>5178</v>
      </c>
      <c r="B225" s="294">
        <v>412100</v>
      </c>
      <c r="C225" s="295" t="s">
        <v>208</v>
      </c>
      <c r="D225" s="295"/>
      <c r="E225" s="277">
        <f>97960+26</f>
        <v>97986</v>
      </c>
      <c r="F225" s="277">
        <f>H225+K225+M225+P225</f>
        <v>101128</v>
      </c>
      <c r="G225" s="311">
        <f>SUM(I225:Q225)-K225-M225-P225</f>
        <v>97986</v>
      </c>
      <c r="H225" s="311"/>
      <c r="I225" s="277"/>
      <c r="J225" s="277"/>
      <c r="K225" s="277"/>
      <c r="L225" s="277"/>
      <c r="M225" s="277">
        <v>100806</v>
      </c>
      <c r="N225" s="277">
        <f>97986-229</f>
        <v>97757</v>
      </c>
      <c r="O225" s="277"/>
      <c r="P225" s="277">
        <v>322</v>
      </c>
      <c r="Q225" s="277">
        <v>229</v>
      </c>
    </row>
    <row r="226" spans="1:22" ht="26.25" x14ac:dyDescent="0.25">
      <c r="A226" s="327">
        <v>5179</v>
      </c>
      <c r="B226" s="294">
        <v>412200</v>
      </c>
      <c r="C226" s="295" t="s">
        <v>209</v>
      </c>
      <c r="D226" s="295"/>
      <c r="E226" s="277">
        <f>43869+11</f>
        <v>43880</v>
      </c>
      <c r="F226" s="277">
        <f>H226+K226+M226+P226</f>
        <v>52066</v>
      </c>
      <c r="G226" s="311">
        <f>SUM(I226:Q226)-K226-M226-P226</f>
        <v>43880</v>
      </c>
      <c r="H226" s="311"/>
      <c r="I226" s="277"/>
      <c r="J226" s="277"/>
      <c r="K226" s="277"/>
      <c r="L226" s="277"/>
      <c r="M226" s="277">
        <v>51915</v>
      </c>
      <c r="N226" s="277">
        <f>43880-102</f>
        <v>43778</v>
      </c>
      <c r="O226" s="277"/>
      <c r="P226" s="277">
        <v>151</v>
      </c>
      <c r="Q226" s="277">
        <v>102</v>
      </c>
    </row>
    <row r="227" spans="1:22" hidden="1" x14ac:dyDescent="0.25">
      <c r="A227" s="327">
        <v>5180</v>
      </c>
      <c r="B227" s="294">
        <v>412300</v>
      </c>
      <c r="C227" s="295" t="s">
        <v>210</v>
      </c>
      <c r="D227" s="295"/>
      <c r="E227" s="277"/>
      <c r="F227" s="277"/>
      <c r="G227" s="311">
        <f t="shared" ref="G227:G288" si="67">SUM(I227:Q227)</f>
        <v>0</v>
      </c>
      <c r="H227" s="311"/>
      <c r="I227" s="277"/>
      <c r="J227" s="277"/>
      <c r="K227" s="277"/>
      <c r="L227" s="277"/>
      <c r="M227" s="277"/>
      <c r="N227" s="277"/>
      <c r="O227" s="277"/>
      <c r="P227" s="277"/>
      <c r="Q227" s="277"/>
    </row>
    <row r="228" spans="1:22" hidden="1" x14ac:dyDescent="0.25">
      <c r="A228" s="309">
        <v>5181</v>
      </c>
      <c r="B228" s="283">
        <v>413000</v>
      </c>
      <c r="C228" s="287" t="s">
        <v>211</v>
      </c>
      <c r="D228" s="287"/>
      <c r="E228" s="288">
        <f>E229</f>
        <v>0</v>
      </c>
      <c r="F228" s="288"/>
      <c r="G228" s="288">
        <f t="shared" si="67"/>
        <v>0</v>
      </c>
      <c r="H228" s="288"/>
      <c r="I228" s="288">
        <f t="shared" ref="I228:Q228" si="68">I229</f>
        <v>0</v>
      </c>
      <c r="J228" s="288">
        <f t="shared" si="68"/>
        <v>0</v>
      </c>
      <c r="K228" s="288"/>
      <c r="L228" s="288">
        <f t="shared" si="68"/>
        <v>0</v>
      </c>
      <c r="M228" s="288"/>
      <c r="N228" s="288">
        <f t="shared" si="68"/>
        <v>0</v>
      </c>
      <c r="O228" s="288">
        <f t="shared" si="68"/>
        <v>0</v>
      </c>
      <c r="P228" s="288"/>
      <c r="Q228" s="288">
        <f t="shared" si="68"/>
        <v>0</v>
      </c>
    </row>
    <row r="229" spans="1:22" hidden="1" x14ac:dyDescent="0.25">
      <c r="A229" s="327">
        <v>5182</v>
      </c>
      <c r="B229" s="294">
        <v>413100</v>
      </c>
      <c r="C229" s="295" t="s">
        <v>212</v>
      </c>
      <c r="D229" s="295"/>
      <c r="E229" s="277"/>
      <c r="F229" s="277"/>
      <c r="G229" s="311">
        <f t="shared" si="67"/>
        <v>0</v>
      </c>
      <c r="H229" s="311"/>
      <c r="I229" s="277"/>
      <c r="J229" s="277"/>
      <c r="K229" s="277"/>
      <c r="L229" s="277"/>
      <c r="M229" s="277"/>
      <c r="N229" s="277"/>
      <c r="O229" s="277"/>
      <c r="P229" s="277"/>
      <c r="Q229" s="277"/>
    </row>
    <row r="230" spans="1:22" ht="39" x14ac:dyDescent="0.25">
      <c r="A230" s="309">
        <v>5183</v>
      </c>
      <c r="B230" s="283">
        <v>414000</v>
      </c>
      <c r="C230" s="287" t="s">
        <v>213</v>
      </c>
      <c r="D230" s="287"/>
      <c r="E230" s="288">
        <f>SUM(E231:E238)</f>
        <v>6722</v>
      </c>
      <c r="F230" s="288">
        <f t="shared" ref="F230:Q230" si="69">SUM(F231:F238)</f>
        <v>9632</v>
      </c>
      <c r="G230" s="288">
        <f t="shared" si="69"/>
        <v>5239</v>
      </c>
      <c r="H230" s="288">
        <f t="shared" si="69"/>
        <v>0</v>
      </c>
      <c r="I230" s="288">
        <f t="shared" si="69"/>
        <v>0</v>
      </c>
      <c r="J230" s="288">
        <f t="shared" si="69"/>
        <v>0</v>
      </c>
      <c r="K230" s="288">
        <f t="shared" si="69"/>
        <v>0</v>
      </c>
      <c r="L230" s="288">
        <f t="shared" si="69"/>
        <v>0</v>
      </c>
      <c r="M230" s="288">
        <f t="shared" si="69"/>
        <v>9400</v>
      </c>
      <c r="N230" s="288">
        <f t="shared" si="69"/>
        <v>4959</v>
      </c>
      <c r="O230" s="288">
        <f t="shared" si="69"/>
        <v>0</v>
      </c>
      <c r="P230" s="288">
        <f t="shared" si="69"/>
        <v>232</v>
      </c>
      <c r="Q230" s="288">
        <f t="shared" si="69"/>
        <v>280</v>
      </c>
    </row>
    <row r="231" spans="1:22" ht="39" hidden="1" x14ac:dyDescent="0.25">
      <c r="A231" s="327">
        <v>5184</v>
      </c>
      <c r="B231" s="294">
        <v>414100</v>
      </c>
      <c r="C231" s="295" t="s">
        <v>214</v>
      </c>
      <c r="D231" s="295"/>
      <c r="E231" s="277"/>
      <c r="F231" s="277"/>
      <c r="G231" s="311">
        <f t="shared" si="67"/>
        <v>0</v>
      </c>
      <c r="H231" s="311"/>
      <c r="I231" s="277"/>
      <c r="J231" s="277"/>
      <c r="K231" s="277"/>
      <c r="L231" s="277"/>
      <c r="M231" s="277"/>
      <c r="N231" s="277"/>
      <c r="O231" s="277"/>
      <c r="P231" s="277"/>
      <c r="Q231" s="277"/>
    </row>
    <row r="232" spans="1:22" ht="26.25" hidden="1" x14ac:dyDescent="0.25">
      <c r="A232" s="327">
        <v>5185</v>
      </c>
      <c r="B232" s="294">
        <v>414200</v>
      </c>
      <c r="C232" s="295" t="s">
        <v>215</v>
      </c>
      <c r="D232" s="295"/>
      <c r="E232" s="277"/>
      <c r="F232" s="277"/>
      <c r="G232" s="311">
        <f t="shared" si="67"/>
        <v>0</v>
      </c>
      <c r="H232" s="311"/>
      <c r="I232" s="277"/>
      <c r="J232" s="277"/>
      <c r="K232" s="277"/>
      <c r="L232" s="277"/>
      <c r="M232" s="277"/>
      <c r="N232" s="277"/>
      <c r="O232" s="277"/>
      <c r="P232" s="277"/>
      <c r="Q232" s="277"/>
    </row>
    <row r="233" spans="1:22" x14ac:dyDescent="0.25">
      <c r="A233" s="327">
        <v>5186</v>
      </c>
      <c r="B233" s="294">
        <v>414300</v>
      </c>
      <c r="C233" s="295" t="s">
        <v>216</v>
      </c>
      <c r="D233" s="295"/>
      <c r="E233" s="277">
        <v>5351</v>
      </c>
      <c r="F233" s="277">
        <f>H233+K233+M233+P233</f>
        <v>8432</v>
      </c>
      <c r="G233" s="311">
        <f>SUM(I233:Q233)-K233-M233-P233</f>
        <v>3934</v>
      </c>
      <c r="H233" s="311"/>
      <c r="I233" s="277"/>
      <c r="J233" s="277"/>
      <c r="K233" s="277"/>
      <c r="L233" s="277"/>
      <c r="M233" s="277">
        <v>8200</v>
      </c>
      <c r="N233" s="277">
        <v>3654</v>
      </c>
      <c r="O233" s="277"/>
      <c r="P233" s="277">
        <v>232</v>
      </c>
      <c r="Q233" s="277">
        <v>280</v>
      </c>
    </row>
    <row r="234" spans="1:22" ht="15" hidden="1" customHeight="1" x14ac:dyDescent="0.25">
      <c r="A234" s="656" t="s">
        <v>0</v>
      </c>
      <c r="B234" s="657" t="s">
        <v>1</v>
      </c>
      <c r="C234" s="656" t="s">
        <v>2</v>
      </c>
      <c r="D234" s="308"/>
      <c r="E234" s="656" t="s">
        <v>217</v>
      </c>
      <c r="F234" s="308"/>
      <c r="G234" s="658" t="s">
        <v>198</v>
      </c>
      <c r="H234" s="658"/>
      <c r="I234" s="659"/>
      <c r="J234" s="659"/>
      <c r="K234" s="659"/>
      <c r="L234" s="659"/>
      <c r="M234" s="659"/>
      <c r="N234" s="659"/>
      <c r="O234" s="659"/>
      <c r="P234" s="659"/>
      <c r="Q234" s="659"/>
    </row>
    <row r="235" spans="1:22" ht="15" hidden="1" customHeight="1" x14ac:dyDescent="0.25">
      <c r="A235" s="656"/>
      <c r="B235" s="657"/>
      <c r="C235" s="656"/>
      <c r="D235" s="308"/>
      <c r="E235" s="656"/>
      <c r="F235" s="308"/>
      <c r="G235" s="658" t="s">
        <v>199</v>
      </c>
      <c r="H235" s="283"/>
      <c r="I235" s="658" t="s">
        <v>200</v>
      </c>
      <c r="J235" s="659"/>
      <c r="K235" s="659"/>
      <c r="L235" s="659"/>
      <c r="M235" s="659"/>
      <c r="N235" s="659"/>
      <c r="O235" s="658" t="s">
        <v>7</v>
      </c>
      <c r="P235" s="283"/>
      <c r="Q235" s="658" t="s">
        <v>8</v>
      </c>
    </row>
    <row r="236" spans="1:22" ht="39" hidden="1" customHeight="1" x14ac:dyDescent="0.25">
      <c r="A236" s="656"/>
      <c r="B236" s="657"/>
      <c r="C236" s="656"/>
      <c r="D236" s="308"/>
      <c r="E236" s="656"/>
      <c r="F236" s="308"/>
      <c r="G236" s="659"/>
      <c r="H236" s="328"/>
      <c r="I236" s="283" t="s">
        <v>201</v>
      </c>
      <c r="J236" s="283" t="s">
        <v>10</v>
      </c>
      <c r="K236" s="283"/>
      <c r="L236" s="283" t="s">
        <v>11</v>
      </c>
      <c r="M236" s="283"/>
      <c r="N236" s="283" t="s">
        <v>12</v>
      </c>
      <c r="O236" s="659"/>
      <c r="P236" s="328"/>
      <c r="Q236" s="659"/>
    </row>
    <row r="237" spans="1:22" ht="15" hidden="1" customHeight="1" x14ac:dyDescent="0.25">
      <c r="A237" s="305" t="s">
        <v>18</v>
      </c>
      <c r="B237" s="305" t="s">
        <v>19</v>
      </c>
      <c r="C237" s="305" t="s">
        <v>20</v>
      </c>
      <c r="D237" s="305"/>
      <c r="E237" s="305" t="s">
        <v>21</v>
      </c>
      <c r="F237" s="305"/>
      <c r="G237" s="305" t="s">
        <v>22</v>
      </c>
      <c r="H237" s="305"/>
      <c r="I237" s="305" t="s">
        <v>23</v>
      </c>
      <c r="J237" s="305" t="s">
        <v>24</v>
      </c>
      <c r="K237" s="305"/>
      <c r="L237" s="305" t="s">
        <v>25</v>
      </c>
      <c r="M237" s="305"/>
      <c r="N237" s="305" t="s">
        <v>26</v>
      </c>
      <c r="O237" s="305" t="s">
        <v>27</v>
      </c>
      <c r="P237" s="305"/>
      <c r="Q237" s="305" t="s">
        <v>28</v>
      </c>
    </row>
    <row r="238" spans="1:22" ht="54" x14ac:dyDescent="0.4">
      <c r="A238" s="327">
        <v>5187</v>
      </c>
      <c r="B238" s="294">
        <v>414400</v>
      </c>
      <c r="C238" s="295" t="s">
        <v>218</v>
      </c>
      <c r="D238" s="295"/>
      <c r="E238" s="277">
        <v>1371</v>
      </c>
      <c r="F238" s="277">
        <f>H238+K238+M238+P238</f>
        <v>1200</v>
      </c>
      <c r="G238" s="311">
        <f>SUM(I238:Q238)-K238-M238-P238</f>
        <v>1305</v>
      </c>
      <c r="H238" s="311"/>
      <c r="I238" s="277"/>
      <c r="J238" s="277"/>
      <c r="K238" s="277"/>
      <c r="L238" s="277"/>
      <c r="M238" s="277">
        <v>1200</v>
      </c>
      <c r="N238" s="277">
        <v>1305</v>
      </c>
      <c r="O238" s="277"/>
      <c r="P238" s="277"/>
      <c r="Q238" s="277"/>
      <c r="V238" s="346" t="s">
        <v>538</v>
      </c>
    </row>
    <row r="239" spans="1:22" ht="26.25" x14ac:dyDescent="0.25">
      <c r="A239" s="309">
        <v>5188</v>
      </c>
      <c r="B239" s="283">
        <v>415000</v>
      </c>
      <c r="C239" s="287" t="s">
        <v>219</v>
      </c>
      <c r="D239" s="287"/>
      <c r="E239" s="288">
        <f>E240</f>
        <v>19840</v>
      </c>
      <c r="F239" s="288">
        <f t="shared" ref="F239:Q239" si="70">F240</f>
        <v>28788</v>
      </c>
      <c r="G239" s="288">
        <f t="shared" si="70"/>
        <v>19632</v>
      </c>
      <c r="H239" s="288">
        <f t="shared" si="70"/>
        <v>0</v>
      </c>
      <c r="I239" s="288">
        <f t="shared" si="70"/>
        <v>0</v>
      </c>
      <c r="J239" s="288">
        <f t="shared" si="70"/>
        <v>0</v>
      </c>
      <c r="K239" s="288">
        <f t="shared" si="70"/>
        <v>0</v>
      </c>
      <c r="L239" s="288">
        <f t="shared" si="70"/>
        <v>0</v>
      </c>
      <c r="M239" s="288">
        <f t="shared" si="70"/>
        <v>28788</v>
      </c>
      <c r="N239" s="288">
        <f t="shared" si="70"/>
        <v>19632</v>
      </c>
      <c r="O239" s="288">
        <f t="shared" si="70"/>
        <v>0</v>
      </c>
      <c r="P239" s="288">
        <f t="shared" si="70"/>
        <v>0</v>
      </c>
      <c r="Q239" s="288">
        <f t="shared" si="70"/>
        <v>0</v>
      </c>
    </row>
    <row r="240" spans="1:22" x14ac:dyDescent="0.25">
      <c r="A240" s="327">
        <v>5189</v>
      </c>
      <c r="B240" s="294">
        <v>415100</v>
      </c>
      <c r="C240" s="295" t="s">
        <v>220</v>
      </c>
      <c r="D240" s="295"/>
      <c r="E240" s="277">
        <v>19840</v>
      </c>
      <c r="F240" s="277">
        <f>H240+K240+M240+P240</f>
        <v>28788</v>
      </c>
      <c r="G240" s="311">
        <f>SUM(I240:Q240)-K240-M240-P240</f>
        <v>19632</v>
      </c>
      <c r="H240" s="311"/>
      <c r="I240" s="277"/>
      <c r="J240" s="277"/>
      <c r="K240" s="277"/>
      <c r="L240" s="277"/>
      <c r="M240" s="277">
        <v>28788</v>
      </c>
      <c r="N240" s="277">
        <v>19632</v>
      </c>
      <c r="O240" s="277"/>
      <c r="P240" s="277"/>
      <c r="Q240" s="277"/>
    </row>
    <row r="241" spans="1:18" ht="39" x14ac:dyDescent="0.25">
      <c r="A241" s="309">
        <v>5190</v>
      </c>
      <c r="B241" s="283">
        <v>416000</v>
      </c>
      <c r="C241" s="287" t="s">
        <v>221</v>
      </c>
      <c r="D241" s="287"/>
      <c r="E241" s="288">
        <f>E242</f>
        <v>9442</v>
      </c>
      <c r="F241" s="288">
        <f t="shared" ref="F241:Q241" si="71">F242</f>
        <v>13907</v>
      </c>
      <c r="G241" s="288">
        <f t="shared" si="71"/>
        <v>9143</v>
      </c>
      <c r="H241" s="288">
        <f t="shared" si="71"/>
        <v>0</v>
      </c>
      <c r="I241" s="288">
        <f t="shared" si="71"/>
        <v>0</v>
      </c>
      <c r="J241" s="288">
        <f t="shared" si="71"/>
        <v>0</v>
      </c>
      <c r="K241" s="288">
        <f t="shared" si="71"/>
        <v>0</v>
      </c>
      <c r="L241" s="288">
        <f t="shared" si="71"/>
        <v>0</v>
      </c>
      <c r="M241" s="288">
        <f t="shared" si="71"/>
        <v>13907</v>
      </c>
      <c r="N241" s="288">
        <f t="shared" si="71"/>
        <v>9143</v>
      </c>
      <c r="O241" s="288">
        <f t="shared" si="71"/>
        <v>0</v>
      </c>
      <c r="P241" s="288">
        <f t="shared" si="71"/>
        <v>0</v>
      </c>
      <c r="Q241" s="288">
        <f t="shared" si="71"/>
        <v>0</v>
      </c>
    </row>
    <row r="242" spans="1:18" ht="26.25" x14ac:dyDescent="0.25">
      <c r="A242" s="327">
        <v>5191</v>
      </c>
      <c r="B242" s="294">
        <v>416100</v>
      </c>
      <c r="C242" s="295" t="s">
        <v>222</v>
      </c>
      <c r="D242" s="295"/>
      <c r="E242" s="277">
        <v>9442</v>
      </c>
      <c r="F242" s="277">
        <f>H242+K242+M242+P242</f>
        <v>13907</v>
      </c>
      <c r="G242" s="311">
        <f>SUM(I242:Q242)-K242-M242-P242</f>
        <v>9143</v>
      </c>
      <c r="H242" s="311"/>
      <c r="I242" s="277"/>
      <c r="J242" s="277"/>
      <c r="K242" s="277"/>
      <c r="L242" s="277"/>
      <c r="M242" s="277">
        <v>13907</v>
      </c>
      <c r="N242" s="277">
        <v>9143</v>
      </c>
      <c r="O242" s="277"/>
      <c r="P242" s="277"/>
      <c r="Q242" s="277"/>
    </row>
    <row r="243" spans="1:18" ht="26.25" hidden="1" x14ac:dyDescent="0.25">
      <c r="A243" s="309">
        <v>5192</v>
      </c>
      <c r="B243" s="283">
        <v>417000</v>
      </c>
      <c r="C243" s="287" t="s">
        <v>223</v>
      </c>
      <c r="D243" s="287"/>
      <c r="E243" s="288">
        <f>E244</f>
        <v>0</v>
      </c>
      <c r="F243" s="288"/>
      <c r="G243" s="288">
        <f t="shared" si="67"/>
        <v>0</v>
      </c>
      <c r="H243" s="288"/>
      <c r="I243" s="288">
        <f t="shared" ref="I243:Q243" si="72">I244</f>
        <v>0</v>
      </c>
      <c r="J243" s="288">
        <f t="shared" si="72"/>
        <v>0</v>
      </c>
      <c r="K243" s="288"/>
      <c r="L243" s="288">
        <f t="shared" si="72"/>
        <v>0</v>
      </c>
      <c r="M243" s="288"/>
      <c r="N243" s="288">
        <f t="shared" si="72"/>
        <v>0</v>
      </c>
      <c r="O243" s="288">
        <f t="shared" si="72"/>
        <v>0</v>
      </c>
      <c r="P243" s="288"/>
      <c r="Q243" s="288">
        <f t="shared" si="72"/>
        <v>0</v>
      </c>
    </row>
    <row r="244" spans="1:18" hidden="1" x14ac:dyDescent="0.25">
      <c r="A244" s="327">
        <v>5193</v>
      </c>
      <c r="B244" s="294">
        <v>417100</v>
      </c>
      <c r="C244" s="295" t="s">
        <v>224</v>
      </c>
      <c r="D244" s="295"/>
      <c r="E244" s="277"/>
      <c r="F244" s="277"/>
      <c r="G244" s="311">
        <f t="shared" si="67"/>
        <v>0</v>
      </c>
      <c r="H244" s="311"/>
      <c r="I244" s="277"/>
      <c r="J244" s="277"/>
      <c r="K244" s="277"/>
      <c r="L244" s="277"/>
      <c r="M244" s="277"/>
      <c r="N244" s="277"/>
      <c r="O244" s="277"/>
      <c r="P244" s="277"/>
      <c r="Q244" s="277"/>
    </row>
    <row r="245" spans="1:18" hidden="1" x14ac:dyDescent="0.25">
      <c r="A245" s="309">
        <v>5194</v>
      </c>
      <c r="B245" s="283">
        <v>418000</v>
      </c>
      <c r="C245" s="287" t="s">
        <v>225</v>
      </c>
      <c r="D245" s="287"/>
      <c r="E245" s="288">
        <f>E246</f>
        <v>0</v>
      </c>
      <c r="F245" s="288"/>
      <c r="G245" s="288">
        <f t="shared" si="67"/>
        <v>0</v>
      </c>
      <c r="H245" s="288"/>
      <c r="I245" s="288">
        <f t="shared" ref="I245:Q245" si="73">I246</f>
        <v>0</v>
      </c>
      <c r="J245" s="288">
        <f t="shared" si="73"/>
        <v>0</v>
      </c>
      <c r="K245" s="288"/>
      <c r="L245" s="288">
        <f t="shared" si="73"/>
        <v>0</v>
      </c>
      <c r="M245" s="288"/>
      <c r="N245" s="288">
        <f t="shared" si="73"/>
        <v>0</v>
      </c>
      <c r="O245" s="288">
        <f t="shared" si="73"/>
        <v>0</v>
      </c>
      <c r="P245" s="288"/>
      <c r="Q245" s="288">
        <f t="shared" si="73"/>
        <v>0</v>
      </c>
    </row>
    <row r="246" spans="1:18" hidden="1" x14ac:dyDescent="0.25">
      <c r="A246" s="327">
        <v>5195</v>
      </c>
      <c r="B246" s="294">
        <v>418100</v>
      </c>
      <c r="C246" s="295" t="s">
        <v>226</v>
      </c>
      <c r="D246" s="295"/>
      <c r="E246" s="277"/>
      <c r="F246" s="277"/>
      <c r="G246" s="311">
        <f t="shared" si="67"/>
        <v>0</v>
      </c>
      <c r="H246" s="311"/>
      <c r="I246" s="277"/>
      <c r="J246" s="277"/>
      <c r="K246" s="277"/>
      <c r="L246" s="277"/>
      <c r="M246" s="277"/>
      <c r="N246" s="277"/>
      <c r="O246" s="277"/>
      <c r="P246" s="277"/>
      <c r="Q246" s="277"/>
    </row>
    <row r="247" spans="1:18" ht="39" x14ac:dyDescent="0.25">
      <c r="A247" s="309">
        <v>5196</v>
      </c>
      <c r="B247" s="283">
        <v>420000</v>
      </c>
      <c r="C247" s="287" t="s">
        <v>227</v>
      </c>
      <c r="D247" s="287"/>
      <c r="E247" s="288">
        <f t="shared" ref="E247:Q247" si="74">E248+E256+E262+E275+E283+E286</f>
        <v>427521</v>
      </c>
      <c r="F247" s="288">
        <f t="shared" si="74"/>
        <v>384830</v>
      </c>
      <c r="G247" s="288">
        <f t="shared" si="74"/>
        <v>99459</v>
      </c>
      <c r="H247" s="288">
        <f t="shared" si="74"/>
        <v>1000</v>
      </c>
      <c r="I247" s="288">
        <f t="shared" si="74"/>
        <v>127</v>
      </c>
      <c r="J247" s="288">
        <f t="shared" si="74"/>
        <v>0</v>
      </c>
      <c r="K247" s="288">
        <f t="shared" si="74"/>
        <v>0</v>
      </c>
      <c r="L247" s="288">
        <f t="shared" si="74"/>
        <v>1273</v>
      </c>
      <c r="M247" s="288">
        <f t="shared" si="74"/>
        <v>376377</v>
      </c>
      <c r="N247" s="288">
        <f t="shared" si="74"/>
        <v>93155</v>
      </c>
      <c r="O247" s="288">
        <f t="shared" si="74"/>
        <v>0</v>
      </c>
      <c r="P247" s="288">
        <f t="shared" si="74"/>
        <v>7453</v>
      </c>
      <c r="Q247" s="288">
        <f t="shared" si="74"/>
        <v>4904</v>
      </c>
    </row>
    <row r="248" spans="1:18" ht="26.25" x14ac:dyDescent="0.25">
      <c r="A248" s="309">
        <v>5197</v>
      </c>
      <c r="B248" s="283">
        <v>421000</v>
      </c>
      <c r="C248" s="287" t="s">
        <v>228</v>
      </c>
      <c r="D248" s="287"/>
      <c r="E248" s="288">
        <f>SUM(E249:E255)</f>
        <v>100067</v>
      </c>
      <c r="F248" s="288">
        <f t="shared" ref="F248:Q248" si="75">SUM(F249:F255)</f>
        <v>117452</v>
      </c>
      <c r="G248" s="288">
        <f t="shared" si="75"/>
        <v>80998</v>
      </c>
      <c r="H248" s="288">
        <f t="shared" si="75"/>
        <v>0</v>
      </c>
      <c r="I248" s="288">
        <f t="shared" si="75"/>
        <v>0</v>
      </c>
      <c r="J248" s="288">
        <f t="shared" si="75"/>
        <v>0</v>
      </c>
      <c r="K248" s="288">
        <f t="shared" si="75"/>
        <v>0</v>
      </c>
      <c r="L248" s="288">
        <f t="shared" si="75"/>
        <v>0</v>
      </c>
      <c r="M248" s="288">
        <f t="shared" si="75"/>
        <v>116322</v>
      </c>
      <c r="N248" s="288">
        <f t="shared" si="75"/>
        <v>80545</v>
      </c>
      <c r="O248" s="288">
        <f t="shared" si="75"/>
        <v>0</v>
      </c>
      <c r="P248" s="288">
        <f t="shared" si="75"/>
        <v>1130</v>
      </c>
      <c r="Q248" s="288">
        <f t="shared" si="75"/>
        <v>453</v>
      </c>
    </row>
    <row r="249" spans="1:18" ht="26.25" x14ac:dyDescent="0.25">
      <c r="A249" s="327">
        <v>5198</v>
      </c>
      <c r="B249" s="294">
        <v>421100</v>
      </c>
      <c r="C249" s="295" t="s">
        <v>229</v>
      </c>
      <c r="D249" s="295" t="s">
        <v>463</v>
      </c>
      <c r="E249" s="277">
        <v>1359</v>
      </c>
      <c r="F249" s="277">
        <f>H249+K249+M249+P249</f>
        <v>1580</v>
      </c>
      <c r="G249" s="311">
        <f>SUM(I249:Q249)-K249-M249-P249</f>
        <v>1300</v>
      </c>
      <c r="H249" s="311"/>
      <c r="I249" s="277"/>
      <c r="J249" s="277"/>
      <c r="K249" s="277"/>
      <c r="L249" s="277"/>
      <c r="M249" s="277">
        <v>1500</v>
      </c>
      <c r="N249" s="277">
        <v>1243</v>
      </c>
      <c r="O249" s="277"/>
      <c r="P249" s="277">
        <v>80</v>
      </c>
      <c r="Q249" s="277">
        <v>57</v>
      </c>
    </row>
    <row r="250" spans="1:18" x14ac:dyDescent="0.25">
      <c r="A250" s="327">
        <v>5199</v>
      </c>
      <c r="B250" s="294">
        <v>421200</v>
      </c>
      <c r="C250" s="295" t="s">
        <v>230</v>
      </c>
      <c r="D250" s="295" t="s">
        <v>468</v>
      </c>
      <c r="E250" s="277">
        <v>83306</v>
      </c>
      <c r="F250" s="277">
        <f>H250+K250+M250+P250</f>
        <v>98556</v>
      </c>
      <c r="G250" s="311">
        <f t="shared" ref="G250:G253" si="76">SUM(I250:Q250)-K250-M250-P250</f>
        <v>65508</v>
      </c>
      <c r="H250" s="311"/>
      <c r="I250" s="277"/>
      <c r="J250" s="277"/>
      <c r="K250" s="277"/>
      <c r="L250" s="277"/>
      <c r="M250" s="277">
        <v>98306</v>
      </c>
      <c r="N250" s="277">
        <v>65188</v>
      </c>
      <c r="O250" s="277"/>
      <c r="P250" s="277">
        <v>250</v>
      </c>
      <c r="Q250" s="277">
        <v>320</v>
      </c>
    </row>
    <row r="251" spans="1:18" x14ac:dyDescent="0.25">
      <c r="A251" s="327">
        <v>5200</v>
      </c>
      <c r="B251" s="294">
        <v>421300</v>
      </c>
      <c r="C251" s="295" t="s">
        <v>231</v>
      </c>
      <c r="D251" s="295" t="s">
        <v>463</v>
      </c>
      <c r="E251" s="277">
        <v>10436</v>
      </c>
      <c r="F251" s="277">
        <f>H251+K251+M251+P251</f>
        <v>12100</v>
      </c>
      <c r="G251" s="311">
        <f t="shared" si="76"/>
        <v>9465</v>
      </c>
      <c r="H251" s="311"/>
      <c r="I251" s="277"/>
      <c r="J251" s="277"/>
      <c r="K251" s="277"/>
      <c r="L251" s="277"/>
      <c r="M251" s="277">
        <v>11500</v>
      </c>
      <c r="N251" s="277">
        <v>9410</v>
      </c>
      <c r="O251" s="277"/>
      <c r="P251" s="277">
        <v>600</v>
      </c>
      <c r="Q251" s="277">
        <v>55</v>
      </c>
    </row>
    <row r="252" spans="1:18" x14ac:dyDescent="0.25">
      <c r="A252" s="327">
        <v>5201</v>
      </c>
      <c r="B252" s="294">
        <v>421400</v>
      </c>
      <c r="C252" s="295" t="s">
        <v>232</v>
      </c>
      <c r="D252" s="295" t="s">
        <v>463</v>
      </c>
      <c r="E252" s="277">
        <v>2250</v>
      </c>
      <c r="F252" s="277">
        <f>H252+K252+M252+P252</f>
        <v>2016</v>
      </c>
      <c r="G252" s="311">
        <f t="shared" si="76"/>
        <v>2113</v>
      </c>
      <c r="H252" s="311"/>
      <c r="I252" s="277"/>
      <c r="J252" s="277"/>
      <c r="K252" s="277"/>
      <c r="L252" s="277"/>
      <c r="M252" s="277">
        <v>2016</v>
      </c>
      <c r="N252" s="277">
        <v>2113</v>
      </c>
      <c r="O252" s="277"/>
      <c r="P252" s="277"/>
      <c r="Q252" s="277"/>
      <c r="R252" s="281">
        <v>1092</v>
      </c>
    </row>
    <row r="253" spans="1:18" x14ac:dyDescent="0.25">
      <c r="A253" s="327">
        <v>5202</v>
      </c>
      <c r="B253" s="294">
        <v>421500</v>
      </c>
      <c r="C253" s="295" t="s">
        <v>233</v>
      </c>
      <c r="D253" s="295" t="s">
        <v>463</v>
      </c>
      <c r="E253" s="277">
        <v>2716</v>
      </c>
      <c r="F253" s="277">
        <f>H253+K253+M253+P253</f>
        <v>3200</v>
      </c>
      <c r="G253" s="311">
        <f t="shared" si="76"/>
        <v>2612</v>
      </c>
      <c r="H253" s="311"/>
      <c r="I253" s="277"/>
      <c r="J253" s="277"/>
      <c r="K253" s="277"/>
      <c r="L253" s="277"/>
      <c r="M253" s="277">
        <v>3000</v>
      </c>
      <c r="N253" s="277">
        <v>2591</v>
      </c>
      <c r="O253" s="277"/>
      <c r="P253" s="277">
        <v>200</v>
      </c>
      <c r="Q253" s="277">
        <v>21</v>
      </c>
      <c r="R253" s="281">
        <v>851</v>
      </c>
    </row>
    <row r="254" spans="1:18" hidden="1" x14ac:dyDescent="0.25">
      <c r="A254" s="327">
        <v>5203</v>
      </c>
      <c r="B254" s="294">
        <v>421600</v>
      </c>
      <c r="C254" s="295" t="s">
        <v>234</v>
      </c>
      <c r="D254" s="295"/>
      <c r="E254" s="277"/>
      <c r="F254" s="277"/>
      <c r="G254" s="311">
        <f t="shared" si="67"/>
        <v>0</v>
      </c>
      <c r="H254" s="311"/>
      <c r="I254" s="277"/>
      <c r="J254" s="277"/>
      <c r="K254" s="277"/>
      <c r="L254" s="277"/>
      <c r="M254" s="277"/>
      <c r="N254" s="277"/>
      <c r="O254" s="277"/>
      <c r="P254" s="277"/>
      <c r="Q254" s="277"/>
    </row>
    <row r="255" spans="1:18" hidden="1" x14ac:dyDescent="0.25">
      <c r="A255" s="327">
        <v>5204</v>
      </c>
      <c r="B255" s="294">
        <v>421900</v>
      </c>
      <c r="C255" s="295" t="s">
        <v>235</v>
      </c>
      <c r="D255" s="295"/>
      <c r="E255" s="277"/>
      <c r="F255" s="277"/>
      <c r="G255" s="311">
        <f t="shared" si="67"/>
        <v>0</v>
      </c>
      <c r="H255" s="311"/>
      <c r="I255" s="277"/>
      <c r="J255" s="277"/>
      <c r="K255" s="277"/>
      <c r="L255" s="277"/>
      <c r="M255" s="277"/>
      <c r="N255" s="277"/>
      <c r="O255" s="277"/>
      <c r="P255" s="277"/>
      <c r="Q255" s="277"/>
    </row>
    <row r="256" spans="1:18" ht="26.25" x14ac:dyDescent="0.25">
      <c r="A256" s="309">
        <v>5205</v>
      </c>
      <c r="B256" s="283">
        <v>422000</v>
      </c>
      <c r="C256" s="287" t="s">
        <v>236</v>
      </c>
      <c r="D256" s="287"/>
      <c r="E256" s="288">
        <f>SUM(E257:E261)</f>
        <v>634</v>
      </c>
      <c r="F256" s="288">
        <f t="shared" ref="F256:Q256" si="77">SUM(F257:F261)</f>
        <v>624</v>
      </c>
      <c r="G256" s="288">
        <f t="shared" si="77"/>
        <v>451</v>
      </c>
      <c r="H256" s="288">
        <f t="shared" si="77"/>
        <v>0</v>
      </c>
      <c r="I256" s="288">
        <f t="shared" si="77"/>
        <v>0</v>
      </c>
      <c r="J256" s="288">
        <f t="shared" si="77"/>
        <v>0</v>
      </c>
      <c r="K256" s="288">
        <f t="shared" si="77"/>
        <v>0</v>
      </c>
      <c r="L256" s="288">
        <f t="shared" si="77"/>
        <v>0</v>
      </c>
      <c r="M256" s="288">
        <f t="shared" si="77"/>
        <v>184</v>
      </c>
      <c r="N256" s="288">
        <f t="shared" si="77"/>
        <v>0</v>
      </c>
      <c r="O256" s="288">
        <f t="shared" si="77"/>
        <v>0</v>
      </c>
      <c r="P256" s="288">
        <f t="shared" si="77"/>
        <v>440</v>
      </c>
      <c r="Q256" s="288">
        <f t="shared" si="77"/>
        <v>451</v>
      </c>
    </row>
    <row r="257" spans="1:17" ht="26.25" x14ac:dyDescent="0.25">
      <c r="A257" s="327">
        <v>5206</v>
      </c>
      <c r="B257" s="294">
        <v>422100</v>
      </c>
      <c r="C257" s="295" t="s">
        <v>237</v>
      </c>
      <c r="D257" s="295" t="s">
        <v>463</v>
      </c>
      <c r="E257" s="277">
        <v>634</v>
      </c>
      <c r="F257" s="277">
        <f>H257+K257+M257+P257</f>
        <v>624</v>
      </c>
      <c r="G257" s="311">
        <f t="shared" ref="G257" si="78">SUM(I257:Q257)-K257-M257-P257</f>
        <v>451</v>
      </c>
      <c r="H257" s="311"/>
      <c r="I257" s="277"/>
      <c r="J257" s="277"/>
      <c r="K257" s="277"/>
      <c r="L257" s="277"/>
      <c r="M257" s="277">
        <v>184</v>
      </c>
      <c r="N257" s="277"/>
      <c r="O257" s="277"/>
      <c r="P257" s="277">
        <v>440</v>
      </c>
      <c r="Q257" s="277">
        <v>451</v>
      </c>
    </row>
    <row r="258" spans="1:17" ht="26.25" hidden="1" x14ac:dyDescent="0.25">
      <c r="A258" s="327">
        <v>5207</v>
      </c>
      <c r="B258" s="294">
        <v>422200</v>
      </c>
      <c r="C258" s="295" t="s">
        <v>238</v>
      </c>
      <c r="D258" s="295"/>
      <c r="E258" s="277"/>
      <c r="F258" s="277"/>
      <c r="G258" s="311">
        <f t="shared" si="67"/>
        <v>0</v>
      </c>
      <c r="H258" s="311"/>
      <c r="I258" s="277"/>
      <c r="J258" s="277"/>
      <c r="K258" s="277"/>
      <c r="L258" s="277"/>
      <c r="M258" s="277"/>
      <c r="N258" s="277"/>
      <c r="O258" s="277"/>
      <c r="P258" s="277"/>
      <c r="Q258" s="277"/>
    </row>
    <row r="259" spans="1:17" ht="26.25" hidden="1" x14ac:dyDescent="0.25">
      <c r="A259" s="327">
        <v>5208</v>
      </c>
      <c r="B259" s="294">
        <v>422300</v>
      </c>
      <c r="C259" s="295" t="s">
        <v>239</v>
      </c>
      <c r="D259" s="295"/>
      <c r="E259" s="277"/>
      <c r="F259" s="277"/>
      <c r="G259" s="311">
        <f t="shared" si="67"/>
        <v>0</v>
      </c>
      <c r="H259" s="311"/>
      <c r="I259" s="277"/>
      <c r="J259" s="277"/>
      <c r="K259" s="277"/>
      <c r="L259" s="277"/>
      <c r="M259" s="277"/>
      <c r="N259" s="277"/>
      <c r="O259" s="277"/>
      <c r="P259" s="277"/>
      <c r="Q259" s="277"/>
    </row>
    <row r="260" spans="1:17" hidden="1" x14ac:dyDescent="0.25">
      <c r="A260" s="327">
        <v>5209</v>
      </c>
      <c r="B260" s="294">
        <v>422400</v>
      </c>
      <c r="C260" s="295" t="s">
        <v>240</v>
      </c>
      <c r="D260" s="295"/>
      <c r="E260" s="277"/>
      <c r="F260" s="277"/>
      <c r="G260" s="311">
        <f t="shared" si="67"/>
        <v>0</v>
      </c>
      <c r="H260" s="311"/>
      <c r="I260" s="277"/>
      <c r="J260" s="277"/>
      <c r="K260" s="277"/>
      <c r="L260" s="277"/>
      <c r="M260" s="277"/>
      <c r="N260" s="277"/>
      <c r="O260" s="277"/>
      <c r="P260" s="277"/>
      <c r="Q260" s="277"/>
    </row>
    <row r="261" spans="1:17" hidden="1" x14ac:dyDescent="0.25">
      <c r="A261" s="327">
        <v>5210</v>
      </c>
      <c r="B261" s="294">
        <v>422900</v>
      </c>
      <c r="C261" s="295" t="s">
        <v>241</v>
      </c>
      <c r="D261" s="295"/>
      <c r="E261" s="277"/>
      <c r="F261" s="277"/>
      <c r="G261" s="311">
        <f t="shared" si="67"/>
        <v>0</v>
      </c>
      <c r="H261" s="311"/>
      <c r="I261" s="277"/>
      <c r="J261" s="277"/>
      <c r="K261" s="277"/>
      <c r="L261" s="277"/>
      <c r="M261" s="277"/>
      <c r="N261" s="277"/>
      <c r="O261" s="277"/>
      <c r="P261" s="277"/>
      <c r="Q261" s="277"/>
    </row>
    <row r="262" spans="1:17" ht="26.25" x14ac:dyDescent="0.25">
      <c r="A262" s="309">
        <v>5211</v>
      </c>
      <c r="B262" s="283">
        <v>423000</v>
      </c>
      <c r="C262" s="287" t="s">
        <v>242</v>
      </c>
      <c r="D262" s="287"/>
      <c r="E262" s="288">
        <f>SUM(E263:E274)</f>
        <v>8328</v>
      </c>
      <c r="F262" s="288">
        <f t="shared" ref="F262:Q262" si="79">SUM(F263:F274)</f>
        <v>9845</v>
      </c>
      <c r="G262" s="288">
        <f t="shared" si="79"/>
        <v>70</v>
      </c>
      <c r="H262" s="288">
        <f t="shared" si="79"/>
        <v>0</v>
      </c>
      <c r="I262" s="288">
        <f t="shared" si="79"/>
        <v>0</v>
      </c>
      <c r="J262" s="288">
        <f t="shared" si="79"/>
        <v>0</v>
      </c>
      <c r="K262" s="288">
        <f t="shared" si="79"/>
        <v>0</v>
      </c>
      <c r="L262" s="288">
        <f t="shared" si="79"/>
        <v>0</v>
      </c>
      <c r="M262" s="288">
        <f t="shared" si="79"/>
        <v>6800</v>
      </c>
      <c r="N262" s="288">
        <f t="shared" si="79"/>
        <v>0</v>
      </c>
      <c r="O262" s="288">
        <f t="shared" si="79"/>
        <v>0</v>
      </c>
      <c r="P262" s="288">
        <f t="shared" si="79"/>
        <v>3045</v>
      </c>
      <c r="Q262" s="288">
        <f t="shared" si="79"/>
        <v>70</v>
      </c>
    </row>
    <row r="263" spans="1:17" hidden="1" x14ac:dyDescent="0.25">
      <c r="A263" s="327">
        <v>5212</v>
      </c>
      <c r="B263" s="294">
        <v>423100</v>
      </c>
      <c r="C263" s="295" t="s">
        <v>243</v>
      </c>
      <c r="D263" s="295"/>
      <c r="E263" s="277"/>
      <c r="F263" s="277"/>
      <c r="G263" s="311">
        <f t="shared" si="67"/>
        <v>0</v>
      </c>
      <c r="H263" s="311"/>
      <c r="I263" s="277"/>
      <c r="J263" s="277"/>
      <c r="K263" s="277"/>
      <c r="L263" s="277"/>
      <c r="M263" s="277"/>
      <c r="N263" s="277"/>
      <c r="O263" s="277"/>
      <c r="P263" s="277"/>
      <c r="Q263" s="277"/>
    </row>
    <row r="264" spans="1:17" x14ac:dyDescent="0.25">
      <c r="A264" s="327">
        <v>5213</v>
      </c>
      <c r="B264" s="294">
        <v>423200</v>
      </c>
      <c r="C264" s="295" t="s">
        <v>244</v>
      </c>
      <c r="D264" s="295" t="s">
        <v>463</v>
      </c>
      <c r="E264" s="277">
        <v>3630</v>
      </c>
      <c r="F264" s="277">
        <f>H264+K264+M264+P264</f>
        <v>3900</v>
      </c>
      <c r="G264" s="311">
        <f t="shared" ref="G264" si="80">SUM(I264:Q264)-K264-M264-P264</f>
        <v>70</v>
      </c>
      <c r="H264" s="311"/>
      <c r="I264" s="277"/>
      <c r="J264" s="277"/>
      <c r="K264" s="277"/>
      <c r="L264" s="277"/>
      <c r="M264" s="277">
        <v>3900</v>
      </c>
      <c r="N264" s="277"/>
      <c r="O264" s="277"/>
      <c r="P264" s="277"/>
      <c r="Q264" s="277">
        <v>70</v>
      </c>
    </row>
    <row r="265" spans="1:17" ht="26.25" x14ac:dyDescent="0.25">
      <c r="A265" s="327">
        <v>5214</v>
      </c>
      <c r="B265" s="294">
        <v>423300</v>
      </c>
      <c r="C265" s="295" t="s">
        <v>245</v>
      </c>
      <c r="D265" s="295" t="s">
        <v>463</v>
      </c>
      <c r="E265" s="277">
        <v>2830</v>
      </c>
      <c r="F265" s="277">
        <f>H265+K265+M265+P265</f>
        <v>3700</v>
      </c>
      <c r="G265" s="311"/>
      <c r="H265" s="311"/>
      <c r="I265" s="277"/>
      <c r="J265" s="277"/>
      <c r="K265" s="277"/>
      <c r="L265" s="277"/>
      <c r="M265" s="277">
        <v>2800</v>
      </c>
      <c r="N265" s="277"/>
      <c r="O265" s="277"/>
      <c r="P265" s="277">
        <v>900</v>
      </c>
      <c r="Q265" s="277"/>
    </row>
    <row r="266" spans="1:17" x14ac:dyDescent="0.25">
      <c r="A266" s="327">
        <v>5215</v>
      </c>
      <c r="B266" s="294">
        <v>423400</v>
      </c>
      <c r="C266" s="295" t="s">
        <v>246</v>
      </c>
      <c r="D266" s="295" t="s">
        <v>463</v>
      </c>
      <c r="E266" s="277">
        <v>500</v>
      </c>
      <c r="F266" s="277">
        <f>H266+K266+M266+P266</f>
        <v>100</v>
      </c>
      <c r="G266" s="311"/>
      <c r="H266" s="311"/>
      <c r="I266" s="277"/>
      <c r="J266" s="277"/>
      <c r="K266" s="277"/>
      <c r="L266" s="277"/>
      <c r="M266" s="277">
        <v>100</v>
      </c>
      <c r="N266" s="277"/>
      <c r="O266" s="277"/>
      <c r="P266" s="277"/>
      <c r="Q266" s="277"/>
    </row>
    <row r="267" spans="1:17" x14ac:dyDescent="0.25">
      <c r="A267" s="327">
        <v>5216</v>
      </c>
      <c r="B267" s="294">
        <v>423500</v>
      </c>
      <c r="C267" s="295" t="s">
        <v>247</v>
      </c>
      <c r="D267" s="295" t="s">
        <v>463</v>
      </c>
      <c r="E267" s="277">
        <v>1150</v>
      </c>
      <c r="F267" s="277">
        <f>H267+K267+M267+P267</f>
        <v>1667</v>
      </c>
      <c r="G267" s="311"/>
      <c r="H267" s="311"/>
      <c r="I267" s="277"/>
      <c r="J267" s="277"/>
      <c r="K267" s="277"/>
      <c r="L267" s="277"/>
      <c r="M267" s="277"/>
      <c r="N267" s="277"/>
      <c r="O267" s="277"/>
      <c r="P267" s="277">
        <v>1667</v>
      </c>
      <c r="Q267" s="277"/>
    </row>
    <row r="268" spans="1:17" ht="26.25" hidden="1" x14ac:dyDescent="0.25">
      <c r="A268" s="327">
        <v>5217</v>
      </c>
      <c r="B268" s="294">
        <v>423600</v>
      </c>
      <c r="C268" s="295" t="s">
        <v>248</v>
      </c>
      <c r="D268" s="295" t="s">
        <v>463</v>
      </c>
      <c r="E268" s="277"/>
      <c r="F268" s="277"/>
      <c r="G268" s="311"/>
      <c r="H268" s="311"/>
      <c r="I268" s="277"/>
      <c r="J268" s="277"/>
      <c r="K268" s="277"/>
      <c r="L268" s="277"/>
      <c r="M268" s="277"/>
      <c r="N268" s="277"/>
      <c r="O268" s="277"/>
      <c r="P268" s="277"/>
      <c r="Q268" s="277"/>
    </row>
    <row r="269" spans="1:17" x14ac:dyDescent="0.25">
      <c r="A269" s="327">
        <v>5218</v>
      </c>
      <c r="B269" s="294">
        <v>423700</v>
      </c>
      <c r="C269" s="295" t="s">
        <v>249</v>
      </c>
      <c r="D269" s="295" t="s">
        <v>463</v>
      </c>
      <c r="E269" s="277">
        <v>128</v>
      </c>
      <c r="F269" s="277">
        <f>H269+K269+M269+P269</f>
        <v>200</v>
      </c>
      <c r="G269" s="311"/>
      <c r="H269" s="311"/>
      <c r="I269" s="277"/>
      <c r="J269" s="277"/>
      <c r="K269" s="277"/>
      <c r="L269" s="277"/>
      <c r="M269" s="277"/>
      <c r="N269" s="277"/>
      <c r="O269" s="277"/>
      <c r="P269" s="277">
        <v>200</v>
      </c>
      <c r="Q269" s="277"/>
    </row>
    <row r="270" spans="1:17" ht="15" hidden="1" customHeight="1" x14ac:dyDescent="0.25">
      <c r="A270" s="656" t="s">
        <v>0</v>
      </c>
      <c r="B270" s="657" t="s">
        <v>1</v>
      </c>
      <c r="C270" s="656" t="s">
        <v>2</v>
      </c>
      <c r="D270" s="295" t="s">
        <v>463</v>
      </c>
      <c r="E270" s="656" t="s">
        <v>217</v>
      </c>
      <c r="F270" s="308"/>
      <c r="G270" s="658"/>
      <c r="H270" s="658"/>
      <c r="I270" s="659"/>
      <c r="J270" s="659"/>
      <c r="K270" s="659"/>
      <c r="L270" s="659"/>
      <c r="M270" s="659"/>
      <c r="N270" s="659"/>
      <c r="O270" s="659"/>
      <c r="P270" s="659"/>
      <c r="Q270" s="659"/>
    </row>
    <row r="271" spans="1:17" ht="15" hidden="1" customHeight="1" x14ac:dyDescent="0.25">
      <c r="A271" s="656"/>
      <c r="B271" s="657"/>
      <c r="C271" s="656"/>
      <c r="D271" s="295" t="s">
        <v>463</v>
      </c>
      <c r="E271" s="656"/>
      <c r="F271" s="308"/>
      <c r="G271" s="658"/>
      <c r="H271" s="283"/>
      <c r="I271" s="658"/>
      <c r="J271" s="659"/>
      <c r="K271" s="659"/>
      <c r="L271" s="659"/>
      <c r="M271" s="659"/>
      <c r="N271" s="659"/>
      <c r="O271" s="658"/>
      <c r="P271" s="283"/>
      <c r="Q271" s="658"/>
    </row>
    <row r="272" spans="1:17" ht="39" hidden="1" customHeight="1" x14ac:dyDescent="0.25">
      <c r="A272" s="656"/>
      <c r="B272" s="657"/>
      <c r="C272" s="656"/>
      <c r="D272" s="295" t="s">
        <v>463</v>
      </c>
      <c r="E272" s="656"/>
      <c r="F272" s="308"/>
      <c r="G272" s="659"/>
      <c r="H272" s="328"/>
      <c r="I272" s="283"/>
      <c r="J272" s="283"/>
      <c r="K272" s="283"/>
      <c r="L272" s="283"/>
      <c r="M272" s="283"/>
      <c r="N272" s="283"/>
      <c r="O272" s="659"/>
      <c r="P272" s="328"/>
      <c r="Q272" s="659"/>
    </row>
    <row r="273" spans="1:22" ht="15" hidden="1" customHeight="1" x14ac:dyDescent="0.25">
      <c r="A273" s="305" t="s">
        <v>18</v>
      </c>
      <c r="B273" s="305" t="s">
        <v>19</v>
      </c>
      <c r="C273" s="305" t="s">
        <v>20</v>
      </c>
      <c r="D273" s="295" t="s">
        <v>463</v>
      </c>
      <c r="E273" s="305" t="s">
        <v>21</v>
      </c>
      <c r="F273" s="305"/>
      <c r="G273" s="305"/>
      <c r="H273" s="305"/>
      <c r="I273" s="305"/>
      <c r="J273" s="305"/>
      <c r="K273" s="305"/>
      <c r="L273" s="305"/>
      <c r="M273" s="305"/>
      <c r="N273" s="305"/>
      <c r="O273" s="305"/>
      <c r="P273" s="305"/>
      <c r="Q273" s="305"/>
    </row>
    <row r="274" spans="1:22" x14ac:dyDescent="0.25">
      <c r="A274" s="327">
        <v>5219</v>
      </c>
      <c r="B274" s="294">
        <v>423900</v>
      </c>
      <c r="C274" s="295" t="s">
        <v>250</v>
      </c>
      <c r="D274" s="295" t="s">
        <v>463</v>
      </c>
      <c r="E274" s="277">
        <v>90</v>
      </c>
      <c r="F274" s="277">
        <f>H274+K274+M274+P274</f>
        <v>278</v>
      </c>
      <c r="G274" s="311"/>
      <c r="H274" s="311"/>
      <c r="I274" s="277"/>
      <c r="J274" s="277"/>
      <c r="K274" s="277"/>
      <c r="L274" s="277"/>
      <c r="M274" s="277"/>
      <c r="N274" s="277"/>
      <c r="O274" s="277"/>
      <c r="P274" s="277">
        <v>278</v>
      </c>
      <c r="Q274" s="277"/>
    </row>
    <row r="275" spans="1:22" ht="26.25" x14ac:dyDescent="0.25">
      <c r="A275" s="309">
        <v>5220</v>
      </c>
      <c r="B275" s="283">
        <v>424000</v>
      </c>
      <c r="C275" s="287" t="s">
        <v>251</v>
      </c>
      <c r="D275" s="287"/>
      <c r="E275" s="288">
        <f>SUM(E276:E282)</f>
        <v>4679</v>
      </c>
      <c r="F275" s="288">
        <f t="shared" ref="F275:Q275" si="81">SUM(F276:F282)</f>
        <v>3626</v>
      </c>
      <c r="G275" s="288">
        <f t="shared" si="81"/>
        <v>450</v>
      </c>
      <c r="H275" s="288">
        <f t="shared" si="81"/>
        <v>0</v>
      </c>
      <c r="I275" s="288">
        <f t="shared" si="81"/>
        <v>0</v>
      </c>
      <c r="J275" s="288">
        <f t="shared" si="81"/>
        <v>0</v>
      </c>
      <c r="K275" s="288">
        <f t="shared" si="81"/>
        <v>0</v>
      </c>
      <c r="L275" s="288">
        <f t="shared" si="81"/>
        <v>0</v>
      </c>
      <c r="M275" s="288">
        <f t="shared" si="81"/>
        <v>3300</v>
      </c>
      <c r="N275" s="288">
        <f t="shared" si="81"/>
        <v>0</v>
      </c>
      <c r="O275" s="288">
        <f t="shared" si="81"/>
        <v>0</v>
      </c>
      <c r="P275" s="288">
        <f t="shared" si="81"/>
        <v>326</v>
      </c>
      <c r="Q275" s="288">
        <f t="shared" si="81"/>
        <v>450</v>
      </c>
    </row>
    <row r="276" spans="1:22" hidden="1" x14ac:dyDescent="0.25">
      <c r="A276" s="327">
        <v>5221</v>
      </c>
      <c r="B276" s="294">
        <v>424100</v>
      </c>
      <c r="C276" s="295" t="s">
        <v>252</v>
      </c>
      <c r="D276" s="295"/>
      <c r="E276" s="277"/>
      <c r="F276" s="277"/>
      <c r="G276" s="311">
        <f t="shared" si="67"/>
        <v>0</v>
      </c>
      <c r="H276" s="311"/>
      <c r="I276" s="277"/>
      <c r="J276" s="277"/>
      <c r="K276" s="277"/>
      <c r="L276" s="277"/>
      <c r="M276" s="277"/>
      <c r="N276" s="277"/>
      <c r="O276" s="277"/>
      <c r="P276" s="277"/>
      <c r="Q276" s="277"/>
    </row>
    <row r="277" spans="1:22" ht="26.25" hidden="1" x14ac:dyDescent="0.25">
      <c r="A277" s="327">
        <v>5222</v>
      </c>
      <c r="B277" s="294">
        <v>424200</v>
      </c>
      <c r="C277" s="295" t="s">
        <v>253</v>
      </c>
      <c r="D277" s="295"/>
      <c r="E277" s="277"/>
      <c r="F277" s="277"/>
      <c r="G277" s="311">
        <f t="shared" si="67"/>
        <v>0</v>
      </c>
      <c r="H277" s="311"/>
      <c r="I277" s="277"/>
      <c r="J277" s="277"/>
      <c r="K277" s="277"/>
      <c r="L277" s="277"/>
      <c r="M277" s="277"/>
      <c r="N277" s="277"/>
      <c r="O277" s="277"/>
      <c r="P277" s="277"/>
      <c r="Q277" s="277"/>
    </row>
    <row r="278" spans="1:22" x14ac:dyDescent="0.25">
      <c r="A278" s="327">
        <v>5223</v>
      </c>
      <c r="B278" s="294">
        <v>424300</v>
      </c>
      <c r="C278" s="295" t="s">
        <v>254</v>
      </c>
      <c r="D278" s="295" t="s">
        <v>463</v>
      </c>
      <c r="E278" s="277">
        <v>1221</v>
      </c>
      <c r="F278" s="277">
        <f>H278+K278+M278+P278</f>
        <v>1400</v>
      </c>
      <c r="G278" s="311">
        <f t="shared" ref="G278" si="82">SUM(I278:Q278)-K278-M278-P278</f>
        <v>109</v>
      </c>
      <c r="H278" s="311"/>
      <c r="I278" s="277"/>
      <c r="J278" s="277"/>
      <c r="K278" s="277"/>
      <c r="L278" s="277"/>
      <c r="M278" s="277">
        <v>1400</v>
      </c>
      <c r="N278" s="277"/>
      <c r="O278" s="277"/>
      <c r="P278" s="277"/>
      <c r="Q278" s="277">
        <v>109</v>
      </c>
      <c r="R278" s="11"/>
      <c r="T278" s="11"/>
    </row>
    <row r="279" spans="1:22" hidden="1" x14ac:dyDescent="0.25">
      <c r="A279" s="327">
        <v>5224</v>
      </c>
      <c r="B279" s="294">
        <v>424400</v>
      </c>
      <c r="C279" s="295" t="s">
        <v>255</v>
      </c>
      <c r="D279" s="295" t="s">
        <v>463</v>
      </c>
      <c r="E279" s="277"/>
      <c r="F279" s="277"/>
      <c r="G279" s="311">
        <f t="shared" si="67"/>
        <v>0</v>
      </c>
      <c r="H279" s="311"/>
      <c r="I279" s="277"/>
      <c r="J279" s="277"/>
      <c r="K279" s="277"/>
      <c r="L279" s="277"/>
      <c r="M279" s="277"/>
      <c r="N279" s="277"/>
      <c r="O279" s="277"/>
      <c r="P279" s="277"/>
      <c r="Q279" s="277"/>
    </row>
    <row r="280" spans="1:22" ht="26.25" hidden="1" x14ac:dyDescent="0.25">
      <c r="A280" s="327">
        <v>5225</v>
      </c>
      <c r="B280" s="294">
        <v>424500</v>
      </c>
      <c r="C280" s="295" t="s">
        <v>256</v>
      </c>
      <c r="D280" s="295" t="s">
        <v>463</v>
      </c>
      <c r="E280" s="277"/>
      <c r="F280" s="277"/>
      <c r="G280" s="311">
        <f t="shared" si="67"/>
        <v>0</v>
      </c>
      <c r="H280" s="311"/>
      <c r="I280" s="277"/>
      <c r="J280" s="277"/>
      <c r="K280" s="277"/>
      <c r="L280" s="277"/>
      <c r="M280" s="277"/>
      <c r="N280" s="277"/>
      <c r="O280" s="277"/>
      <c r="P280" s="277"/>
      <c r="Q280" s="277"/>
    </row>
    <row r="281" spans="1:22" ht="39" x14ac:dyDescent="0.25">
      <c r="A281" s="327">
        <v>5226</v>
      </c>
      <c r="B281" s="294">
        <v>424600</v>
      </c>
      <c r="C281" s="295" t="s">
        <v>257</v>
      </c>
      <c r="D281" s="295" t="s">
        <v>463</v>
      </c>
      <c r="E281" s="277">
        <v>190</v>
      </c>
      <c r="F281" s="277">
        <f>H281+K281+M281+P281</f>
        <v>414</v>
      </c>
      <c r="G281" s="311">
        <f t="shared" ref="G281:G282" si="83">SUM(I281:Q281)-K281-M281-P281</f>
        <v>51</v>
      </c>
      <c r="H281" s="311"/>
      <c r="I281" s="277"/>
      <c r="J281" s="277"/>
      <c r="K281" s="277"/>
      <c r="L281" s="277"/>
      <c r="M281" s="277">
        <v>300</v>
      </c>
      <c r="N281" s="277"/>
      <c r="O281" s="277"/>
      <c r="P281" s="277">
        <v>114</v>
      </c>
      <c r="Q281" s="277">
        <v>51</v>
      </c>
    </row>
    <row r="282" spans="1:22" ht="23.25" x14ac:dyDescent="0.35">
      <c r="A282" s="327">
        <v>5227</v>
      </c>
      <c r="B282" s="294">
        <v>424900</v>
      </c>
      <c r="C282" s="295" t="s">
        <v>258</v>
      </c>
      <c r="D282" s="295" t="s">
        <v>463</v>
      </c>
      <c r="E282" s="277">
        <v>3268</v>
      </c>
      <c r="F282" s="277">
        <f>H282+K282+M282+P282</f>
        <v>1812</v>
      </c>
      <c r="G282" s="311">
        <f t="shared" si="83"/>
        <v>290</v>
      </c>
      <c r="H282" s="311"/>
      <c r="I282" s="277"/>
      <c r="J282" s="277"/>
      <c r="K282" s="277"/>
      <c r="L282" s="277"/>
      <c r="M282" s="277">
        <v>1600</v>
      </c>
      <c r="N282" s="277"/>
      <c r="O282" s="277"/>
      <c r="P282" s="277">
        <v>212</v>
      </c>
      <c r="Q282" s="277">
        <v>290</v>
      </c>
      <c r="R282" s="281">
        <v>1059</v>
      </c>
      <c r="S282" s="281" t="s">
        <v>504</v>
      </c>
      <c r="V282" s="347" t="s">
        <v>540</v>
      </c>
    </row>
    <row r="283" spans="1:22" ht="26.25" x14ac:dyDescent="0.25">
      <c r="A283" s="309">
        <v>5228</v>
      </c>
      <c r="B283" s="283">
        <v>425000</v>
      </c>
      <c r="C283" s="287" t="s">
        <v>259</v>
      </c>
      <c r="D283" s="295"/>
      <c r="E283" s="288">
        <f>E284+E285</f>
        <v>12464</v>
      </c>
      <c r="F283" s="288">
        <f t="shared" ref="F283:Q283" si="84">F284+F285</f>
        <v>15500</v>
      </c>
      <c r="G283" s="288">
        <f t="shared" si="84"/>
        <v>755</v>
      </c>
      <c r="H283" s="288">
        <f t="shared" si="84"/>
        <v>0</v>
      </c>
      <c r="I283" s="288">
        <f t="shared" si="84"/>
        <v>0</v>
      </c>
      <c r="J283" s="288">
        <f t="shared" si="84"/>
        <v>0</v>
      </c>
      <c r="K283" s="288">
        <f t="shared" si="84"/>
        <v>0</v>
      </c>
      <c r="L283" s="288">
        <f t="shared" si="84"/>
        <v>0</v>
      </c>
      <c r="M283" s="288">
        <f t="shared" si="84"/>
        <v>15500</v>
      </c>
      <c r="N283" s="288">
        <f t="shared" si="84"/>
        <v>100</v>
      </c>
      <c r="O283" s="288">
        <f t="shared" si="84"/>
        <v>0</v>
      </c>
      <c r="P283" s="288">
        <f t="shared" si="84"/>
        <v>0</v>
      </c>
      <c r="Q283" s="288">
        <f t="shared" si="84"/>
        <v>655</v>
      </c>
    </row>
    <row r="284" spans="1:22" ht="26.25" x14ac:dyDescent="0.25">
      <c r="A284" s="327">
        <v>5229</v>
      </c>
      <c r="B284" s="294">
        <v>425100</v>
      </c>
      <c r="C284" s="295" t="s">
        <v>260</v>
      </c>
      <c r="D284" s="295" t="s">
        <v>463</v>
      </c>
      <c r="E284" s="277">
        <v>360</v>
      </c>
      <c r="F284" s="277">
        <f>H284+K284+M284+P284</f>
        <v>5000</v>
      </c>
      <c r="G284" s="311">
        <f t="shared" ref="G284:G285" si="85">SUM(I284:Q284)-K284-M284-P284</f>
        <v>100</v>
      </c>
      <c r="H284" s="311"/>
      <c r="I284" s="277"/>
      <c r="J284" s="277"/>
      <c r="K284" s="277"/>
      <c r="L284" s="277"/>
      <c r="M284" s="277">
        <v>5000</v>
      </c>
      <c r="N284" s="277">
        <v>100</v>
      </c>
      <c r="O284" s="277"/>
      <c r="P284" s="277"/>
      <c r="Q284" s="277"/>
    </row>
    <row r="285" spans="1:22" ht="26.25" x14ac:dyDescent="0.25">
      <c r="A285" s="327">
        <v>5230</v>
      </c>
      <c r="B285" s="294">
        <v>425200</v>
      </c>
      <c r="C285" s="295" t="s">
        <v>261</v>
      </c>
      <c r="D285" s="295" t="s">
        <v>463</v>
      </c>
      <c r="E285" s="277">
        <v>12104</v>
      </c>
      <c r="F285" s="277">
        <f>H285+K285+M285+P285</f>
        <v>10500</v>
      </c>
      <c r="G285" s="311">
        <f t="shared" si="85"/>
        <v>655</v>
      </c>
      <c r="H285" s="311"/>
      <c r="I285" s="277"/>
      <c r="J285" s="277"/>
      <c r="K285" s="277"/>
      <c r="L285" s="277"/>
      <c r="M285" s="277">
        <v>10500</v>
      </c>
      <c r="N285" s="277"/>
      <c r="O285" s="277"/>
      <c r="P285" s="277"/>
      <c r="Q285" s="277">
        <v>655</v>
      </c>
      <c r="R285" s="281" t="s">
        <v>505</v>
      </c>
    </row>
    <row r="286" spans="1:22" x14ac:dyDescent="0.25">
      <c r="A286" s="309">
        <v>5231</v>
      </c>
      <c r="B286" s="283">
        <v>426000</v>
      </c>
      <c r="C286" s="287" t="s">
        <v>262</v>
      </c>
      <c r="D286" s="287"/>
      <c r="E286" s="288">
        <f>SUM(E287:E313)</f>
        <v>301349</v>
      </c>
      <c r="F286" s="288">
        <f>F287+F289+F290+F293+F311+F312+F313</f>
        <v>237783</v>
      </c>
      <c r="G286" s="288">
        <f>SUM(G287:G313)</f>
        <v>16735</v>
      </c>
      <c r="H286" s="288">
        <f t="shared" ref="H286:Q286" si="86">SUM(H287:H313)</f>
        <v>1000</v>
      </c>
      <c r="I286" s="288">
        <f t="shared" si="86"/>
        <v>127</v>
      </c>
      <c r="J286" s="288">
        <f t="shared" si="86"/>
        <v>0</v>
      </c>
      <c r="K286" s="288">
        <f t="shared" si="86"/>
        <v>0</v>
      </c>
      <c r="L286" s="288">
        <f t="shared" si="86"/>
        <v>1273</v>
      </c>
      <c r="M286" s="288">
        <f>M287+M289+M290+M293+M311+M312+M313</f>
        <v>234271</v>
      </c>
      <c r="N286" s="288">
        <f t="shared" si="86"/>
        <v>12510</v>
      </c>
      <c r="O286" s="288">
        <f t="shared" si="86"/>
        <v>0</v>
      </c>
      <c r="P286" s="288">
        <f>P287+P289+P290+P293+P311+P312+P313</f>
        <v>2512</v>
      </c>
      <c r="Q286" s="288">
        <f t="shared" si="86"/>
        <v>2825</v>
      </c>
      <c r="R286" s="326">
        <f>H286+K286+M286+P286</f>
        <v>237783</v>
      </c>
    </row>
    <row r="287" spans="1:22" x14ac:dyDescent="0.25">
      <c r="A287" s="327">
        <v>5232</v>
      </c>
      <c r="B287" s="294">
        <v>426100</v>
      </c>
      <c r="C287" s="295" t="s">
        <v>263</v>
      </c>
      <c r="D287" s="295" t="s">
        <v>463</v>
      </c>
      <c r="E287" s="277">
        <v>4093</v>
      </c>
      <c r="F287" s="277">
        <f>H287+K287+M287+P287</f>
        <v>5010</v>
      </c>
      <c r="G287" s="311">
        <f t="shared" ref="G287" si="87">SUM(I287:Q287)-K287-M287-P287</f>
        <v>0</v>
      </c>
      <c r="H287" s="311"/>
      <c r="I287" s="277"/>
      <c r="J287" s="277"/>
      <c r="K287" s="277"/>
      <c r="L287" s="277"/>
      <c r="M287" s="277">
        <v>4500</v>
      </c>
      <c r="N287" s="277"/>
      <c r="O287" s="277"/>
      <c r="P287" s="277">
        <v>510</v>
      </c>
      <c r="Q287" s="277"/>
      <c r="R287" s="281" t="s">
        <v>506</v>
      </c>
    </row>
    <row r="288" spans="1:22" hidden="1" x14ac:dyDescent="0.25">
      <c r="A288" s="327">
        <v>5233</v>
      </c>
      <c r="B288" s="294">
        <v>426200</v>
      </c>
      <c r="C288" s="295" t="s">
        <v>264</v>
      </c>
      <c r="D288" s="295" t="s">
        <v>463</v>
      </c>
      <c r="E288" s="277"/>
      <c r="F288" s="277"/>
      <c r="G288" s="311">
        <f t="shared" si="67"/>
        <v>0</v>
      </c>
      <c r="H288" s="311"/>
      <c r="I288" s="277"/>
      <c r="J288" s="277"/>
      <c r="K288" s="277"/>
      <c r="L288" s="277"/>
      <c r="M288" s="277"/>
      <c r="N288" s="277"/>
      <c r="O288" s="277"/>
      <c r="P288" s="277"/>
      <c r="Q288" s="277"/>
    </row>
    <row r="289" spans="1:19" ht="26.25" x14ac:dyDescent="0.25">
      <c r="A289" s="327">
        <v>5234</v>
      </c>
      <c r="B289" s="294">
        <v>426300</v>
      </c>
      <c r="C289" s="295" t="s">
        <v>265</v>
      </c>
      <c r="D289" s="295" t="s">
        <v>463</v>
      </c>
      <c r="E289" s="277">
        <v>170</v>
      </c>
      <c r="F289" s="277">
        <f>H289+K289+M289+P289</f>
        <v>110</v>
      </c>
      <c r="G289" s="311">
        <f t="shared" ref="G289:G290" si="88">SUM(I289:Q289)-K289-M289-P289</f>
        <v>147</v>
      </c>
      <c r="H289" s="311"/>
      <c r="I289" s="277"/>
      <c r="J289" s="277"/>
      <c r="K289" s="277"/>
      <c r="L289" s="277"/>
      <c r="M289" s="277"/>
      <c r="N289" s="277"/>
      <c r="O289" s="277"/>
      <c r="P289" s="277">
        <v>110</v>
      </c>
      <c r="Q289" s="277">
        <v>147</v>
      </c>
    </row>
    <row r="290" spans="1:19" x14ac:dyDescent="0.25">
      <c r="A290" s="327">
        <v>5235</v>
      </c>
      <c r="B290" s="294">
        <v>426400</v>
      </c>
      <c r="C290" s="295" t="s">
        <v>266</v>
      </c>
      <c r="D290" s="295" t="s">
        <v>468</v>
      </c>
      <c r="E290" s="277">
        <v>1541</v>
      </c>
      <c r="F290" s="277">
        <f>H290+K290+M290+P290</f>
        <v>2040</v>
      </c>
      <c r="G290" s="311">
        <f t="shared" si="88"/>
        <v>7</v>
      </c>
      <c r="H290" s="311"/>
      <c r="I290" s="278"/>
      <c r="J290" s="278"/>
      <c r="K290" s="278"/>
      <c r="L290" s="278"/>
      <c r="M290" s="278">
        <v>2040</v>
      </c>
      <c r="N290" s="278"/>
      <c r="O290" s="278"/>
      <c r="P290" s="278"/>
      <c r="Q290" s="278">
        <v>7</v>
      </c>
    </row>
    <row r="291" spans="1:19" ht="26.25" hidden="1" x14ac:dyDescent="0.25">
      <c r="A291" s="327">
        <v>5236</v>
      </c>
      <c r="B291" s="294">
        <v>426500</v>
      </c>
      <c r="C291" s="295" t="s">
        <v>267</v>
      </c>
      <c r="D291" s="295"/>
      <c r="E291" s="277"/>
      <c r="F291" s="277"/>
      <c r="G291" s="311">
        <f t="shared" ref="G291:G384" si="89">SUM(I291:Q291)</f>
        <v>0</v>
      </c>
      <c r="H291" s="311"/>
      <c r="I291" s="277"/>
      <c r="J291" s="277"/>
      <c r="K291" s="277"/>
      <c r="L291" s="277"/>
      <c r="M291" s="277"/>
      <c r="N291" s="277"/>
      <c r="O291" s="277"/>
      <c r="P291" s="277"/>
      <c r="Q291" s="277"/>
    </row>
    <row r="292" spans="1:19" ht="26.25" hidden="1" x14ac:dyDescent="0.25">
      <c r="A292" s="327">
        <v>5237</v>
      </c>
      <c r="B292" s="294">
        <v>426600</v>
      </c>
      <c r="C292" s="295" t="s">
        <v>268</v>
      </c>
      <c r="D292" s="295"/>
      <c r="E292" s="277"/>
      <c r="F292" s="277"/>
      <c r="G292" s="311">
        <f t="shared" si="89"/>
        <v>0</v>
      </c>
      <c r="H292" s="311"/>
      <c r="I292" s="277"/>
      <c r="J292" s="277"/>
      <c r="K292" s="277"/>
      <c r="L292" s="277"/>
      <c r="M292" s="277"/>
      <c r="N292" s="277"/>
      <c r="O292" s="277"/>
      <c r="P292" s="277"/>
      <c r="Q292" s="277"/>
    </row>
    <row r="293" spans="1:19" ht="26.25" x14ac:dyDescent="0.25">
      <c r="A293" s="327">
        <v>5238</v>
      </c>
      <c r="B293" s="294">
        <v>426700</v>
      </c>
      <c r="C293" s="295" t="s">
        <v>269</v>
      </c>
      <c r="D293" s="295"/>
      <c r="E293" s="277">
        <v>273095</v>
      </c>
      <c r="F293" s="314">
        <f>H293+K293+M293+P293</f>
        <v>209946</v>
      </c>
      <c r="G293" s="311">
        <f t="shared" ref="G293:G313" si="90">SUM(I293:Q293)-K293-M293-P293</f>
        <v>1917</v>
      </c>
      <c r="H293" s="311"/>
      <c r="I293" s="277">
        <v>127</v>
      </c>
      <c r="J293" s="277"/>
      <c r="K293" s="277"/>
      <c r="L293" s="277"/>
      <c r="M293" s="314">
        <f>M294+M299+M300+M303+M309+M310</f>
        <v>208546</v>
      </c>
      <c r="N293" s="314">
        <f t="shared" ref="N293:P293" si="91">N294+N299+N300+N303+N309+N310</f>
        <v>0</v>
      </c>
      <c r="O293" s="314">
        <f t="shared" si="91"/>
        <v>0</v>
      </c>
      <c r="P293" s="314">
        <f t="shared" si="91"/>
        <v>1400</v>
      </c>
      <c r="Q293" s="277">
        <v>1790</v>
      </c>
      <c r="R293" s="326">
        <f>M294+M299+M300+M303+M309+M310</f>
        <v>208546</v>
      </c>
      <c r="S293" s="326">
        <f>R293+P293</f>
        <v>209946</v>
      </c>
    </row>
    <row r="294" spans="1:19" ht="18" customHeight="1" x14ac:dyDescent="0.25">
      <c r="A294" s="327"/>
      <c r="B294" s="329" t="s">
        <v>470</v>
      </c>
      <c r="C294" s="330" t="s">
        <v>476</v>
      </c>
      <c r="D294" s="295"/>
      <c r="E294" s="277"/>
      <c r="F294" s="314">
        <f>F295+F296+F297+F298</f>
        <v>107652</v>
      </c>
      <c r="G294" s="311"/>
      <c r="H294" s="311"/>
      <c r="I294" s="277"/>
      <c r="J294" s="277"/>
      <c r="K294" s="277"/>
      <c r="L294" s="277"/>
      <c r="M294" s="314">
        <f>M295+M296+M297+M298</f>
        <v>107652</v>
      </c>
      <c r="N294" s="277"/>
      <c r="O294" s="277"/>
      <c r="P294" s="277"/>
      <c r="Q294" s="277"/>
    </row>
    <row r="295" spans="1:19" ht="16.5" customHeight="1" x14ac:dyDescent="0.25">
      <c r="A295" s="327"/>
      <c r="B295" s="331" t="s">
        <v>477</v>
      </c>
      <c r="C295" s="295" t="s">
        <v>481</v>
      </c>
      <c r="D295" s="295"/>
      <c r="E295" s="277"/>
      <c r="F295" s="277">
        <f>M295</f>
        <v>65179</v>
      </c>
      <c r="G295" s="311"/>
      <c r="H295" s="311"/>
      <c r="I295" s="277"/>
      <c r="J295" s="277"/>
      <c r="K295" s="277"/>
      <c r="L295" s="277"/>
      <c r="M295" s="278">
        <f>46590+18589</f>
        <v>65179</v>
      </c>
      <c r="N295" s="277"/>
      <c r="O295" s="277"/>
      <c r="P295" s="277"/>
      <c r="Q295" s="277"/>
    </row>
    <row r="296" spans="1:19" ht="16.5" customHeight="1" x14ac:dyDescent="0.25">
      <c r="A296" s="327"/>
      <c r="B296" s="331" t="s">
        <v>478</v>
      </c>
      <c r="C296" s="295" t="s">
        <v>482</v>
      </c>
      <c r="D296" s="295"/>
      <c r="E296" s="277"/>
      <c r="F296" s="277">
        <f t="shared" ref="F296:F310" si="92">M296</f>
        <v>14745</v>
      </c>
      <c r="G296" s="311"/>
      <c r="H296" s="311"/>
      <c r="I296" s="277"/>
      <c r="J296" s="277"/>
      <c r="K296" s="277"/>
      <c r="L296" s="277"/>
      <c r="M296" s="278">
        <v>14745</v>
      </c>
      <c r="N296" s="277"/>
      <c r="O296" s="277"/>
      <c r="P296" s="277"/>
      <c r="Q296" s="277"/>
    </row>
    <row r="297" spans="1:19" ht="16.5" customHeight="1" x14ac:dyDescent="0.25">
      <c r="A297" s="327"/>
      <c r="B297" s="331" t="s">
        <v>479</v>
      </c>
      <c r="C297" s="295" t="s">
        <v>483</v>
      </c>
      <c r="D297" s="295"/>
      <c r="E297" s="277"/>
      <c r="F297" s="277">
        <f t="shared" si="92"/>
        <v>21866</v>
      </c>
      <c r="G297" s="311"/>
      <c r="H297" s="311"/>
      <c r="I297" s="277"/>
      <c r="J297" s="277"/>
      <c r="K297" s="277"/>
      <c r="L297" s="277"/>
      <c r="M297" s="278">
        <v>21866</v>
      </c>
      <c r="N297" s="277"/>
      <c r="O297" s="277"/>
      <c r="P297" s="277"/>
      <c r="Q297" s="277"/>
    </row>
    <row r="298" spans="1:19" ht="16.5" customHeight="1" x14ac:dyDescent="0.25">
      <c r="A298" s="327"/>
      <c r="B298" s="331" t="s">
        <v>480</v>
      </c>
      <c r="C298" s="295" t="s">
        <v>484</v>
      </c>
      <c r="D298" s="295"/>
      <c r="E298" s="277"/>
      <c r="F298" s="277">
        <f t="shared" si="92"/>
        <v>5862</v>
      </c>
      <c r="G298" s="311"/>
      <c r="H298" s="311"/>
      <c r="I298" s="277"/>
      <c r="J298" s="277"/>
      <c r="K298" s="277"/>
      <c r="L298" s="277"/>
      <c r="M298" s="278">
        <v>5862</v>
      </c>
      <c r="N298" s="277"/>
      <c r="O298" s="277"/>
      <c r="P298" s="277"/>
      <c r="Q298" s="277"/>
    </row>
    <row r="299" spans="1:19" ht="16.5" customHeight="1" x14ac:dyDescent="0.25">
      <c r="A299" s="332"/>
      <c r="B299" s="333" t="s">
        <v>471</v>
      </c>
      <c r="C299" s="330" t="s">
        <v>485</v>
      </c>
      <c r="D299" s="330"/>
      <c r="E299" s="314"/>
      <c r="F299" s="314">
        <f t="shared" si="92"/>
        <v>2685</v>
      </c>
      <c r="G299" s="334"/>
      <c r="H299" s="334"/>
      <c r="I299" s="314"/>
      <c r="J299" s="314"/>
      <c r="K299" s="314"/>
      <c r="L299" s="314"/>
      <c r="M299" s="314">
        <v>2685</v>
      </c>
      <c r="N299" s="314"/>
      <c r="O299" s="314"/>
      <c r="P299" s="314"/>
      <c r="Q299" s="314"/>
    </row>
    <row r="300" spans="1:19" ht="25.5" customHeight="1" x14ac:dyDescent="0.25">
      <c r="A300" s="327"/>
      <c r="B300" s="333" t="s">
        <v>472</v>
      </c>
      <c r="C300" s="330" t="s">
        <v>486</v>
      </c>
      <c r="D300" s="330"/>
      <c r="E300" s="314"/>
      <c r="F300" s="314">
        <f t="shared" si="92"/>
        <v>53731</v>
      </c>
      <c r="G300" s="334"/>
      <c r="H300" s="334"/>
      <c r="I300" s="314"/>
      <c r="J300" s="314"/>
      <c r="K300" s="314"/>
      <c r="L300" s="314"/>
      <c r="M300" s="314">
        <f>M301+M302</f>
        <v>53731</v>
      </c>
      <c r="N300" s="314">
        <f t="shared" ref="N300:P300" si="93">N301+N302</f>
        <v>0</v>
      </c>
      <c r="O300" s="314">
        <f t="shared" si="93"/>
        <v>0</v>
      </c>
      <c r="P300" s="314">
        <f t="shared" si="93"/>
        <v>1400</v>
      </c>
      <c r="Q300" s="314"/>
    </row>
    <row r="301" spans="1:19" ht="25.5" customHeight="1" x14ac:dyDescent="0.25">
      <c r="A301" s="327"/>
      <c r="B301" s="331" t="s">
        <v>487</v>
      </c>
      <c r="C301" s="295" t="s">
        <v>489</v>
      </c>
      <c r="D301" s="295"/>
      <c r="E301" s="277"/>
      <c r="F301" s="277">
        <f t="shared" si="92"/>
        <v>51519</v>
      </c>
      <c r="G301" s="311"/>
      <c r="H301" s="311"/>
      <c r="I301" s="277"/>
      <c r="J301" s="277"/>
      <c r="K301" s="277"/>
      <c r="L301" s="277"/>
      <c r="M301" s="278">
        <f>36195+15324</f>
        <v>51519</v>
      </c>
      <c r="N301" s="277"/>
      <c r="O301" s="277"/>
      <c r="P301" s="277"/>
      <c r="Q301" s="277"/>
    </row>
    <row r="302" spans="1:19" ht="23.25" customHeight="1" x14ac:dyDescent="0.25">
      <c r="A302" s="327"/>
      <c r="B302" s="331" t="s">
        <v>488</v>
      </c>
      <c r="C302" s="295" t="s">
        <v>490</v>
      </c>
      <c r="D302" s="295"/>
      <c r="E302" s="277"/>
      <c r="F302" s="277">
        <f t="shared" si="92"/>
        <v>2212</v>
      </c>
      <c r="G302" s="311"/>
      <c r="H302" s="311"/>
      <c r="I302" s="277"/>
      <c r="J302" s="277"/>
      <c r="K302" s="277"/>
      <c r="L302" s="277"/>
      <c r="M302" s="278">
        <v>2212</v>
      </c>
      <c r="N302" s="277"/>
      <c r="O302" s="277"/>
      <c r="P302" s="277">
        <v>1400</v>
      </c>
      <c r="Q302" s="277"/>
    </row>
    <row r="303" spans="1:19" ht="16.5" customHeight="1" x14ac:dyDescent="0.25">
      <c r="A303" s="327"/>
      <c r="B303" s="333" t="s">
        <v>473</v>
      </c>
      <c r="C303" s="330" t="s">
        <v>493</v>
      </c>
      <c r="D303" s="330"/>
      <c r="E303" s="314"/>
      <c r="F303" s="314">
        <f>F304+F305+F306</f>
        <v>11786</v>
      </c>
      <c r="G303" s="334"/>
      <c r="H303" s="334"/>
      <c r="I303" s="314"/>
      <c r="J303" s="314"/>
      <c r="K303" s="314"/>
      <c r="L303" s="314"/>
      <c r="M303" s="314">
        <f>M304+M305+M306</f>
        <v>11786</v>
      </c>
      <c r="N303" s="314"/>
      <c r="O303" s="314"/>
      <c r="P303" s="314"/>
      <c r="Q303" s="314"/>
    </row>
    <row r="304" spans="1:19" ht="23.25" customHeight="1" x14ac:dyDescent="0.25">
      <c r="A304" s="327"/>
      <c r="B304" s="331" t="s">
        <v>491</v>
      </c>
      <c r="C304" s="295" t="s">
        <v>494</v>
      </c>
      <c r="D304" s="295"/>
      <c r="E304" s="277"/>
      <c r="F304" s="277">
        <f>M304</f>
        <v>5321</v>
      </c>
      <c r="G304" s="311"/>
      <c r="H304" s="311"/>
      <c r="I304" s="277"/>
      <c r="J304" s="277"/>
      <c r="K304" s="277"/>
      <c r="L304" s="277"/>
      <c r="M304" s="278">
        <v>5321</v>
      </c>
      <c r="N304" s="277"/>
      <c r="O304" s="277"/>
      <c r="P304" s="277"/>
      <c r="Q304" s="277"/>
    </row>
    <row r="305" spans="1:17" ht="16.5" customHeight="1" x14ac:dyDescent="0.25">
      <c r="A305" s="327"/>
      <c r="B305" s="331" t="s">
        <v>492</v>
      </c>
      <c r="C305" s="295" t="s">
        <v>495</v>
      </c>
      <c r="D305" s="295"/>
      <c r="E305" s="277"/>
      <c r="F305" s="277">
        <f>M305</f>
        <v>5402</v>
      </c>
      <c r="G305" s="311"/>
      <c r="H305" s="311"/>
      <c r="I305" s="277"/>
      <c r="J305" s="277"/>
      <c r="K305" s="277"/>
      <c r="L305" s="277"/>
      <c r="M305" s="278">
        <v>5402</v>
      </c>
      <c r="N305" s="277"/>
      <c r="O305" s="277"/>
      <c r="P305" s="277"/>
      <c r="Q305" s="277"/>
    </row>
    <row r="306" spans="1:17" ht="16.5" customHeight="1" x14ac:dyDescent="0.25">
      <c r="A306" s="327"/>
      <c r="B306" s="331" t="s">
        <v>496</v>
      </c>
      <c r="C306" s="295" t="s">
        <v>497</v>
      </c>
      <c r="D306" s="295"/>
      <c r="E306" s="277"/>
      <c r="F306" s="277">
        <f>M306</f>
        <v>1063</v>
      </c>
      <c r="G306" s="311"/>
      <c r="H306" s="311"/>
      <c r="I306" s="277"/>
      <c r="J306" s="277"/>
      <c r="K306" s="277"/>
      <c r="L306" s="277"/>
      <c r="M306" s="278">
        <f>M307+M308</f>
        <v>1063</v>
      </c>
      <c r="N306" s="277"/>
      <c r="O306" s="277"/>
      <c r="P306" s="277"/>
      <c r="Q306" s="277"/>
    </row>
    <row r="307" spans="1:17" ht="24.75" x14ac:dyDescent="0.25">
      <c r="A307" s="327"/>
      <c r="B307" s="335" t="s">
        <v>500</v>
      </c>
      <c r="C307" s="336" t="s">
        <v>498</v>
      </c>
      <c r="D307" s="336"/>
      <c r="E307" s="337"/>
      <c r="F307" s="337">
        <f t="shared" si="92"/>
        <v>438</v>
      </c>
      <c r="G307" s="338"/>
      <c r="H307" s="338"/>
      <c r="I307" s="337"/>
      <c r="J307" s="337"/>
      <c r="K307" s="337"/>
      <c r="L307" s="337"/>
      <c r="M307" s="337">
        <v>438</v>
      </c>
      <c r="N307" s="337"/>
      <c r="O307" s="337"/>
      <c r="P307" s="337"/>
      <c r="Q307" s="337"/>
    </row>
    <row r="308" spans="1:17" ht="24.75" x14ac:dyDescent="0.25">
      <c r="A308" s="327"/>
      <c r="B308" s="335" t="s">
        <v>501</v>
      </c>
      <c r="C308" s="336" t="s">
        <v>499</v>
      </c>
      <c r="D308" s="336"/>
      <c r="E308" s="337"/>
      <c r="F308" s="337">
        <f t="shared" si="92"/>
        <v>625</v>
      </c>
      <c r="G308" s="338"/>
      <c r="H308" s="338"/>
      <c r="I308" s="337"/>
      <c r="J308" s="337"/>
      <c r="K308" s="337"/>
      <c r="L308" s="337"/>
      <c r="M308" s="337">
        <v>625</v>
      </c>
      <c r="N308" s="337"/>
      <c r="O308" s="337"/>
      <c r="P308" s="337"/>
      <c r="Q308" s="337"/>
    </row>
    <row r="309" spans="1:17" ht="26.25" x14ac:dyDescent="0.25">
      <c r="A309" s="327"/>
      <c r="B309" s="329" t="s">
        <v>474</v>
      </c>
      <c r="C309" s="330" t="s">
        <v>502</v>
      </c>
      <c r="D309" s="330"/>
      <c r="E309" s="314"/>
      <c r="F309" s="314">
        <f t="shared" si="92"/>
        <v>25692</v>
      </c>
      <c r="G309" s="334"/>
      <c r="H309" s="334"/>
      <c r="I309" s="314"/>
      <c r="J309" s="314"/>
      <c r="K309" s="314"/>
      <c r="L309" s="314"/>
      <c r="M309" s="314">
        <v>25692</v>
      </c>
      <c r="N309" s="314"/>
      <c r="O309" s="314"/>
      <c r="P309" s="314"/>
      <c r="Q309" s="314"/>
    </row>
    <row r="310" spans="1:17" x14ac:dyDescent="0.25">
      <c r="A310" s="327"/>
      <c r="B310" s="329" t="s">
        <v>475</v>
      </c>
      <c r="C310" s="330" t="s">
        <v>503</v>
      </c>
      <c r="D310" s="330"/>
      <c r="E310" s="314"/>
      <c r="F310" s="314">
        <f t="shared" si="92"/>
        <v>7000</v>
      </c>
      <c r="G310" s="334"/>
      <c r="H310" s="334"/>
      <c r="I310" s="314"/>
      <c r="J310" s="314"/>
      <c r="K310" s="314"/>
      <c r="L310" s="314"/>
      <c r="M310" s="314">
        <v>7000</v>
      </c>
      <c r="N310" s="314"/>
      <c r="O310" s="314"/>
      <c r="P310" s="314"/>
      <c r="Q310" s="314"/>
    </row>
    <row r="311" spans="1:17" x14ac:dyDescent="0.25">
      <c r="A311" s="327">
        <v>5239</v>
      </c>
      <c r="B311" s="294">
        <v>426800</v>
      </c>
      <c r="C311" s="295" t="s">
        <v>464</v>
      </c>
      <c r="D311" s="339" t="s">
        <v>467</v>
      </c>
      <c r="E311" s="277">
        <v>9387</v>
      </c>
      <c r="F311" s="277">
        <f>H311+K311+M311+P311</f>
        <v>12200</v>
      </c>
      <c r="G311" s="311">
        <f t="shared" si="90"/>
        <v>9570</v>
      </c>
      <c r="H311" s="311"/>
      <c r="I311" s="277"/>
      <c r="J311" s="277"/>
      <c r="K311" s="277"/>
      <c r="L311" s="277"/>
      <c r="M311" s="277">
        <v>12200</v>
      </c>
      <c r="N311" s="277">
        <v>9570</v>
      </c>
      <c r="O311" s="277"/>
      <c r="P311" s="277"/>
      <c r="Q311" s="277"/>
    </row>
    <row r="312" spans="1:17" ht="26.25" x14ac:dyDescent="0.25">
      <c r="A312" s="327"/>
      <c r="B312" s="294" t="s">
        <v>465</v>
      </c>
      <c r="C312" s="295" t="s">
        <v>466</v>
      </c>
      <c r="D312" s="295" t="s">
        <v>463</v>
      </c>
      <c r="E312" s="277">
        <v>4452</v>
      </c>
      <c r="F312" s="277">
        <f>H312+K312+M312+P312</f>
        <v>2500</v>
      </c>
      <c r="G312" s="311">
        <f t="shared" si="90"/>
        <v>2940</v>
      </c>
      <c r="H312" s="311"/>
      <c r="I312" s="277"/>
      <c r="J312" s="277"/>
      <c r="K312" s="277"/>
      <c r="L312" s="277"/>
      <c r="M312" s="277">
        <v>2500</v>
      </c>
      <c r="N312" s="277">
        <f>12522-12-9570</f>
        <v>2940</v>
      </c>
      <c r="O312" s="277"/>
      <c r="P312" s="277"/>
      <c r="Q312" s="277"/>
    </row>
    <row r="313" spans="1:17" x14ac:dyDescent="0.25">
      <c r="A313" s="327">
        <v>5240</v>
      </c>
      <c r="B313" s="294">
        <v>426900</v>
      </c>
      <c r="C313" s="295" t="s">
        <v>270</v>
      </c>
      <c r="D313" s="295" t="s">
        <v>463</v>
      </c>
      <c r="E313" s="277">
        <v>8611</v>
      </c>
      <c r="F313" s="278">
        <f>H313+K313+M313+P313</f>
        <v>5977</v>
      </c>
      <c r="G313" s="340">
        <f t="shared" si="90"/>
        <v>2154</v>
      </c>
      <c r="H313" s="340">
        <v>1000</v>
      </c>
      <c r="I313" s="278"/>
      <c r="J313" s="278"/>
      <c r="K313" s="278"/>
      <c r="L313" s="278">
        <v>1273</v>
      </c>
      <c r="M313" s="278">
        <v>4485</v>
      </c>
      <c r="N313" s="278"/>
      <c r="O313" s="278"/>
      <c r="P313" s="278">
        <v>492</v>
      </c>
      <c r="Q313" s="277">
        <v>881</v>
      </c>
    </row>
    <row r="314" spans="1:17" ht="51.75" hidden="1" x14ac:dyDescent="0.25">
      <c r="A314" s="309">
        <v>5241</v>
      </c>
      <c r="B314" s="283">
        <v>430000</v>
      </c>
      <c r="C314" s="287" t="s">
        <v>271</v>
      </c>
      <c r="D314" s="287"/>
      <c r="E314" s="288">
        <f>E315+E323+E325+E327+E331</f>
        <v>0</v>
      </c>
      <c r="F314" s="288"/>
      <c r="G314" s="288">
        <f t="shared" si="89"/>
        <v>0</v>
      </c>
      <c r="H314" s="288"/>
      <c r="I314" s="288">
        <f t="shared" ref="I314:Q314" si="94">I315+I323+I325+I327+I331</f>
        <v>0</v>
      </c>
      <c r="J314" s="288">
        <f t="shared" si="94"/>
        <v>0</v>
      </c>
      <c r="K314" s="288"/>
      <c r="L314" s="288">
        <f t="shared" si="94"/>
        <v>0</v>
      </c>
      <c r="M314" s="288"/>
      <c r="N314" s="288">
        <f t="shared" si="94"/>
        <v>0</v>
      </c>
      <c r="O314" s="288">
        <f t="shared" si="94"/>
        <v>0</v>
      </c>
      <c r="P314" s="288"/>
      <c r="Q314" s="288">
        <f t="shared" si="94"/>
        <v>0</v>
      </c>
    </row>
    <row r="315" spans="1:17" ht="39" hidden="1" x14ac:dyDescent="0.25">
      <c r="A315" s="309">
        <v>5242</v>
      </c>
      <c r="B315" s="283">
        <v>431000</v>
      </c>
      <c r="C315" s="287" t="s">
        <v>272</v>
      </c>
      <c r="D315" s="287"/>
      <c r="E315" s="288">
        <f>SUM(E316:E318)</f>
        <v>0</v>
      </c>
      <c r="F315" s="288"/>
      <c r="G315" s="288">
        <f t="shared" si="89"/>
        <v>0</v>
      </c>
      <c r="H315" s="288"/>
      <c r="I315" s="288">
        <f t="shared" ref="I315:Q315" si="95">SUM(I316:I318)</f>
        <v>0</v>
      </c>
      <c r="J315" s="288">
        <f t="shared" si="95"/>
        <v>0</v>
      </c>
      <c r="K315" s="288"/>
      <c r="L315" s="288">
        <f t="shared" si="95"/>
        <v>0</v>
      </c>
      <c r="M315" s="288"/>
      <c r="N315" s="288">
        <f t="shared" si="95"/>
        <v>0</v>
      </c>
      <c r="O315" s="288">
        <f t="shared" si="95"/>
        <v>0</v>
      </c>
      <c r="P315" s="288"/>
      <c r="Q315" s="288">
        <f t="shared" si="95"/>
        <v>0</v>
      </c>
    </row>
    <row r="316" spans="1:17" ht="26.25" hidden="1" x14ac:dyDescent="0.25">
      <c r="A316" s="327">
        <v>5243</v>
      </c>
      <c r="B316" s="294">
        <v>431100</v>
      </c>
      <c r="C316" s="295" t="s">
        <v>273</v>
      </c>
      <c r="D316" s="295"/>
      <c r="E316" s="277"/>
      <c r="F316" s="277"/>
      <c r="G316" s="311">
        <f t="shared" si="89"/>
        <v>0</v>
      </c>
      <c r="H316" s="311"/>
      <c r="I316" s="277"/>
      <c r="J316" s="277"/>
      <c r="K316" s="277"/>
      <c r="L316" s="277"/>
      <c r="M316" s="277"/>
      <c r="N316" s="277"/>
      <c r="O316" s="277"/>
      <c r="P316" s="277"/>
      <c r="Q316" s="277"/>
    </row>
    <row r="317" spans="1:17" hidden="1" x14ac:dyDescent="0.25">
      <c r="A317" s="327">
        <v>5244</v>
      </c>
      <c r="B317" s="294">
        <v>431200</v>
      </c>
      <c r="C317" s="295" t="s">
        <v>274</v>
      </c>
      <c r="D317" s="295"/>
      <c r="E317" s="277"/>
      <c r="F317" s="277"/>
      <c r="G317" s="311">
        <f t="shared" si="89"/>
        <v>0</v>
      </c>
      <c r="H317" s="311"/>
      <c r="I317" s="277"/>
      <c r="J317" s="277"/>
      <c r="K317" s="277"/>
      <c r="L317" s="277"/>
      <c r="M317" s="277"/>
      <c r="N317" s="277"/>
      <c r="O317" s="277"/>
      <c r="P317" s="277"/>
      <c r="Q317" s="277"/>
    </row>
    <row r="318" spans="1:17" ht="26.25" hidden="1" x14ac:dyDescent="0.25">
      <c r="A318" s="327">
        <v>5245</v>
      </c>
      <c r="B318" s="294">
        <v>431300</v>
      </c>
      <c r="C318" s="295" t="s">
        <v>275</v>
      </c>
      <c r="D318" s="295"/>
      <c r="E318" s="277"/>
      <c r="F318" s="277"/>
      <c r="G318" s="311">
        <f t="shared" si="89"/>
        <v>0</v>
      </c>
      <c r="H318" s="311"/>
      <c r="I318" s="277"/>
      <c r="J318" s="277"/>
      <c r="K318" s="277"/>
      <c r="L318" s="277"/>
      <c r="M318" s="277"/>
      <c r="N318" s="277"/>
      <c r="O318" s="277"/>
      <c r="P318" s="277"/>
      <c r="Q318" s="277"/>
    </row>
    <row r="319" spans="1:17" hidden="1" x14ac:dyDescent="0.25">
      <c r="A319" s="656" t="s">
        <v>0</v>
      </c>
      <c r="B319" s="657" t="s">
        <v>1</v>
      </c>
      <c r="C319" s="656" t="s">
        <v>2</v>
      </c>
      <c r="D319" s="308"/>
      <c r="E319" s="656" t="s">
        <v>217</v>
      </c>
      <c r="F319" s="308"/>
      <c r="G319" s="658" t="s">
        <v>198</v>
      </c>
      <c r="H319" s="658"/>
      <c r="I319" s="659"/>
      <c r="J319" s="659"/>
      <c r="K319" s="659"/>
      <c r="L319" s="659"/>
      <c r="M319" s="659"/>
      <c r="N319" s="659"/>
      <c r="O319" s="659"/>
      <c r="P319" s="659"/>
      <c r="Q319" s="659"/>
    </row>
    <row r="320" spans="1:17" hidden="1" x14ac:dyDescent="0.25">
      <c r="A320" s="656"/>
      <c r="B320" s="657"/>
      <c r="C320" s="656"/>
      <c r="D320" s="308"/>
      <c r="E320" s="656"/>
      <c r="F320" s="308"/>
      <c r="G320" s="658" t="s">
        <v>199</v>
      </c>
      <c r="H320" s="283"/>
      <c r="I320" s="658" t="s">
        <v>200</v>
      </c>
      <c r="J320" s="659"/>
      <c r="K320" s="659"/>
      <c r="L320" s="659"/>
      <c r="M320" s="659"/>
      <c r="N320" s="659"/>
      <c r="O320" s="658" t="s">
        <v>7</v>
      </c>
      <c r="P320" s="283"/>
      <c r="Q320" s="658" t="s">
        <v>8</v>
      </c>
    </row>
    <row r="321" spans="1:17" ht="39" hidden="1" x14ac:dyDescent="0.25">
      <c r="A321" s="656"/>
      <c r="B321" s="657"/>
      <c r="C321" s="656"/>
      <c r="D321" s="308"/>
      <c r="E321" s="656"/>
      <c r="F321" s="308"/>
      <c r="G321" s="659"/>
      <c r="H321" s="328"/>
      <c r="I321" s="283" t="s">
        <v>201</v>
      </c>
      <c r="J321" s="283" t="s">
        <v>10</v>
      </c>
      <c r="K321" s="283"/>
      <c r="L321" s="283" t="s">
        <v>11</v>
      </c>
      <c r="M321" s="283"/>
      <c r="N321" s="283" t="s">
        <v>12</v>
      </c>
      <c r="O321" s="659"/>
      <c r="P321" s="328"/>
      <c r="Q321" s="659"/>
    </row>
    <row r="322" spans="1:17" ht="26.25" hidden="1" x14ac:dyDescent="0.25">
      <c r="A322" s="305" t="s">
        <v>18</v>
      </c>
      <c r="B322" s="305" t="s">
        <v>19</v>
      </c>
      <c r="C322" s="305" t="s">
        <v>20</v>
      </c>
      <c r="D322" s="305"/>
      <c r="E322" s="305" t="s">
        <v>21</v>
      </c>
      <c r="F322" s="305"/>
      <c r="G322" s="305" t="s">
        <v>22</v>
      </c>
      <c r="H322" s="305"/>
      <c r="I322" s="305" t="s">
        <v>23</v>
      </c>
      <c r="J322" s="305" t="s">
        <v>24</v>
      </c>
      <c r="K322" s="305"/>
      <c r="L322" s="305" t="s">
        <v>25</v>
      </c>
      <c r="M322" s="305"/>
      <c r="N322" s="305" t="s">
        <v>26</v>
      </c>
      <c r="O322" s="305" t="s">
        <v>27</v>
      </c>
      <c r="P322" s="305"/>
      <c r="Q322" s="305" t="s">
        <v>28</v>
      </c>
    </row>
    <row r="323" spans="1:17" ht="39" hidden="1" x14ac:dyDescent="0.25">
      <c r="A323" s="309">
        <v>5246</v>
      </c>
      <c r="B323" s="283">
        <v>432000</v>
      </c>
      <c r="C323" s="287" t="s">
        <v>276</v>
      </c>
      <c r="D323" s="287"/>
      <c r="E323" s="288">
        <f>E324</f>
        <v>0</v>
      </c>
      <c r="F323" s="288"/>
      <c r="G323" s="288">
        <f t="shared" si="89"/>
        <v>0</v>
      </c>
      <c r="H323" s="288"/>
      <c r="I323" s="288">
        <f t="shared" ref="I323:Q323" si="96">I324</f>
        <v>0</v>
      </c>
      <c r="J323" s="288">
        <f t="shared" si="96"/>
        <v>0</v>
      </c>
      <c r="K323" s="288"/>
      <c r="L323" s="288">
        <f t="shared" si="96"/>
        <v>0</v>
      </c>
      <c r="M323" s="288"/>
      <c r="N323" s="288">
        <f t="shared" si="96"/>
        <v>0</v>
      </c>
      <c r="O323" s="288">
        <f t="shared" si="96"/>
        <v>0</v>
      </c>
      <c r="P323" s="288"/>
      <c r="Q323" s="288">
        <f t="shared" si="96"/>
        <v>0</v>
      </c>
    </row>
    <row r="324" spans="1:17" ht="26.25" hidden="1" x14ac:dyDescent="0.25">
      <c r="A324" s="327">
        <v>5247</v>
      </c>
      <c r="B324" s="294">
        <v>432100</v>
      </c>
      <c r="C324" s="295" t="s">
        <v>277</v>
      </c>
      <c r="D324" s="295"/>
      <c r="E324" s="277"/>
      <c r="F324" s="277"/>
      <c r="G324" s="311">
        <f t="shared" si="89"/>
        <v>0</v>
      </c>
      <c r="H324" s="311"/>
      <c r="I324" s="277"/>
      <c r="J324" s="277"/>
      <c r="K324" s="277"/>
      <c r="L324" s="277"/>
      <c r="M324" s="277"/>
      <c r="N324" s="277"/>
      <c r="O324" s="277"/>
      <c r="P324" s="277"/>
      <c r="Q324" s="277"/>
    </row>
    <row r="325" spans="1:17" ht="26.25" hidden="1" x14ac:dyDescent="0.25">
      <c r="A325" s="309">
        <v>5248</v>
      </c>
      <c r="B325" s="283">
        <v>433000</v>
      </c>
      <c r="C325" s="287" t="s">
        <v>278</v>
      </c>
      <c r="D325" s="287"/>
      <c r="E325" s="288">
        <f>E326</f>
        <v>0</v>
      </c>
      <c r="F325" s="288"/>
      <c r="G325" s="288">
        <f t="shared" si="89"/>
        <v>0</v>
      </c>
      <c r="H325" s="288"/>
      <c r="I325" s="288">
        <f t="shared" ref="I325:Q325" si="97">I326</f>
        <v>0</v>
      </c>
      <c r="J325" s="288">
        <f t="shared" si="97"/>
        <v>0</v>
      </c>
      <c r="K325" s="288"/>
      <c r="L325" s="288">
        <f t="shared" si="97"/>
        <v>0</v>
      </c>
      <c r="M325" s="288"/>
      <c r="N325" s="288">
        <f t="shared" si="97"/>
        <v>0</v>
      </c>
      <c r="O325" s="288">
        <f t="shared" si="97"/>
        <v>0</v>
      </c>
      <c r="P325" s="288"/>
      <c r="Q325" s="288">
        <f t="shared" si="97"/>
        <v>0</v>
      </c>
    </row>
    <row r="326" spans="1:17" hidden="1" x14ac:dyDescent="0.25">
      <c r="A326" s="327">
        <v>5249</v>
      </c>
      <c r="B326" s="294">
        <v>433100</v>
      </c>
      <c r="C326" s="295" t="s">
        <v>279</v>
      </c>
      <c r="D326" s="295"/>
      <c r="E326" s="277"/>
      <c r="F326" s="277"/>
      <c r="G326" s="311">
        <f t="shared" si="89"/>
        <v>0</v>
      </c>
      <c r="H326" s="311"/>
      <c r="I326" s="277"/>
      <c r="J326" s="277"/>
      <c r="K326" s="277"/>
      <c r="L326" s="277"/>
      <c r="M326" s="277"/>
      <c r="N326" s="277"/>
      <c r="O326" s="277"/>
      <c r="P326" s="277"/>
      <c r="Q326" s="277"/>
    </row>
    <row r="327" spans="1:17" ht="26.25" hidden="1" x14ac:dyDescent="0.25">
      <c r="A327" s="309">
        <v>5250</v>
      </c>
      <c r="B327" s="283">
        <v>434000</v>
      </c>
      <c r="C327" s="287" t="s">
        <v>280</v>
      </c>
      <c r="D327" s="287"/>
      <c r="E327" s="288">
        <f>SUM(E328:E330)</f>
        <v>0</v>
      </c>
      <c r="F327" s="288"/>
      <c r="G327" s="288">
        <f t="shared" si="89"/>
        <v>0</v>
      </c>
      <c r="H327" s="288"/>
      <c r="I327" s="288">
        <f t="shared" ref="I327:Q327" si="98">SUM(I328:I330)</f>
        <v>0</v>
      </c>
      <c r="J327" s="288">
        <f t="shared" si="98"/>
        <v>0</v>
      </c>
      <c r="K327" s="288"/>
      <c r="L327" s="288">
        <f t="shared" si="98"/>
        <v>0</v>
      </c>
      <c r="M327" s="288"/>
      <c r="N327" s="288">
        <f t="shared" si="98"/>
        <v>0</v>
      </c>
      <c r="O327" s="288">
        <f t="shared" si="98"/>
        <v>0</v>
      </c>
      <c r="P327" s="288"/>
      <c r="Q327" s="288">
        <f t="shared" si="98"/>
        <v>0</v>
      </c>
    </row>
    <row r="328" spans="1:17" hidden="1" x14ac:dyDescent="0.25">
      <c r="A328" s="327">
        <v>5251</v>
      </c>
      <c r="B328" s="294">
        <v>434100</v>
      </c>
      <c r="C328" s="295" t="s">
        <v>281</v>
      </c>
      <c r="D328" s="295"/>
      <c r="E328" s="277"/>
      <c r="F328" s="277"/>
      <c r="G328" s="311">
        <f t="shared" si="89"/>
        <v>0</v>
      </c>
      <c r="H328" s="311"/>
      <c r="I328" s="277"/>
      <c r="J328" s="277"/>
      <c r="K328" s="277"/>
      <c r="L328" s="277"/>
      <c r="M328" s="277"/>
      <c r="N328" s="277"/>
      <c r="O328" s="277"/>
      <c r="P328" s="277"/>
      <c r="Q328" s="277"/>
    </row>
    <row r="329" spans="1:17" hidden="1" x14ac:dyDescent="0.25">
      <c r="A329" s="327">
        <v>5252</v>
      </c>
      <c r="B329" s="294">
        <v>434200</v>
      </c>
      <c r="C329" s="295" t="s">
        <v>282</v>
      </c>
      <c r="D329" s="295"/>
      <c r="E329" s="277"/>
      <c r="F329" s="277"/>
      <c r="G329" s="311">
        <f t="shared" si="89"/>
        <v>0</v>
      </c>
      <c r="H329" s="311"/>
      <c r="I329" s="277"/>
      <c r="J329" s="277"/>
      <c r="K329" s="277"/>
      <c r="L329" s="277"/>
      <c r="M329" s="277"/>
      <c r="N329" s="277"/>
      <c r="O329" s="277"/>
      <c r="P329" s="277"/>
      <c r="Q329" s="277"/>
    </row>
    <row r="330" spans="1:17" hidden="1" x14ac:dyDescent="0.25">
      <c r="A330" s="327">
        <v>5253</v>
      </c>
      <c r="B330" s="294">
        <v>434300</v>
      </c>
      <c r="C330" s="295" t="s">
        <v>283</v>
      </c>
      <c r="D330" s="295"/>
      <c r="E330" s="277"/>
      <c r="F330" s="277"/>
      <c r="G330" s="311">
        <f t="shared" si="89"/>
        <v>0</v>
      </c>
      <c r="H330" s="311"/>
      <c r="I330" s="277"/>
      <c r="J330" s="277"/>
      <c r="K330" s="277"/>
      <c r="L330" s="277"/>
      <c r="M330" s="277"/>
      <c r="N330" s="277"/>
      <c r="O330" s="277"/>
      <c r="P330" s="277"/>
      <c r="Q330" s="277"/>
    </row>
    <row r="331" spans="1:17" ht="39" hidden="1" x14ac:dyDescent="0.25">
      <c r="A331" s="309">
        <v>5254</v>
      </c>
      <c r="B331" s="283">
        <v>435000</v>
      </c>
      <c r="C331" s="287" t="s">
        <v>284</v>
      </c>
      <c r="D331" s="287"/>
      <c r="E331" s="288">
        <f>E332</f>
        <v>0</v>
      </c>
      <c r="F331" s="288"/>
      <c r="G331" s="288">
        <f t="shared" si="89"/>
        <v>0</v>
      </c>
      <c r="H331" s="288"/>
      <c r="I331" s="288">
        <f t="shared" ref="I331:Q331" si="99">I332</f>
        <v>0</v>
      </c>
      <c r="J331" s="288">
        <f t="shared" si="99"/>
        <v>0</v>
      </c>
      <c r="K331" s="288"/>
      <c r="L331" s="288">
        <f t="shared" si="99"/>
        <v>0</v>
      </c>
      <c r="M331" s="288"/>
      <c r="N331" s="288">
        <f t="shared" si="99"/>
        <v>0</v>
      </c>
      <c r="O331" s="288">
        <f t="shared" si="99"/>
        <v>0</v>
      </c>
      <c r="P331" s="288"/>
      <c r="Q331" s="288">
        <f t="shared" si="99"/>
        <v>0</v>
      </c>
    </row>
    <row r="332" spans="1:17" ht="26.25" hidden="1" x14ac:dyDescent="0.25">
      <c r="A332" s="327">
        <v>5255</v>
      </c>
      <c r="B332" s="294">
        <v>435100</v>
      </c>
      <c r="C332" s="295" t="s">
        <v>285</v>
      </c>
      <c r="D332" s="295"/>
      <c r="E332" s="277"/>
      <c r="F332" s="277"/>
      <c r="G332" s="311">
        <f t="shared" si="89"/>
        <v>0</v>
      </c>
      <c r="H332" s="311"/>
      <c r="I332" s="277"/>
      <c r="J332" s="277"/>
      <c r="K332" s="277"/>
      <c r="L332" s="277"/>
      <c r="M332" s="277"/>
      <c r="N332" s="277"/>
      <c r="O332" s="277"/>
      <c r="P332" s="277"/>
      <c r="Q332" s="277"/>
    </row>
    <row r="333" spans="1:17" ht="51.75" x14ac:dyDescent="0.25">
      <c r="A333" s="309">
        <v>5256</v>
      </c>
      <c r="B333" s="283">
        <v>440000</v>
      </c>
      <c r="C333" s="287" t="s">
        <v>286</v>
      </c>
      <c r="D333" s="287"/>
      <c r="E333" s="288">
        <f>E334+E344+E355+E357</f>
        <v>275</v>
      </c>
      <c r="F333" s="288">
        <f t="shared" ref="F333:Q333" si="100">F334+F344+F355+F357</f>
        <v>600</v>
      </c>
      <c r="G333" s="288">
        <f t="shared" si="100"/>
        <v>251</v>
      </c>
      <c r="H333" s="288">
        <f t="shared" si="100"/>
        <v>0</v>
      </c>
      <c r="I333" s="288">
        <f t="shared" si="100"/>
        <v>0</v>
      </c>
      <c r="J333" s="288">
        <f t="shared" si="100"/>
        <v>0</v>
      </c>
      <c r="K333" s="288">
        <f t="shared" si="100"/>
        <v>0</v>
      </c>
      <c r="L333" s="288">
        <f t="shared" si="100"/>
        <v>0</v>
      </c>
      <c r="M333" s="288">
        <f t="shared" si="100"/>
        <v>0</v>
      </c>
      <c r="N333" s="288">
        <f t="shared" si="100"/>
        <v>0</v>
      </c>
      <c r="O333" s="288">
        <f t="shared" si="100"/>
        <v>0</v>
      </c>
      <c r="P333" s="288">
        <f t="shared" si="100"/>
        <v>600</v>
      </c>
      <c r="Q333" s="288">
        <f t="shared" si="100"/>
        <v>251</v>
      </c>
    </row>
    <row r="334" spans="1:17" ht="26.25" x14ac:dyDescent="0.25">
      <c r="A334" s="309">
        <v>5257</v>
      </c>
      <c r="B334" s="283">
        <v>441000</v>
      </c>
      <c r="C334" s="287" t="s">
        <v>287</v>
      </c>
      <c r="D334" s="287"/>
      <c r="E334" s="288">
        <f>SUM(E335:E343)</f>
        <v>275</v>
      </c>
      <c r="F334" s="288">
        <f t="shared" ref="F334:Q334" si="101">SUM(F335:F343)</f>
        <v>600</v>
      </c>
      <c r="G334" s="288">
        <f t="shared" si="101"/>
        <v>251</v>
      </c>
      <c r="H334" s="288">
        <f t="shared" si="101"/>
        <v>0</v>
      </c>
      <c r="I334" s="288">
        <f t="shared" si="101"/>
        <v>0</v>
      </c>
      <c r="J334" s="288">
        <f t="shared" si="101"/>
        <v>0</v>
      </c>
      <c r="K334" s="288">
        <f t="shared" si="101"/>
        <v>0</v>
      </c>
      <c r="L334" s="288">
        <f t="shared" si="101"/>
        <v>0</v>
      </c>
      <c r="M334" s="288">
        <f t="shared" si="101"/>
        <v>0</v>
      </c>
      <c r="N334" s="288">
        <f t="shared" si="101"/>
        <v>0</v>
      </c>
      <c r="O334" s="288">
        <f t="shared" si="101"/>
        <v>0</v>
      </c>
      <c r="P334" s="288">
        <f t="shared" si="101"/>
        <v>600</v>
      </c>
      <c r="Q334" s="288">
        <f t="shared" si="101"/>
        <v>251</v>
      </c>
    </row>
    <row r="335" spans="1:17" ht="26.25" hidden="1" x14ac:dyDescent="0.25">
      <c r="A335" s="327">
        <v>5258</v>
      </c>
      <c r="B335" s="294">
        <v>441100</v>
      </c>
      <c r="C335" s="295" t="s">
        <v>288</v>
      </c>
      <c r="D335" s="295"/>
      <c r="E335" s="277"/>
      <c r="F335" s="277"/>
      <c r="G335" s="311">
        <f t="shared" si="89"/>
        <v>0</v>
      </c>
      <c r="H335" s="311"/>
      <c r="I335" s="277"/>
      <c r="J335" s="277"/>
      <c r="K335" s="277"/>
      <c r="L335" s="277"/>
      <c r="M335" s="277"/>
      <c r="N335" s="277"/>
      <c r="O335" s="277"/>
      <c r="P335" s="277"/>
      <c r="Q335" s="277"/>
    </row>
    <row r="336" spans="1:17" ht="26.25" hidden="1" x14ac:dyDescent="0.25">
      <c r="A336" s="327">
        <v>5259</v>
      </c>
      <c r="B336" s="294">
        <v>441200</v>
      </c>
      <c r="C336" s="295" t="s">
        <v>289</v>
      </c>
      <c r="D336" s="295"/>
      <c r="E336" s="277"/>
      <c r="F336" s="277"/>
      <c r="G336" s="311">
        <f t="shared" si="89"/>
        <v>0</v>
      </c>
      <c r="H336" s="311"/>
      <c r="I336" s="277"/>
      <c r="J336" s="277"/>
      <c r="K336" s="277"/>
      <c r="L336" s="277"/>
      <c r="M336" s="277"/>
      <c r="N336" s="277"/>
      <c r="O336" s="277"/>
      <c r="P336" s="277"/>
      <c r="Q336" s="277"/>
    </row>
    <row r="337" spans="1:17" ht="26.25" hidden="1" x14ac:dyDescent="0.25">
      <c r="A337" s="327">
        <v>5260</v>
      </c>
      <c r="B337" s="294">
        <v>441300</v>
      </c>
      <c r="C337" s="295" t="s">
        <v>290</v>
      </c>
      <c r="D337" s="295"/>
      <c r="E337" s="277"/>
      <c r="F337" s="277"/>
      <c r="G337" s="311">
        <f t="shared" si="89"/>
        <v>0</v>
      </c>
      <c r="H337" s="311"/>
      <c r="I337" s="277"/>
      <c r="J337" s="277"/>
      <c r="K337" s="277"/>
      <c r="L337" s="277"/>
      <c r="M337" s="277"/>
      <c r="N337" s="277"/>
      <c r="O337" s="277"/>
      <c r="P337" s="277"/>
      <c r="Q337" s="277"/>
    </row>
    <row r="338" spans="1:17" ht="26.25" hidden="1" x14ac:dyDescent="0.25">
      <c r="A338" s="327">
        <v>5261</v>
      </c>
      <c r="B338" s="294">
        <v>441400</v>
      </c>
      <c r="C338" s="295" t="s">
        <v>291</v>
      </c>
      <c r="D338" s="295"/>
      <c r="E338" s="277"/>
      <c r="F338" s="277"/>
      <c r="G338" s="311">
        <f t="shared" si="89"/>
        <v>0</v>
      </c>
      <c r="H338" s="311"/>
      <c r="I338" s="277"/>
      <c r="J338" s="277"/>
      <c r="K338" s="277"/>
      <c r="L338" s="277"/>
      <c r="M338" s="277"/>
      <c r="N338" s="277"/>
      <c r="O338" s="277"/>
      <c r="P338" s="277"/>
      <c r="Q338" s="277"/>
    </row>
    <row r="339" spans="1:17" ht="26.25" x14ac:dyDescent="0.25">
      <c r="A339" s="327">
        <v>5262</v>
      </c>
      <c r="B339" s="294">
        <v>441500</v>
      </c>
      <c r="C339" s="295" t="s">
        <v>292</v>
      </c>
      <c r="D339" s="295"/>
      <c r="E339" s="277">
        <v>275</v>
      </c>
      <c r="F339" s="277">
        <f>H339+K339+M339+P339</f>
        <v>600</v>
      </c>
      <c r="G339" s="311">
        <f t="shared" ref="G339" si="102">SUM(I339:Q339)-K339-M339-P339</f>
        <v>251</v>
      </c>
      <c r="H339" s="311"/>
      <c r="I339" s="277"/>
      <c r="J339" s="277"/>
      <c r="K339" s="277"/>
      <c r="L339" s="277"/>
      <c r="M339" s="277"/>
      <c r="N339" s="277"/>
      <c r="O339" s="277"/>
      <c r="P339" s="277">
        <v>600</v>
      </c>
      <c r="Q339" s="277">
        <v>251</v>
      </c>
    </row>
    <row r="340" spans="1:17" ht="26.25" hidden="1" x14ac:dyDescent="0.25">
      <c r="A340" s="327">
        <v>5263</v>
      </c>
      <c r="B340" s="294">
        <v>441600</v>
      </c>
      <c r="C340" s="295" t="s">
        <v>293</v>
      </c>
      <c r="D340" s="295"/>
      <c r="E340" s="277"/>
      <c r="F340" s="277"/>
      <c r="G340" s="311">
        <f t="shared" si="89"/>
        <v>0</v>
      </c>
      <c r="H340" s="311"/>
      <c r="I340" s="277"/>
      <c r="J340" s="277"/>
      <c r="K340" s="277"/>
      <c r="L340" s="277"/>
      <c r="M340" s="277"/>
      <c r="N340" s="277"/>
      <c r="O340" s="277"/>
      <c r="P340" s="277"/>
      <c r="Q340" s="277"/>
    </row>
    <row r="341" spans="1:17" ht="26.25" hidden="1" x14ac:dyDescent="0.25">
      <c r="A341" s="327">
        <v>5264</v>
      </c>
      <c r="B341" s="294">
        <v>441700</v>
      </c>
      <c r="C341" s="295" t="s">
        <v>294</v>
      </c>
      <c r="D341" s="295"/>
      <c r="E341" s="277"/>
      <c r="F341" s="277"/>
      <c r="G341" s="311">
        <f t="shared" si="89"/>
        <v>0</v>
      </c>
      <c r="H341" s="311"/>
      <c r="I341" s="277"/>
      <c r="J341" s="277"/>
      <c r="K341" s="277"/>
      <c r="L341" s="277"/>
      <c r="M341" s="277"/>
      <c r="N341" s="277"/>
      <c r="O341" s="277"/>
      <c r="P341" s="277"/>
      <c r="Q341" s="277"/>
    </row>
    <row r="342" spans="1:17" ht="26.25" hidden="1" x14ac:dyDescent="0.25">
      <c r="A342" s="327">
        <v>5265</v>
      </c>
      <c r="B342" s="294">
        <v>441800</v>
      </c>
      <c r="C342" s="295" t="s">
        <v>295</v>
      </c>
      <c r="D342" s="295"/>
      <c r="E342" s="277"/>
      <c r="F342" s="277"/>
      <c r="G342" s="311">
        <f t="shared" si="89"/>
        <v>0</v>
      </c>
      <c r="H342" s="311"/>
      <c r="I342" s="277"/>
      <c r="J342" s="277"/>
      <c r="K342" s="277"/>
      <c r="L342" s="277"/>
      <c r="M342" s="277"/>
      <c r="N342" s="277"/>
      <c r="O342" s="277"/>
      <c r="P342" s="277"/>
      <c r="Q342" s="277"/>
    </row>
    <row r="343" spans="1:17" ht="26.25" hidden="1" x14ac:dyDescent="0.25">
      <c r="A343" s="327">
        <v>5266</v>
      </c>
      <c r="B343" s="294">
        <v>441900</v>
      </c>
      <c r="C343" s="295" t="s">
        <v>99</v>
      </c>
      <c r="D343" s="295"/>
      <c r="E343" s="277"/>
      <c r="F343" s="277"/>
      <c r="G343" s="311">
        <f t="shared" si="89"/>
        <v>0</v>
      </c>
      <c r="H343" s="311"/>
      <c r="I343" s="277"/>
      <c r="J343" s="277"/>
      <c r="K343" s="277"/>
      <c r="L343" s="277"/>
      <c r="M343" s="277"/>
      <c r="N343" s="277"/>
      <c r="O343" s="277"/>
      <c r="P343" s="277"/>
      <c r="Q343" s="277"/>
    </row>
    <row r="344" spans="1:17" ht="26.25" hidden="1" x14ac:dyDescent="0.25">
      <c r="A344" s="309">
        <v>5267</v>
      </c>
      <c r="B344" s="283">
        <v>442000</v>
      </c>
      <c r="C344" s="287" t="s">
        <v>296</v>
      </c>
      <c r="D344" s="287"/>
      <c r="E344" s="288">
        <f>SUM(E345:E354)</f>
        <v>0</v>
      </c>
      <c r="F344" s="288"/>
      <c r="G344" s="288">
        <f t="shared" si="89"/>
        <v>0</v>
      </c>
      <c r="H344" s="288"/>
      <c r="I344" s="288">
        <f t="shared" ref="I344:Q344" si="103">SUM(I345:I354)</f>
        <v>0</v>
      </c>
      <c r="J344" s="288">
        <f t="shared" si="103"/>
        <v>0</v>
      </c>
      <c r="K344" s="288"/>
      <c r="L344" s="288">
        <f t="shared" si="103"/>
        <v>0</v>
      </c>
      <c r="M344" s="288"/>
      <c r="N344" s="288">
        <f t="shared" si="103"/>
        <v>0</v>
      </c>
      <c r="O344" s="288">
        <f t="shared" si="103"/>
        <v>0</v>
      </c>
      <c r="P344" s="288"/>
      <c r="Q344" s="288">
        <f t="shared" si="103"/>
        <v>0</v>
      </c>
    </row>
    <row r="345" spans="1:17" ht="51.75" hidden="1" x14ac:dyDescent="0.25">
      <c r="A345" s="327">
        <v>5268</v>
      </c>
      <c r="B345" s="294">
        <v>442100</v>
      </c>
      <c r="C345" s="295" t="s">
        <v>297</v>
      </c>
      <c r="D345" s="295"/>
      <c r="E345" s="277"/>
      <c r="F345" s="277"/>
      <c r="G345" s="311">
        <f t="shared" si="89"/>
        <v>0</v>
      </c>
      <c r="H345" s="311"/>
      <c r="I345" s="277"/>
      <c r="J345" s="277"/>
      <c r="K345" s="277"/>
      <c r="L345" s="277"/>
      <c r="M345" s="277"/>
      <c r="N345" s="277"/>
      <c r="O345" s="277"/>
      <c r="P345" s="277"/>
      <c r="Q345" s="277"/>
    </row>
    <row r="346" spans="1:17" hidden="1" x14ac:dyDescent="0.25">
      <c r="A346" s="327">
        <v>5269</v>
      </c>
      <c r="B346" s="294">
        <v>442200</v>
      </c>
      <c r="C346" s="295" t="s">
        <v>298</v>
      </c>
      <c r="D346" s="295"/>
      <c r="E346" s="277"/>
      <c r="F346" s="277"/>
      <c r="G346" s="311">
        <f t="shared" si="89"/>
        <v>0</v>
      </c>
      <c r="H346" s="311"/>
      <c r="I346" s="277"/>
      <c r="J346" s="277"/>
      <c r="K346" s="277"/>
      <c r="L346" s="277"/>
      <c r="M346" s="277"/>
      <c r="N346" s="277"/>
      <c r="O346" s="277"/>
      <c r="P346" s="277"/>
      <c r="Q346" s="277"/>
    </row>
    <row r="347" spans="1:17" ht="26.25" hidden="1" x14ac:dyDescent="0.25">
      <c r="A347" s="327">
        <v>5270</v>
      </c>
      <c r="B347" s="294">
        <v>442300</v>
      </c>
      <c r="C347" s="295" t="s">
        <v>299</v>
      </c>
      <c r="D347" s="295"/>
      <c r="E347" s="277"/>
      <c r="F347" s="277"/>
      <c r="G347" s="311">
        <f t="shared" si="89"/>
        <v>0</v>
      </c>
      <c r="H347" s="311"/>
      <c r="I347" s="277"/>
      <c r="J347" s="277"/>
      <c r="K347" s="277"/>
      <c r="L347" s="277"/>
      <c r="M347" s="277"/>
      <c r="N347" s="277"/>
      <c r="O347" s="277"/>
      <c r="P347" s="277"/>
      <c r="Q347" s="277"/>
    </row>
    <row r="348" spans="1:17" ht="26.25" hidden="1" x14ac:dyDescent="0.25">
      <c r="A348" s="327">
        <v>5271</v>
      </c>
      <c r="B348" s="294">
        <v>442400</v>
      </c>
      <c r="C348" s="295" t="s">
        <v>300</v>
      </c>
      <c r="D348" s="295"/>
      <c r="E348" s="277"/>
      <c r="F348" s="277"/>
      <c r="G348" s="311">
        <f t="shared" si="89"/>
        <v>0</v>
      </c>
      <c r="H348" s="311"/>
      <c r="I348" s="277"/>
      <c r="J348" s="277"/>
      <c r="K348" s="277"/>
      <c r="L348" s="277"/>
      <c r="M348" s="277"/>
      <c r="N348" s="277"/>
      <c r="O348" s="277"/>
      <c r="P348" s="277"/>
      <c r="Q348" s="277"/>
    </row>
    <row r="349" spans="1:17" hidden="1" x14ac:dyDescent="0.25">
      <c r="A349" s="656" t="s">
        <v>0</v>
      </c>
      <c r="B349" s="657" t="s">
        <v>1</v>
      </c>
      <c r="C349" s="656" t="s">
        <v>2</v>
      </c>
      <c r="D349" s="308"/>
      <c r="E349" s="656" t="s">
        <v>217</v>
      </c>
      <c r="F349" s="308"/>
      <c r="G349" s="658" t="s">
        <v>198</v>
      </c>
      <c r="H349" s="658"/>
      <c r="I349" s="659"/>
      <c r="J349" s="659"/>
      <c r="K349" s="659"/>
      <c r="L349" s="659"/>
      <c r="M349" s="659"/>
      <c r="N349" s="659"/>
      <c r="O349" s="659"/>
      <c r="P349" s="659"/>
      <c r="Q349" s="659"/>
    </row>
    <row r="350" spans="1:17" hidden="1" x14ac:dyDescent="0.25">
      <c r="A350" s="656"/>
      <c r="B350" s="657"/>
      <c r="C350" s="656"/>
      <c r="D350" s="308"/>
      <c r="E350" s="656"/>
      <c r="F350" s="308"/>
      <c r="G350" s="658" t="s">
        <v>199</v>
      </c>
      <c r="H350" s="283"/>
      <c r="I350" s="658" t="s">
        <v>200</v>
      </c>
      <c r="J350" s="659"/>
      <c r="K350" s="659"/>
      <c r="L350" s="659"/>
      <c r="M350" s="659"/>
      <c r="N350" s="659"/>
      <c r="O350" s="658" t="s">
        <v>7</v>
      </c>
      <c r="P350" s="283"/>
      <c r="Q350" s="658" t="s">
        <v>8</v>
      </c>
    </row>
    <row r="351" spans="1:17" ht="39" hidden="1" x14ac:dyDescent="0.25">
      <c r="A351" s="656"/>
      <c r="B351" s="657"/>
      <c r="C351" s="656"/>
      <c r="D351" s="308"/>
      <c r="E351" s="656"/>
      <c r="F351" s="308"/>
      <c r="G351" s="659"/>
      <c r="H351" s="328"/>
      <c r="I351" s="283" t="s">
        <v>201</v>
      </c>
      <c r="J351" s="283" t="s">
        <v>10</v>
      </c>
      <c r="K351" s="283"/>
      <c r="L351" s="283" t="s">
        <v>11</v>
      </c>
      <c r="M351" s="283"/>
      <c r="N351" s="283" t="s">
        <v>12</v>
      </c>
      <c r="O351" s="659"/>
      <c r="P351" s="328"/>
      <c r="Q351" s="659"/>
    </row>
    <row r="352" spans="1:17" ht="26.25" hidden="1" x14ac:dyDescent="0.25">
      <c r="A352" s="305" t="s">
        <v>18</v>
      </c>
      <c r="B352" s="305" t="s">
        <v>19</v>
      </c>
      <c r="C352" s="305" t="s">
        <v>20</v>
      </c>
      <c r="D352" s="305"/>
      <c r="E352" s="305" t="s">
        <v>21</v>
      </c>
      <c r="F352" s="305"/>
      <c r="G352" s="305" t="s">
        <v>22</v>
      </c>
      <c r="H352" s="305"/>
      <c r="I352" s="305" t="s">
        <v>23</v>
      </c>
      <c r="J352" s="305" t="s">
        <v>24</v>
      </c>
      <c r="K352" s="305"/>
      <c r="L352" s="305" t="s">
        <v>25</v>
      </c>
      <c r="M352" s="305"/>
      <c r="N352" s="305" t="s">
        <v>26</v>
      </c>
      <c r="O352" s="305" t="s">
        <v>27</v>
      </c>
      <c r="P352" s="305"/>
      <c r="Q352" s="305" t="s">
        <v>28</v>
      </c>
    </row>
    <row r="353" spans="1:17" ht="26.25" hidden="1" x14ac:dyDescent="0.25">
      <c r="A353" s="327">
        <v>5272</v>
      </c>
      <c r="B353" s="294">
        <v>442500</v>
      </c>
      <c r="C353" s="295" t="s">
        <v>301</v>
      </c>
      <c r="D353" s="295"/>
      <c r="E353" s="277"/>
      <c r="F353" s="277"/>
      <c r="G353" s="311">
        <f t="shared" si="89"/>
        <v>0</v>
      </c>
      <c r="H353" s="311"/>
      <c r="I353" s="277"/>
      <c r="J353" s="277"/>
      <c r="K353" s="277"/>
      <c r="L353" s="277"/>
      <c r="M353" s="277"/>
      <c r="N353" s="277"/>
      <c r="O353" s="277"/>
      <c r="P353" s="277"/>
      <c r="Q353" s="277"/>
    </row>
    <row r="354" spans="1:17" ht="26.25" hidden="1" x14ac:dyDescent="0.25">
      <c r="A354" s="327">
        <v>5273</v>
      </c>
      <c r="B354" s="294">
        <v>442600</v>
      </c>
      <c r="C354" s="295" t="s">
        <v>302</v>
      </c>
      <c r="D354" s="295"/>
      <c r="E354" s="277"/>
      <c r="F354" s="277"/>
      <c r="G354" s="311">
        <f t="shared" si="89"/>
        <v>0</v>
      </c>
      <c r="H354" s="311"/>
      <c r="I354" s="277"/>
      <c r="J354" s="277"/>
      <c r="K354" s="277"/>
      <c r="L354" s="277"/>
      <c r="M354" s="277"/>
      <c r="N354" s="277"/>
      <c r="O354" s="277"/>
      <c r="P354" s="277"/>
      <c r="Q354" s="277"/>
    </row>
    <row r="355" spans="1:17" ht="26.25" hidden="1" x14ac:dyDescent="0.25">
      <c r="A355" s="309">
        <v>5274</v>
      </c>
      <c r="B355" s="283">
        <v>443000</v>
      </c>
      <c r="C355" s="287" t="s">
        <v>303</v>
      </c>
      <c r="D355" s="287"/>
      <c r="E355" s="288">
        <f>E356</f>
        <v>0</v>
      </c>
      <c r="F355" s="288"/>
      <c r="G355" s="288">
        <f t="shared" si="89"/>
        <v>0</v>
      </c>
      <c r="H355" s="288"/>
      <c r="I355" s="288">
        <f t="shared" ref="I355:Q355" si="104">I356</f>
        <v>0</v>
      </c>
      <c r="J355" s="288">
        <f t="shared" si="104"/>
        <v>0</v>
      </c>
      <c r="K355" s="288"/>
      <c r="L355" s="288">
        <f t="shared" si="104"/>
        <v>0</v>
      </c>
      <c r="M355" s="288"/>
      <c r="N355" s="288">
        <f t="shared" si="104"/>
        <v>0</v>
      </c>
      <c r="O355" s="288">
        <f t="shared" si="104"/>
        <v>0</v>
      </c>
      <c r="P355" s="288"/>
      <c r="Q355" s="288">
        <f t="shared" si="104"/>
        <v>0</v>
      </c>
    </row>
    <row r="356" spans="1:17" hidden="1" x14ac:dyDescent="0.25">
      <c r="A356" s="327">
        <v>5275</v>
      </c>
      <c r="B356" s="294">
        <v>443100</v>
      </c>
      <c r="C356" s="295" t="s">
        <v>304</v>
      </c>
      <c r="D356" s="295"/>
      <c r="E356" s="277"/>
      <c r="F356" s="277"/>
      <c r="G356" s="311">
        <f t="shared" si="89"/>
        <v>0</v>
      </c>
      <c r="H356" s="311"/>
      <c r="I356" s="277"/>
      <c r="J356" s="277"/>
      <c r="K356" s="277"/>
      <c r="L356" s="277"/>
      <c r="M356" s="277"/>
      <c r="N356" s="277"/>
      <c r="O356" s="277"/>
      <c r="P356" s="277"/>
      <c r="Q356" s="277"/>
    </row>
    <row r="357" spans="1:17" ht="39" hidden="1" x14ac:dyDescent="0.25">
      <c r="A357" s="309">
        <v>5276</v>
      </c>
      <c r="B357" s="283">
        <v>444000</v>
      </c>
      <c r="C357" s="287" t="s">
        <v>305</v>
      </c>
      <c r="D357" s="287"/>
      <c r="E357" s="288">
        <f>SUM(E358:E360)</f>
        <v>0</v>
      </c>
      <c r="F357" s="288"/>
      <c r="G357" s="288">
        <f t="shared" si="89"/>
        <v>0</v>
      </c>
      <c r="H357" s="288"/>
      <c r="I357" s="288">
        <f t="shared" ref="I357:Q357" si="105">SUM(I358:I360)</f>
        <v>0</v>
      </c>
      <c r="J357" s="288">
        <f t="shared" si="105"/>
        <v>0</v>
      </c>
      <c r="K357" s="288"/>
      <c r="L357" s="288">
        <f t="shared" si="105"/>
        <v>0</v>
      </c>
      <c r="M357" s="288"/>
      <c r="N357" s="288">
        <f t="shared" si="105"/>
        <v>0</v>
      </c>
      <c r="O357" s="288">
        <f t="shared" si="105"/>
        <v>0</v>
      </c>
      <c r="P357" s="288"/>
      <c r="Q357" s="288">
        <f t="shared" si="105"/>
        <v>0</v>
      </c>
    </row>
    <row r="358" spans="1:17" hidden="1" x14ac:dyDescent="0.25">
      <c r="A358" s="327">
        <v>5277</v>
      </c>
      <c r="B358" s="294">
        <v>444100</v>
      </c>
      <c r="C358" s="295" t="s">
        <v>306</v>
      </c>
      <c r="D358" s="295"/>
      <c r="E358" s="277"/>
      <c r="F358" s="277"/>
      <c r="G358" s="311">
        <f t="shared" si="89"/>
        <v>0</v>
      </c>
      <c r="H358" s="311"/>
      <c r="I358" s="277"/>
      <c r="J358" s="277"/>
      <c r="K358" s="277"/>
      <c r="L358" s="277"/>
      <c r="M358" s="277"/>
      <c r="N358" s="277"/>
      <c r="O358" s="277"/>
      <c r="P358" s="277"/>
      <c r="Q358" s="277"/>
    </row>
    <row r="359" spans="1:17" hidden="1" x14ac:dyDescent="0.25">
      <c r="A359" s="327">
        <v>5278</v>
      </c>
      <c r="B359" s="294">
        <v>444200</v>
      </c>
      <c r="C359" s="295" t="s">
        <v>307</v>
      </c>
      <c r="D359" s="295"/>
      <c r="E359" s="277"/>
      <c r="F359" s="277"/>
      <c r="G359" s="311">
        <f t="shared" si="89"/>
        <v>0</v>
      </c>
      <c r="H359" s="311"/>
      <c r="I359" s="277"/>
      <c r="J359" s="277"/>
      <c r="K359" s="277"/>
      <c r="L359" s="277"/>
      <c r="M359" s="277"/>
      <c r="N359" s="277"/>
      <c r="O359" s="277"/>
      <c r="P359" s="277"/>
      <c r="Q359" s="277"/>
    </row>
    <row r="360" spans="1:17" ht="26.25" hidden="1" x14ac:dyDescent="0.25">
      <c r="A360" s="327">
        <v>5279</v>
      </c>
      <c r="B360" s="294">
        <v>444300</v>
      </c>
      <c r="C360" s="295" t="s">
        <v>308</v>
      </c>
      <c r="D360" s="295"/>
      <c r="E360" s="277"/>
      <c r="F360" s="277"/>
      <c r="G360" s="311">
        <f t="shared" si="89"/>
        <v>0</v>
      </c>
      <c r="H360" s="311"/>
      <c r="I360" s="277"/>
      <c r="J360" s="277"/>
      <c r="K360" s="277"/>
      <c r="L360" s="277"/>
      <c r="M360" s="277"/>
      <c r="N360" s="277"/>
      <c r="O360" s="277"/>
      <c r="P360" s="277"/>
      <c r="Q360" s="277"/>
    </row>
    <row r="361" spans="1:17" ht="26.25" hidden="1" x14ac:dyDescent="0.25">
      <c r="A361" s="309">
        <v>5280</v>
      </c>
      <c r="B361" s="283">
        <v>450000</v>
      </c>
      <c r="C361" s="287" t="s">
        <v>309</v>
      </c>
      <c r="D361" s="287"/>
      <c r="E361" s="288">
        <f>E362+E365+E368+E371</f>
        <v>0</v>
      </c>
      <c r="F361" s="288"/>
      <c r="G361" s="288">
        <f t="shared" si="89"/>
        <v>0</v>
      </c>
      <c r="H361" s="288"/>
      <c r="I361" s="288">
        <f t="shared" ref="I361:Q361" si="106">I362+I365+I368+I371</f>
        <v>0</v>
      </c>
      <c r="J361" s="288">
        <f t="shared" si="106"/>
        <v>0</v>
      </c>
      <c r="K361" s="288"/>
      <c r="L361" s="288">
        <f t="shared" si="106"/>
        <v>0</v>
      </c>
      <c r="M361" s="288"/>
      <c r="N361" s="288">
        <f t="shared" si="106"/>
        <v>0</v>
      </c>
      <c r="O361" s="288">
        <f t="shared" si="106"/>
        <v>0</v>
      </c>
      <c r="P361" s="288"/>
      <c r="Q361" s="288">
        <f t="shared" si="106"/>
        <v>0</v>
      </c>
    </row>
    <row r="362" spans="1:17" ht="64.5" hidden="1" x14ac:dyDescent="0.25">
      <c r="A362" s="309">
        <v>5281</v>
      </c>
      <c r="B362" s="283">
        <v>451000</v>
      </c>
      <c r="C362" s="287" t="s">
        <v>310</v>
      </c>
      <c r="D362" s="287"/>
      <c r="E362" s="288">
        <f>E363+E364</f>
        <v>0</v>
      </c>
      <c r="F362" s="288"/>
      <c r="G362" s="288">
        <f t="shared" si="89"/>
        <v>0</v>
      </c>
      <c r="H362" s="288"/>
      <c r="I362" s="288">
        <f t="shared" ref="I362:Q362" si="107">I363+I364</f>
        <v>0</v>
      </c>
      <c r="J362" s="288">
        <f t="shared" si="107"/>
        <v>0</v>
      </c>
      <c r="K362" s="288"/>
      <c r="L362" s="288">
        <f t="shared" si="107"/>
        <v>0</v>
      </c>
      <c r="M362" s="288"/>
      <c r="N362" s="288">
        <f t="shared" si="107"/>
        <v>0</v>
      </c>
      <c r="O362" s="288">
        <f t="shared" si="107"/>
        <v>0</v>
      </c>
      <c r="P362" s="288"/>
      <c r="Q362" s="288">
        <f t="shared" si="107"/>
        <v>0</v>
      </c>
    </row>
    <row r="363" spans="1:17" ht="39" hidden="1" x14ac:dyDescent="0.25">
      <c r="A363" s="327">
        <v>5282</v>
      </c>
      <c r="B363" s="294">
        <v>451100</v>
      </c>
      <c r="C363" s="295" t="s">
        <v>311</v>
      </c>
      <c r="D363" s="295"/>
      <c r="E363" s="277"/>
      <c r="F363" s="277"/>
      <c r="G363" s="311">
        <f t="shared" si="89"/>
        <v>0</v>
      </c>
      <c r="H363" s="311"/>
      <c r="I363" s="277"/>
      <c r="J363" s="277"/>
      <c r="K363" s="277"/>
      <c r="L363" s="277"/>
      <c r="M363" s="277"/>
      <c r="N363" s="277"/>
      <c r="O363" s="277"/>
      <c r="P363" s="277"/>
      <c r="Q363" s="277"/>
    </row>
    <row r="364" spans="1:17" ht="39" hidden="1" x14ac:dyDescent="0.25">
      <c r="A364" s="327">
        <v>5283</v>
      </c>
      <c r="B364" s="294">
        <v>451200</v>
      </c>
      <c r="C364" s="295" t="s">
        <v>312</v>
      </c>
      <c r="D364" s="295"/>
      <c r="E364" s="277"/>
      <c r="F364" s="277"/>
      <c r="G364" s="311">
        <f t="shared" si="89"/>
        <v>0</v>
      </c>
      <c r="H364" s="311"/>
      <c r="I364" s="277"/>
      <c r="J364" s="277"/>
      <c r="K364" s="277"/>
      <c r="L364" s="277"/>
      <c r="M364" s="277"/>
      <c r="N364" s="277"/>
      <c r="O364" s="277"/>
      <c r="P364" s="277"/>
      <c r="Q364" s="277"/>
    </row>
    <row r="365" spans="1:17" ht="51.75" hidden="1" x14ac:dyDescent="0.25">
      <c r="A365" s="309">
        <v>5284</v>
      </c>
      <c r="B365" s="283">
        <v>452000</v>
      </c>
      <c r="C365" s="287" t="s">
        <v>313</v>
      </c>
      <c r="D365" s="287"/>
      <c r="E365" s="288">
        <f>E366+E367</f>
        <v>0</v>
      </c>
      <c r="F365" s="288"/>
      <c r="G365" s="288">
        <f t="shared" si="89"/>
        <v>0</v>
      </c>
      <c r="H365" s="288"/>
      <c r="I365" s="288">
        <f t="shared" ref="I365:Q365" si="108">I366+I367</f>
        <v>0</v>
      </c>
      <c r="J365" s="288">
        <f t="shared" si="108"/>
        <v>0</v>
      </c>
      <c r="K365" s="288"/>
      <c r="L365" s="288">
        <f t="shared" si="108"/>
        <v>0</v>
      </c>
      <c r="M365" s="288"/>
      <c r="N365" s="288">
        <f t="shared" si="108"/>
        <v>0</v>
      </c>
      <c r="O365" s="288">
        <f t="shared" si="108"/>
        <v>0</v>
      </c>
      <c r="P365" s="288"/>
      <c r="Q365" s="288">
        <f t="shared" si="108"/>
        <v>0</v>
      </c>
    </row>
    <row r="366" spans="1:17" ht="26.25" hidden="1" x14ac:dyDescent="0.25">
      <c r="A366" s="327">
        <v>5285</v>
      </c>
      <c r="B366" s="294">
        <v>452100</v>
      </c>
      <c r="C366" s="295" t="s">
        <v>314</v>
      </c>
      <c r="D366" s="295"/>
      <c r="E366" s="277"/>
      <c r="F366" s="277"/>
      <c r="G366" s="311">
        <f t="shared" si="89"/>
        <v>0</v>
      </c>
      <c r="H366" s="311"/>
      <c r="I366" s="277"/>
      <c r="J366" s="277"/>
      <c r="K366" s="277"/>
      <c r="L366" s="277"/>
      <c r="M366" s="277"/>
      <c r="N366" s="277"/>
      <c r="O366" s="277"/>
      <c r="P366" s="277"/>
      <c r="Q366" s="277"/>
    </row>
    <row r="367" spans="1:17" ht="26.25" hidden="1" x14ac:dyDescent="0.25">
      <c r="A367" s="327">
        <v>5286</v>
      </c>
      <c r="B367" s="294">
        <v>452200</v>
      </c>
      <c r="C367" s="295" t="s">
        <v>315</v>
      </c>
      <c r="D367" s="295"/>
      <c r="E367" s="277"/>
      <c r="F367" s="277"/>
      <c r="G367" s="311">
        <f t="shared" si="89"/>
        <v>0</v>
      </c>
      <c r="H367" s="311"/>
      <c r="I367" s="277"/>
      <c r="J367" s="277"/>
      <c r="K367" s="277"/>
      <c r="L367" s="277"/>
      <c r="M367" s="277"/>
      <c r="N367" s="277"/>
      <c r="O367" s="277"/>
      <c r="P367" s="277"/>
      <c r="Q367" s="277"/>
    </row>
    <row r="368" spans="1:17" ht="51.75" hidden="1" x14ac:dyDescent="0.25">
      <c r="A368" s="309">
        <v>5287</v>
      </c>
      <c r="B368" s="283">
        <v>453000</v>
      </c>
      <c r="C368" s="287" t="s">
        <v>316</v>
      </c>
      <c r="D368" s="287"/>
      <c r="E368" s="288">
        <f>E369+E370</f>
        <v>0</v>
      </c>
      <c r="F368" s="288"/>
      <c r="G368" s="288">
        <f t="shared" si="89"/>
        <v>0</v>
      </c>
      <c r="H368" s="288"/>
      <c r="I368" s="288">
        <f t="shared" ref="I368:Q368" si="109">I369+I370</f>
        <v>0</v>
      </c>
      <c r="J368" s="288">
        <f t="shared" si="109"/>
        <v>0</v>
      </c>
      <c r="K368" s="288"/>
      <c r="L368" s="288">
        <f t="shared" si="109"/>
        <v>0</v>
      </c>
      <c r="M368" s="288"/>
      <c r="N368" s="288">
        <f t="shared" si="109"/>
        <v>0</v>
      </c>
      <c r="O368" s="288">
        <f t="shared" si="109"/>
        <v>0</v>
      </c>
      <c r="P368" s="288"/>
      <c r="Q368" s="288">
        <f t="shared" si="109"/>
        <v>0</v>
      </c>
    </row>
    <row r="369" spans="1:17" ht="26.25" hidden="1" x14ac:dyDescent="0.25">
      <c r="A369" s="327">
        <v>5288</v>
      </c>
      <c r="B369" s="294">
        <v>453100</v>
      </c>
      <c r="C369" s="295" t="s">
        <v>317</v>
      </c>
      <c r="D369" s="295"/>
      <c r="E369" s="277"/>
      <c r="F369" s="277"/>
      <c r="G369" s="311">
        <f t="shared" si="89"/>
        <v>0</v>
      </c>
      <c r="H369" s="311"/>
      <c r="I369" s="277"/>
      <c r="J369" s="277"/>
      <c r="K369" s="277"/>
      <c r="L369" s="277"/>
      <c r="M369" s="277"/>
      <c r="N369" s="277"/>
      <c r="O369" s="277"/>
      <c r="P369" s="277"/>
      <c r="Q369" s="277"/>
    </row>
    <row r="370" spans="1:17" ht="26.25" hidden="1" x14ac:dyDescent="0.25">
      <c r="A370" s="327">
        <v>5289</v>
      </c>
      <c r="B370" s="294">
        <v>453200</v>
      </c>
      <c r="C370" s="295" t="s">
        <v>318</v>
      </c>
      <c r="D370" s="295"/>
      <c r="E370" s="277"/>
      <c r="F370" s="277"/>
      <c r="G370" s="311">
        <f t="shared" si="89"/>
        <v>0</v>
      </c>
      <c r="H370" s="311"/>
      <c r="I370" s="277"/>
      <c r="J370" s="277"/>
      <c r="K370" s="277"/>
      <c r="L370" s="277"/>
      <c r="M370" s="277"/>
      <c r="N370" s="277"/>
      <c r="O370" s="277"/>
      <c r="P370" s="277"/>
      <c r="Q370" s="277"/>
    </row>
    <row r="371" spans="1:17" ht="26.25" hidden="1" x14ac:dyDescent="0.25">
      <c r="A371" s="309">
        <v>5290</v>
      </c>
      <c r="B371" s="283">
        <v>454000</v>
      </c>
      <c r="C371" s="287" t="s">
        <v>319</v>
      </c>
      <c r="D371" s="287"/>
      <c r="E371" s="288">
        <f>E372+E373</f>
        <v>0</v>
      </c>
      <c r="F371" s="288"/>
      <c r="G371" s="288">
        <f t="shared" si="89"/>
        <v>0</v>
      </c>
      <c r="H371" s="288"/>
      <c r="I371" s="288">
        <f t="shared" ref="I371:Q371" si="110">I372+I373</f>
        <v>0</v>
      </c>
      <c r="J371" s="288">
        <f t="shared" si="110"/>
        <v>0</v>
      </c>
      <c r="K371" s="288"/>
      <c r="L371" s="288">
        <f t="shared" si="110"/>
        <v>0</v>
      </c>
      <c r="M371" s="288"/>
      <c r="N371" s="288">
        <f t="shared" si="110"/>
        <v>0</v>
      </c>
      <c r="O371" s="288">
        <f t="shared" si="110"/>
        <v>0</v>
      </c>
      <c r="P371" s="288"/>
      <c r="Q371" s="288">
        <f t="shared" si="110"/>
        <v>0</v>
      </c>
    </row>
    <row r="372" spans="1:17" ht="26.25" hidden="1" x14ac:dyDescent="0.25">
      <c r="A372" s="327">
        <v>5291</v>
      </c>
      <c r="B372" s="294">
        <v>454100</v>
      </c>
      <c r="C372" s="295" t="s">
        <v>320</v>
      </c>
      <c r="D372" s="295"/>
      <c r="E372" s="277"/>
      <c r="F372" s="277"/>
      <c r="G372" s="311">
        <f t="shared" si="89"/>
        <v>0</v>
      </c>
      <c r="H372" s="311"/>
      <c r="I372" s="277"/>
      <c r="J372" s="277"/>
      <c r="K372" s="277"/>
      <c r="L372" s="277"/>
      <c r="M372" s="277"/>
      <c r="N372" s="277"/>
      <c r="O372" s="277"/>
      <c r="P372" s="277"/>
      <c r="Q372" s="277"/>
    </row>
    <row r="373" spans="1:17" ht="26.25" hidden="1" x14ac:dyDescent="0.25">
      <c r="A373" s="327">
        <v>5292</v>
      </c>
      <c r="B373" s="294">
        <v>454200</v>
      </c>
      <c r="C373" s="295" t="s">
        <v>321</v>
      </c>
      <c r="D373" s="295"/>
      <c r="E373" s="277"/>
      <c r="F373" s="277"/>
      <c r="G373" s="311">
        <f t="shared" si="89"/>
        <v>0</v>
      </c>
      <c r="H373" s="311"/>
      <c r="I373" s="277"/>
      <c r="J373" s="277"/>
      <c r="K373" s="277"/>
      <c r="L373" s="277"/>
      <c r="M373" s="277"/>
      <c r="N373" s="277"/>
      <c r="O373" s="277"/>
      <c r="P373" s="277"/>
      <c r="Q373" s="277"/>
    </row>
    <row r="374" spans="1:17" ht="39" x14ac:dyDescent="0.25">
      <c r="A374" s="309">
        <v>5293</v>
      </c>
      <c r="B374" s="283">
        <v>460000</v>
      </c>
      <c r="C374" s="287" t="s">
        <v>322</v>
      </c>
      <c r="D374" s="287"/>
      <c r="E374" s="288">
        <f>E379+E382+E385+E388+E391</f>
        <v>7410</v>
      </c>
      <c r="F374" s="288">
        <f t="shared" ref="F374:Q374" si="111">F379+F382+F385+F388+F391</f>
        <v>10080</v>
      </c>
      <c r="G374" s="288">
        <f t="shared" si="111"/>
        <v>7410</v>
      </c>
      <c r="H374" s="311">
        <f t="shared" si="111"/>
        <v>0</v>
      </c>
      <c r="I374" s="288">
        <f t="shared" si="111"/>
        <v>0</v>
      </c>
      <c r="J374" s="288">
        <f t="shared" si="111"/>
        <v>0</v>
      </c>
      <c r="K374" s="288">
        <f t="shared" si="111"/>
        <v>0</v>
      </c>
      <c r="L374" s="288">
        <f t="shared" si="111"/>
        <v>0</v>
      </c>
      <c r="M374" s="288">
        <f t="shared" si="111"/>
        <v>10080</v>
      </c>
      <c r="N374" s="288">
        <f t="shared" si="111"/>
        <v>7410</v>
      </c>
      <c r="O374" s="288">
        <f t="shared" si="111"/>
        <v>0</v>
      </c>
      <c r="P374" s="288">
        <f t="shared" si="111"/>
        <v>0</v>
      </c>
      <c r="Q374" s="288">
        <f t="shared" si="111"/>
        <v>0</v>
      </c>
    </row>
    <row r="375" spans="1:17" hidden="1" x14ac:dyDescent="0.25">
      <c r="A375" s="656" t="s">
        <v>0</v>
      </c>
      <c r="B375" s="657" t="s">
        <v>1</v>
      </c>
      <c r="C375" s="656" t="s">
        <v>2</v>
      </c>
      <c r="D375" s="308"/>
      <c r="E375" s="656" t="s">
        <v>217</v>
      </c>
      <c r="F375" s="308"/>
      <c r="G375" s="658" t="s">
        <v>198</v>
      </c>
      <c r="H375" s="658"/>
      <c r="I375" s="659"/>
      <c r="J375" s="659"/>
      <c r="K375" s="659"/>
      <c r="L375" s="659"/>
      <c r="M375" s="659"/>
      <c r="N375" s="659"/>
      <c r="O375" s="659"/>
      <c r="P375" s="659"/>
      <c r="Q375" s="659"/>
    </row>
    <row r="376" spans="1:17" hidden="1" x14ac:dyDescent="0.25">
      <c r="A376" s="656"/>
      <c r="B376" s="657"/>
      <c r="C376" s="656"/>
      <c r="D376" s="308"/>
      <c r="E376" s="656"/>
      <c r="F376" s="308"/>
      <c r="G376" s="658" t="s">
        <v>199</v>
      </c>
      <c r="H376" s="283"/>
      <c r="I376" s="658" t="s">
        <v>200</v>
      </c>
      <c r="J376" s="659"/>
      <c r="K376" s="659"/>
      <c r="L376" s="659"/>
      <c r="M376" s="659"/>
      <c r="N376" s="659"/>
      <c r="O376" s="658" t="s">
        <v>7</v>
      </c>
      <c r="P376" s="283"/>
      <c r="Q376" s="658" t="s">
        <v>8</v>
      </c>
    </row>
    <row r="377" spans="1:17" ht="39" hidden="1" x14ac:dyDescent="0.25">
      <c r="A377" s="656"/>
      <c r="B377" s="657"/>
      <c r="C377" s="656"/>
      <c r="D377" s="308"/>
      <c r="E377" s="656"/>
      <c r="F377" s="308"/>
      <c r="G377" s="659"/>
      <c r="H377" s="328"/>
      <c r="I377" s="283" t="s">
        <v>201</v>
      </c>
      <c r="J377" s="283" t="s">
        <v>10</v>
      </c>
      <c r="K377" s="283"/>
      <c r="L377" s="283" t="s">
        <v>11</v>
      </c>
      <c r="M377" s="283"/>
      <c r="N377" s="283" t="s">
        <v>12</v>
      </c>
      <c r="O377" s="659"/>
      <c r="P377" s="328"/>
      <c r="Q377" s="659"/>
    </row>
    <row r="378" spans="1:17" ht="26.25" hidden="1" x14ac:dyDescent="0.25">
      <c r="A378" s="305" t="s">
        <v>18</v>
      </c>
      <c r="B378" s="305" t="s">
        <v>19</v>
      </c>
      <c r="C378" s="305" t="s">
        <v>20</v>
      </c>
      <c r="D378" s="305"/>
      <c r="E378" s="305" t="s">
        <v>21</v>
      </c>
      <c r="F378" s="305"/>
      <c r="G378" s="305" t="s">
        <v>22</v>
      </c>
      <c r="H378" s="305"/>
      <c r="I378" s="305" t="s">
        <v>23</v>
      </c>
      <c r="J378" s="305" t="s">
        <v>24</v>
      </c>
      <c r="K378" s="305"/>
      <c r="L378" s="305" t="s">
        <v>25</v>
      </c>
      <c r="M378" s="305"/>
      <c r="N378" s="305" t="s">
        <v>26</v>
      </c>
      <c r="O378" s="305" t="s">
        <v>27</v>
      </c>
      <c r="P378" s="305"/>
      <c r="Q378" s="305" t="s">
        <v>28</v>
      </c>
    </row>
    <row r="379" spans="1:17" ht="26.25" hidden="1" x14ac:dyDescent="0.25">
      <c r="A379" s="309">
        <v>5294</v>
      </c>
      <c r="B379" s="283">
        <v>461000</v>
      </c>
      <c r="C379" s="287" t="s">
        <v>323</v>
      </c>
      <c r="D379" s="287"/>
      <c r="E379" s="288">
        <f>E380+E381</f>
        <v>0</v>
      </c>
      <c r="F379" s="288"/>
      <c r="G379" s="288">
        <f t="shared" si="89"/>
        <v>0</v>
      </c>
      <c r="H379" s="288"/>
      <c r="I379" s="288">
        <f t="shared" ref="I379:Q379" si="112">I380+I381</f>
        <v>0</v>
      </c>
      <c r="J379" s="288">
        <f t="shared" si="112"/>
        <v>0</v>
      </c>
      <c r="K379" s="288"/>
      <c r="L379" s="288">
        <f t="shared" si="112"/>
        <v>0</v>
      </c>
      <c r="M379" s="288"/>
      <c r="N379" s="288">
        <f t="shared" si="112"/>
        <v>0</v>
      </c>
      <c r="O379" s="288">
        <f t="shared" si="112"/>
        <v>0</v>
      </c>
      <c r="P379" s="288"/>
      <c r="Q379" s="288">
        <f t="shared" si="112"/>
        <v>0</v>
      </c>
    </row>
    <row r="380" spans="1:17" ht="26.25" hidden="1" x14ac:dyDescent="0.25">
      <c r="A380" s="327">
        <v>5295</v>
      </c>
      <c r="B380" s="294">
        <v>461100</v>
      </c>
      <c r="C380" s="295" t="s">
        <v>324</v>
      </c>
      <c r="D380" s="295"/>
      <c r="E380" s="277"/>
      <c r="F380" s="277"/>
      <c r="G380" s="311">
        <f t="shared" si="89"/>
        <v>0</v>
      </c>
      <c r="H380" s="311"/>
      <c r="I380" s="277"/>
      <c r="J380" s="277"/>
      <c r="K380" s="277"/>
      <c r="L380" s="277"/>
      <c r="M380" s="277"/>
      <c r="N380" s="277"/>
      <c r="O380" s="277"/>
      <c r="P380" s="277"/>
      <c r="Q380" s="277"/>
    </row>
    <row r="381" spans="1:17" ht="26.25" hidden="1" x14ac:dyDescent="0.25">
      <c r="A381" s="327">
        <v>5296</v>
      </c>
      <c r="B381" s="294">
        <v>461200</v>
      </c>
      <c r="C381" s="295" t="s">
        <v>325</v>
      </c>
      <c r="D381" s="295"/>
      <c r="E381" s="277"/>
      <c r="F381" s="277"/>
      <c r="G381" s="311">
        <f t="shared" si="89"/>
        <v>0</v>
      </c>
      <c r="H381" s="311"/>
      <c r="I381" s="277"/>
      <c r="J381" s="277"/>
      <c r="K381" s="277"/>
      <c r="L381" s="277"/>
      <c r="M381" s="277"/>
      <c r="N381" s="277"/>
      <c r="O381" s="277"/>
      <c r="P381" s="277"/>
      <c r="Q381" s="277"/>
    </row>
    <row r="382" spans="1:17" ht="39" hidden="1" x14ac:dyDescent="0.25">
      <c r="A382" s="309">
        <v>5297</v>
      </c>
      <c r="B382" s="283">
        <v>462000</v>
      </c>
      <c r="C382" s="287" t="s">
        <v>326</v>
      </c>
      <c r="D382" s="287"/>
      <c r="E382" s="288">
        <f>E383+E384</f>
        <v>0</v>
      </c>
      <c r="F382" s="288"/>
      <c r="G382" s="288">
        <f t="shared" si="89"/>
        <v>0</v>
      </c>
      <c r="H382" s="288"/>
      <c r="I382" s="288">
        <f t="shared" ref="I382:Q382" si="113">I383+I384</f>
        <v>0</v>
      </c>
      <c r="J382" s="288">
        <f t="shared" si="113"/>
        <v>0</v>
      </c>
      <c r="K382" s="288"/>
      <c r="L382" s="288">
        <f t="shared" si="113"/>
        <v>0</v>
      </c>
      <c r="M382" s="288"/>
      <c r="N382" s="288">
        <f t="shared" si="113"/>
        <v>0</v>
      </c>
      <c r="O382" s="288">
        <f t="shared" si="113"/>
        <v>0</v>
      </c>
      <c r="P382" s="288"/>
      <c r="Q382" s="288">
        <f t="shared" si="113"/>
        <v>0</v>
      </c>
    </row>
    <row r="383" spans="1:17" ht="26.25" hidden="1" x14ac:dyDescent="0.25">
      <c r="A383" s="327">
        <v>5298</v>
      </c>
      <c r="B383" s="294">
        <v>462100</v>
      </c>
      <c r="C383" s="295" t="s">
        <v>327</v>
      </c>
      <c r="D383" s="295"/>
      <c r="E383" s="277"/>
      <c r="F383" s="277"/>
      <c r="G383" s="311">
        <f t="shared" si="89"/>
        <v>0</v>
      </c>
      <c r="H383" s="311"/>
      <c r="I383" s="277"/>
      <c r="J383" s="277"/>
      <c r="K383" s="277"/>
      <c r="L383" s="277"/>
      <c r="M383" s="277"/>
      <c r="N383" s="277"/>
      <c r="O383" s="277"/>
      <c r="P383" s="277"/>
      <c r="Q383" s="277"/>
    </row>
    <row r="384" spans="1:17" ht="26.25" hidden="1" x14ac:dyDescent="0.25">
      <c r="A384" s="327">
        <v>5299</v>
      </c>
      <c r="B384" s="294">
        <v>462200</v>
      </c>
      <c r="C384" s="295" t="s">
        <v>328</v>
      </c>
      <c r="D384" s="295"/>
      <c r="E384" s="277"/>
      <c r="F384" s="277"/>
      <c r="G384" s="311">
        <f t="shared" si="89"/>
        <v>0</v>
      </c>
      <c r="H384" s="311"/>
      <c r="I384" s="277"/>
      <c r="J384" s="277"/>
      <c r="K384" s="277"/>
      <c r="L384" s="277"/>
      <c r="M384" s="277"/>
      <c r="N384" s="277"/>
      <c r="O384" s="277"/>
      <c r="P384" s="277"/>
      <c r="Q384" s="277"/>
    </row>
    <row r="385" spans="1:17" ht="39" hidden="1" x14ac:dyDescent="0.25">
      <c r="A385" s="309">
        <v>5300</v>
      </c>
      <c r="B385" s="283">
        <v>463000</v>
      </c>
      <c r="C385" s="287" t="s">
        <v>329</v>
      </c>
      <c r="D385" s="287"/>
      <c r="E385" s="288">
        <f>E386+E387</f>
        <v>0</v>
      </c>
      <c r="F385" s="288"/>
      <c r="G385" s="288">
        <f t="shared" ref="G385:G457" si="114">SUM(I385:Q385)</f>
        <v>0</v>
      </c>
      <c r="H385" s="288"/>
      <c r="I385" s="288">
        <f t="shared" ref="I385:Q385" si="115">I386+I387</f>
        <v>0</v>
      </c>
      <c r="J385" s="288">
        <f t="shared" si="115"/>
        <v>0</v>
      </c>
      <c r="K385" s="288"/>
      <c r="L385" s="288">
        <f t="shared" si="115"/>
        <v>0</v>
      </c>
      <c r="M385" s="288"/>
      <c r="N385" s="288">
        <f t="shared" si="115"/>
        <v>0</v>
      </c>
      <c r="O385" s="288">
        <f t="shared" si="115"/>
        <v>0</v>
      </c>
      <c r="P385" s="288"/>
      <c r="Q385" s="288">
        <f t="shared" si="115"/>
        <v>0</v>
      </c>
    </row>
    <row r="386" spans="1:17" ht="26.25" hidden="1" x14ac:dyDescent="0.25">
      <c r="A386" s="327">
        <v>5301</v>
      </c>
      <c r="B386" s="294">
        <v>463100</v>
      </c>
      <c r="C386" s="295" t="s">
        <v>330</v>
      </c>
      <c r="D386" s="295"/>
      <c r="E386" s="277"/>
      <c r="F386" s="277"/>
      <c r="G386" s="311">
        <f t="shared" si="114"/>
        <v>0</v>
      </c>
      <c r="H386" s="311"/>
      <c r="I386" s="277"/>
      <c r="J386" s="277"/>
      <c r="K386" s="277"/>
      <c r="L386" s="277"/>
      <c r="M386" s="277"/>
      <c r="N386" s="277"/>
      <c r="O386" s="277"/>
      <c r="P386" s="277"/>
      <c r="Q386" s="277"/>
    </row>
    <row r="387" spans="1:17" ht="26.25" hidden="1" x14ac:dyDescent="0.25">
      <c r="A387" s="327">
        <v>5302</v>
      </c>
      <c r="B387" s="294">
        <v>463200</v>
      </c>
      <c r="C387" s="295" t="s">
        <v>331</v>
      </c>
      <c r="D387" s="295"/>
      <c r="E387" s="277"/>
      <c r="F387" s="277"/>
      <c r="G387" s="311">
        <f t="shared" si="114"/>
        <v>0</v>
      </c>
      <c r="H387" s="311"/>
      <c r="I387" s="277"/>
      <c r="J387" s="277"/>
      <c r="K387" s="277"/>
      <c r="L387" s="277"/>
      <c r="M387" s="277"/>
      <c r="N387" s="277"/>
      <c r="O387" s="277"/>
      <c r="P387" s="277"/>
      <c r="Q387" s="277"/>
    </row>
    <row r="388" spans="1:17" ht="51.75" hidden="1" x14ac:dyDescent="0.25">
      <c r="A388" s="309">
        <v>5303</v>
      </c>
      <c r="B388" s="283">
        <v>464000</v>
      </c>
      <c r="C388" s="287" t="s">
        <v>332</v>
      </c>
      <c r="D388" s="287"/>
      <c r="E388" s="288">
        <f>E389+E390</f>
        <v>0</v>
      </c>
      <c r="F388" s="288"/>
      <c r="G388" s="288">
        <f t="shared" si="114"/>
        <v>0</v>
      </c>
      <c r="H388" s="288"/>
      <c r="I388" s="288">
        <f t="shared" ref="I388:Q388" si="116">I389+I390</f>
        <v>0</v>
      </c>
      <c r="J388" s="288">
        <f t="shared" si="116"/>
        <v>0</v>
      </c>
      <c r="K388" s="288"/>
      <c r="L388" s="288">
        <f t="shared" si="116"/>
        <v>0</v>
      </c>
      <c r="M388" s="288"/>
      <c r="N388" s="288">
        <f t="shared" si="116"/>
        <v>0</v>
      </c>
      <c r="O388" s="288">
        <f t="shared" si="116"/>
        <v>0</v>
      </c>
      <c r="P388" s="288"/>
      <c r="Q388" s="288">
        <f t="shared" si="116"/>
        <v>0</v>
      </c>
    </row>
    <row r="389" spans="1:17" ht="26.25" hidden="1" x14ac:dyDescent="0.25">
      <c r="A389" s="327">
        <v>5304</v>
      </c>
      <c r="B389" s="294">
        <v>464100</v>
      </c>
      <c r="C389" s="295" t="s">
        <v>333</v>
      </c>
      <c r="D389" s="295"/>
      <c r="E389" s="277"/>
      <c r="F389" s="277"/>
      <c r="G389" s="311">
        <f t="shared" si="114"/>
        <v>0</v>
      </c>
      <c r="H389" s="311"/>
      <c r="I389" s="277"/>
      <c r="J389" s="277"/>
      <c r="K389" s="277"/>
      <c r="L389" s="277"/>
      <c r="M389" s="277"/>
      <c r="N389" s="277"/>
      <c r="O389" s="277"/>
      <c r="P389" s="277"/>
      <c r="Q389" s="277"/>
    </row>
    <row r="390" spans="1:17" ht="39" hidden="1" x14ac:dyDescent="0.25">
      <c r="A390" s="327">
        <v>5305</v>
      </c>
      <c r="B390" s="294">
        <v>464200</v>
      </c>
      <c r="C390" s="295" t="s">
        <v>334</v>
      </c>
      <c r="D390" s="295"/>
      <c r="E390" s="277"/>
      <c r="F390" s="277"/>
      <c r="G390" s="311">
        <f t="shared" si="114"/>
        <v>0</v>
      </c>
      <c r="H390" s="311"/>
      <c r="I390" s="277"/>
      <c r="J390" s="277"/>
      <c r="K390" s="277"/>
      <c r="L390" s="277"/>
      <c r="M390" s="277"/>
      <c r="N390" s="277"/>
      <c r="O390" s="277"/>
      <c r="P390" s="277"/>
      <c r="Q390" s="277"/>
    </row>
    <row r="391" spans="1:17" ht="26.25" x14ac:dyDescent="0.25">
      <c r="A391" s="309">
        <v>5306</v>
      </c>
      <c r="B391" s="283">
        <v>465000</v>
      </c>
      <c r="C391" s="287" t="s">
        <v>335</v>
      </c>
      <c r="D391" s="287"/>
      <c r="E391" s="288">
        <f>E392+E393</f>
        <v>7410</v>
      </c>
      <c r="F391" s="288">
        <f t="shared" ref="F391:Q391" si="117">F392+F393</f>
        <v>10080</v>
      </c>
      <c r="G391" s="288">
        <f t="shared" si="117"/>
        <v>7410</v>
      </c>
      <c r="H391" s="288">
        <f t="shared" si="117"/>
        <v>0</v>
      </c>
      <c r="I391" s="288">
        <f t="shared" si="117"/>
        <v>0</v>
      </c>
      <c r="J391" s="288">
        <f t="shared" si="117"/>
        <v>0</v>
      </c>
      <c r="K391" s="288">
        <f t="shared" si="117"/>
        <v>0</v>
      </c>
      <c r="L391" s="288">
        <f t="shared" si="117"/>
        <v>0</v>
      </c>
      <c r="M391" s="288">
        <f t="shared" si="117"/>
        <v>10080</v>
      </c>
      <c r="N391" s="288">
        <f t="shared" si="117"/>
        <v>7410</v>
      </c>
      <c r="O391" s="288">
        <f t="shared" si="117"/>
        <v>0</v>
      </c>
      <c r="P391" s="288">
        <f t="shared" si="117"/>
        <v>0</v>
      </c>
      <c r="Q391" s="288">
        <f t="shared" si="117"/>
        <v>0</v>
      </c>
    </row>
    <row r="392" spans="1:17" ht="26.25" x14ac:dyDescent="0.25">
      <c r="A392" s="327">
        <v>5307</v>
      </c>
      <c r="B392" s="294">
        <v>465100</v>
      </c>
      <c r="C392" s="295" t="s">
        <v>336</v>
      </c>
      <c r="D392" s="295"/>
      <c r="E392" s="277">
        <v>7410</v>
      </c>
      <c r="F392" s="277">
        <f>H392+K392+M392+P392</f>
        <v>10080</v>
      </c>
      <c r="G392" s="311">
        <f t="shared" ref="G392" si="118">SUM(I392:Q392)-K392-M392-P392</f>
        <v>7410</v>
      </c>
      <c r="H392" s="311"/>
      <c r="I392" s="277"/>
      <c r="J392" s="277"/>
      <c r="K392" s="277"/>
      <c r="L392" s="277"/>
      <c r="M392" s="277">
        <v>10080</v>
      </c>
      <c r="N392" s="277">
        <v>7410</v>
      </c>
      <c r="O392" s="277"/>
      <c r="P392" s="277"/>
      <c r="Q392" s="277"/>
    </row>
    <row r="393" spans="1:17" ht="26.25" hidden="1" x14ac:dyDescent="0.25">
      <c r="A393" s="327">
        <v>5308</v>
      </c>
      <c r="B393" s="294">
        <v>465200</v>
      </c>
      <c r="C393" s="295" t="s">
        <v>337</v>
      </c>
      <c r="D393" s="295"/>
      <c r="E393" s="277"/>
      <c r="F393" s="277"/>
      <c r="G393" s="311">
        <f t="shared" si="114"/>
        <v>0</v>
      </c>
      <c r="H393" s="311"/>
      <c r="I393" s="277"/>
      <c r="J393" s="277"/>
      <c r="K393" s="277"/>
      <c r="L393" s="277"/>
      <c r="M393" s="277"/>
      <c r="N393" s="277"/>
      <c r="O393" s="277"/>
      <c r="P393" s="277"/>
      <c r="Q393" s="277"/>
    </row>
    <row r="394" spans="1:17" ht="39" hidden="1" x14ac:dyDescent="0.25">
      <c r="A394" s="309">
        <v>5309</v>
      </c>
      <c r="B394" s="283">
        <v>470000</v>
      </c>
      <c r="C394" s="287" t="s">
        <v>338</v>
      </c>
      <c r="D394" s="287"/>
      <c r="E394" s="288">
        <f>E395+E399</f>
        <v>0</v>
      </c>
      <c r="F394" s="288"/>
      <c r="G394" s="288">
        <f t="shared" si="114"/>
        <v>0</v>
      </c>
      <c r="H394" s="288"/>
      <c r="I394" s="288">
        <f t="shared" ref="I394:Q394" si="119">I395+I399</f>
        <v>0</v>
      </c>
      <c r="J394" s="288">
        <f t="shared" si="119"/>
        <v>0</v>
      </c>
      <c r="K394" s="288"/>
      <c r="L394" s="288">
        <f t="shared" si="119"/>
        <v>0</v>
      </c>
      <c r="M394" s="288"/>
      <c r="N394" s="288">
        <f t="shared" si="119"/>
        <v>0</v>
      </c>
      <c r="O394" s="288">
        <f t="shared" si="119"/>
        <v>0</v>
      </c>
      <c r="P394" s="288"/>
      <c r="Q394" s="288">
        <f t="shared" si="119"/>
        <v>0</v>
      </c>
    </row>
    <row r="395" spans="1:17" ht="64.5" hidden="1" x14ac:dyDescent="0.25">
      <c r="A395" s="309">
        <v>5310</v>
      </c>
      <c r="B395" s="283">
        <v>471000</v>
      </c>
      <c r="C395" s="287" t="s">
        <v>339</v>
      </c>
      <c r="D395" s="287"/>
      <c r="E395" s="288">
        <f>SUM(E396:E398)</f>
        <v>0</v>
      </c>
      <c r="F395" s="288"/>
      <c r="G395" s="288">
        <f t="shared" si="114"/>
        <v>0</v>
      </c>
      <c r="H395" s="288"/>
      <c r="I395" s="288">
        <f t="shared" ref="I395:Q395" si="120">SUM(I396:I398)</f>
        <v>0</v>
      </c>
      <c r="J395" s="288">
        <f t="shared" si="120"/>
        <v>0</v>
      </c>
      <c r="K395" s="288"/>
      <c r="L395" s="288">
        <f t="shared" si="120"/>
        <v>0</v>
      </c>
      <c r="M395" s="288"/>
      <c r="N395" s="288">
        <f t="shared" si="120"/>
        <v>0</v>
      </c>
      <c r="O395" s="288">
        <f t="shared" si="120"/>
        <v>0</v>
      </c>
      <c r="P395" s="288"/>
      <c r="Q395" s="288">
        <f t="shared" si="120"/>
        <v>0</v>
      </c>
    </row>
    <row r="396" spans="1:17" ht="39" hidden="1" x14ac:dyDescent="0.25">
      <c r="A396" s="327">
        <v>5311</v>
      </c>
      <c r="B396" s="294">
        <v>471100</v>
      </c>
      <c r="C396" s="295" t="s">
        <v>340</v>
      </c>
      <c r="D396" s="295"/>
      <c r="E396" s="277"/>
      <c r="F396" s="277"/>
      <c r="G396" s="311">
        <f t="shared" si="114"/>
        <v>0</v>
      </c>
      <c r="H396" s="311"/>
      <c r="I396" s="277"/>
      <c r="J396" s="277"/>
      <c r="K396" s="277"/>
      <c r="L396" s="277"/>
      <c r="M396" s="277"/>
      <c r="N396" s="277"/>
      <c r="O396" s="277"/>
      <c r="P396" s="277"/>
      <c r="Q396" s="277"/>
    </row>
    <row r="397" spans="1:17" ht="39" hidden="1" x14ac:dyDescent="0.25">
      <c r="A397" s="327">
        <v>5312</v>
      </c>
      <c r="B397" s="294">
        <v>471200</v>
      </c>
      <c r="C397" s="295" t="s">
        <v>341</v>
      </c>
      <c r="D397" s="295"/>
      <c r="E397" s="277"/>
      <c r="F397" s="277"/>
      <c r="G397" s="311">
        <f t="shared" si="114"/>
        <v>0</v>
      </c>
      <c r="H397" s="311"/>
      <c r="I397" s="277"/>
      <c r="J397" s="277"/>
      <c r="K397" s="277"/>
      <c r="L397" s="277"/>
      <c r="M397" s="277"/>
      <c r="N397" s="277"/>
      <c r="O397" s="277"/>
      <c r="P397" s="277"/>
      <c r="Q397" s="277"/>
    </row>
    <row r="398" spans="1:17" ht="51.75" hidden="1" x14ac:dyDescent="0.25">
      <c r="A398" s="327">
        <v>5313</v>
      </c>
      <c r="B398" s="294">
        <v>471900</v>
      </c>
      <c r="C398" s="295" t="s">
        <v>342</v>
      </c>
      <c r="D398" s="295"/>
      <c r="E398" s="277"/>
      <c r="F398" s="277"/>
      <c r="G398" s="311">
        <f t="shared" si="114"/>
        <v>0</v>
      </c>
      <c r="H398" s="311"/>
      <c r="I398" s="277"/>
      <c r="J398" s="277"/>
      <c r="K398" s="277"/>
      <c r="L398" s="277"/>
      <c r="M398" s="277"/>
      <c r="N398" s="277"/>
      <c r="O398" s="277"/>
      <c r="P398" s="277"/>
      <c r="Q398" s="277"/>
    </row>
    <row r="399" spans="1:17" ht="39" hidden="1" x14ac:dyDescent="0.25">
      <c r="A399" s="309">
        <v>5314</v>
      </c>
      <c r="B399" s="283">
        <v>472000</v>
      </c>
      <c r="C399" s="287" t="s">
        <v>343</v>
      </c>
      <c r="D399" s="287"/>
      <c r="E399" s="288">
        <f>SUM(E404:E412)</f>
        <v>0</v>
      </c>
      <c r="F399" s="288"/>
      <c r="G399" s="288">
        <f t="shared" si="114"/>
        <v>0</v>
      </c>
      <c r="H399" s="288"/>
      <c r="I399" s="288">
        <f t="shared" ref="I399:Q399" si="121">SUM(I404:I412)</f>
        <v>0</v>
      </c>
      <c r="J399" s="288">
        <f t="shared" si="121"/>
        <v>0</v>
      </c>
      <c r="K399" s="288"/>
      <c r="L399" s="288">
        <f t="shared" si="121"/>
        <v>0</v>
      </c>
      <c r="M399" s="288"/>
      <c r="N399" s="288">
        <f t="shared" si="121"/>
        <v>0</v>
      </c>
      <c r="O399" s="288">
        <f t="shared" si="121"/>
        <v>0</v>
      </c>
      <c r="P399" s="288"/>
      <c r="Q399" s="288">
        <f t="shared" si="121"/>
        <v>0</v>
      </c>
    </row>
    <row r="400" spans="1:17" hidden="1" x14ac:dyDescent="0.25">
      <c r="A400" s="656" t="s">
        <v>0</v>
      </c>
      <c r="B400" s="657" t="s">
        <v>1</v>
      </c>
      <c r="C400" s="656" t="s">
        <v>2</v>
      </c>
      <c r="D400" s="308"/>
      <c r="E400" s="656" t="s">
        <v>217</v>
      </c>
      <c r="F400" s="308"/>
      <c r="G400" s="658" t="s">
        <v>198</v>
      </c>
      <c r="H400" s="658"/>
      <c r="I400" s="659"/>
      <c r="J400" s="659"/>
      <c r="K400" s="659"/>
      <c r="L400" s="659"/>
      <c r="M400" s="659"/>
      <c r="N400" s="659"/>
      <c r="O400" s="659"/>
      <c r="P400" s="659"/>
      <c r="Q400" s="659"/>
    </row>
    <row r="401" spans="1:17" hidden="1" x14ac:dyDescent="0.25">
      <c r="A401" s="656"/>
      <c r="B401" s="657"/>
      <c r="C401" s="656"/>
      <c r="D401" s="308"/>
      <c r="E401" s="656"/>
      <c r="F401" s="308"/>
      <c r="G401" s="658" t="s">
        <v>199</v>
      </c>
      <c r="H401" s="283"/>
      <c r="I401" s="658" t="s">
        <v>200</v>
      </c>
      <c r="J401" s="659"/>
      <c r="K401" s="659"/>
      <c r="L401" s="659"/>
      <c r="M401" s="659"/>
      <c r="N401" s="659"/>
      <c r="O401" s="658" t="s">
        <v>7</v>
      </c>
      <c r="P401" s="283"/>
      <c r="Q401" s="658" t="s">
        <v>8</v>
      </c>
    </row>
    <row r="402" spans="1:17" ht="39" hidden="1" x14ac:dyDescent="0.25">
      <c r="A402" s="656"/>
      <c r="B402" s="657"/>
      <c r="C402" s="656"/>
      <c r="D402" s="308"/>
      <c r="E402" s="656"/>
      <c r="F402" s="308"/>
      <c r="G402" s="659"/>
      <c r="H402" s="328"/>
      <c r="I402" s="283" t="s">
        <v>201</v>
      </c>
      <c r="J402" s="283" t="s">
        <v>10</v>
      </c>
      <c r="K402" s="283"/>
      <c r="L402" s="283" t="s">
        <v>11</v>
      </c>
      <c r="M402" s="283"/>
      <c r="N402" s="283" t="s">
        <v>12</v>
      </c>
      <c r="O402" s="659"/>
      <c r="P402" s="328"/>
      <c r="Q402" s="659"/>
    </row>
    <row r="403" spans="1:17" ht="26.25" hidden="1" x14ac:dyDescent="0.25">
      <c r="A403" s="305" t="s">
        <v>18</v>
      </c>
      <c r="B403" s="305" t="s">
        <v>19</v>
      </c>
      <c r="C403" s="305" t="s">
        <v>20</v>
      </c>
      <c r="D403" s="305"/>
      <c r="E403" s="305" t="s">
        <v>21</v>
      </c>
      <c r="F403" s="305"/>
      <c r="G403" s="305" t="s">
        <v>22</v>
      </c>
      <c r="H403" s="305"/>
      <c r="I403" s="305" t="s">
        <v>23</v>
      </c>
      <c r="J403" s="305" t="s">
        <v>24</v>
      </c>
      <c r="K403" s="305"/>
      <c r="L403" s="305" t="s">
        <v>25</v>
      </c>
      <c r="M403" s="305"/>
      <c r="N403" s="305" t="s">
        <v>26</v>
      </c>
      <c r="O403" s="305" t="s">
        <v>27</v>
      </c>
      <c r="P403" s="305"/>
      <c r="Q403" s="305" t="s">
        <v>28</v>
      </c>
    </row>
    <row r="404" spans="1:17" ht="26.25" hidden="1" x14ac:dyDescent="0.25">
      <c r="A404" s="327">
        <v>5315</v>
      </c>
      <c r="B404" s="294">
        <v>472100</v>
      </c>
      <c r="C404" s="295" t="s">
        <v>344</v>
      </c>
      <c r="D404" s="295"/>
      <c r="E404" s="277"/>
      <c r="F404" s="277"/>
      <c r="G404" s="311">
        <f t="shared" si="114"/>
        <v>0</v>
      </c>
      <c r="H404" s="311"/>
      <c r="I404" s="277"/>
      <c r="J404" s="277"/>
      <c r="K404" s="277"/>
      <c r="L404" s="277"/>
      <c r="M404" s="277"/>
      <c r="N404" s="277"/>
      <c r="O404" s="277"/>
      <c r="P404" s="277"/>
      <c r="Q404" s="277"/>
    </row>
    <row r="405" spans="1:17" ht="26.25" hidden="1" x14ac:dyDescent="0.25">
      <c r="A405" s="327">
        <v>5316</v>
      </c>
      <c r="B405" s="294">
        <v>472200</v>
      </c>
      <c r="C405" s="295" t="s">
        <v>345</v>
      </c>
      <c r="D405" s="295"/>
      <c r="E405" s="277"/>
      <c r="F405" s="277"/>
      <c r="G405" s="311">
        <f t="shared" si="114"/>
        <v>0</v>
      </c>
      <c r="H405" s="311"/>
      <c r="I405" s="277"/>
      <c r="J405" s="277"/>
      <c r="K405" s="277"/>
      <c r="L405" s="277"/>
      <c r="M405" s="277"/>
      <c r="N405" s="277"/>
      <c r="O405" s="277"/>
      <c r="P405" s="277"/>
      <c r="Q405" s="277"/>
    </row>
    <row r="406" spans="1:17" ht="26.25" hidden="1" x14ac:dyDescent="0.25">
      <c r="A406" s="327">
        <v>5317</v>
      </c>
      <c r="B406" s="294">
        <v>472300</v>
      </c>
      <c r="C406" s="295" t="s">
        <v>346</v>
      </c>
      <c r="D406" s="295"/>
      <c r="E406" s="277"/>
      <c r="F406" s="277"/>
      <c r="G406" s="311">
        <f t="shared" si="114"/>
        <v>0</v>
      </c>
      <c r="H406" s="311"/>
      <c r="I406" s="277"/>
      <c r="J406" s="277"/>
      <c r="K406" s="277"/>
      <c r="L406" s="277"/>
      <c r="M406" s="277"/>
      <c r="N406" s="277"/>
      <c r="O406" s="277"/>
      <c r="P406" s="277"/>
      <c r="Q406" s="277"/>
    </row>
    <row r="407" spans="1:17" ht="26.25" hidden="1" x14ac:dyDescent="0.25">
      <c r="A407" s="327">
        <v>5318</v>
      </c>
      <c r="B407" s="294">
        <v>472400</v>
      </c>
      <c r="C407" s="295" t="s">
        <v>347</v>
      </c>
      <c r="D407" s="295"/>
      <c r="E407" s="277"/>
      <c r="F407" s="277"/>
      <c r="G407" s="311">
        <f t="shared" si="114"/>
        <v>0</v>
      </c>
      <c r="H407" s="311"/>
      <c r="I407" s="277"/>
      <c r="J407" s="277"/>
      <c r="K407" s="277"/>
      <c r="L407" s="277"/>
      <c r="M407" s="277"/>
      <c r="N407" s="277"/>
      <c r="O407" s="277"/>
      <c r="P407" s="277"/>
      <c r="Q407" s="277"/>
    </row>
    <row r="408" spans="1:17" ht="26.25" hidden="1" x14ac:dyDescent="0.25">
      <c r="A408" s="327">
        <v>5319</v>
      </c>
      <c r="B408" s="294">
        <v>472500</v>
      </c>
      <c r="C408" s="295" t="s">
        <v>348</v>
      </c>
      <c r="D408" s="295"/>
      <c r="E408" s="277"/>
      <c r="F408" s="277"/>
      <c r="G408" s="311">
        <f t="shared" si="114"/>
        <v>0</v>
      </c>
      <c r="H408" s="311"/>
      <c r="I408" s="277"/>
      <c r="J408" s="277"/>
      <c r="K408" s="277"/>
      <c r="L408" s="277"/>
      <c r="M408" s="277"/>
      <c r="N408" s="277"/>
      <c r="O408" s="277"/>
      <c r="P408" s="277"/>
      <c r="Q408" s="277"/>
    </row>
    <row r="409" spans="1:17" ht="26.25" hidden="1" x14ac:dyDescent="0.25">
      <c r="A409" s="327">
        <v>5320</v>
      </c>
      <c r="B409" s="294">
        <v>472600</v>
      </c>
      <c r="C409" s="295" t="s">
        <v>349</v>
      </c>
      <c r="D409" s="295"/>
      <c r="E409" s="277"/>
      <c r="F409" s="277"/>
      <c r="G409" s="311">
        <f t="shared" si="114"/>
        <v>0</v>
      </c>
      <c r="H409" s="311"/>
      <c r="I409" s="277"/>
      <c r="J409" s="277"/>
      <c r="K409" s="277"/>
      <c r="L409" s="277"/>
      <c r="M409" s="277"/>
      <c r="N409" s="277"/>
      <c r="O409" s="277"/>
      <c r="P409" s="277"/>
      <c r="Q409" s="277"/>
    </row>
    <row r="410" spans="1:17" ht="26.25" hidden="1" x14ac:dyDescent="0.25">
      <c r="A410" s="327">
        <v>5321</v>
      </c>
      <c r="B410" s="294">
        <v>472700</v>
      </c>
      <c r="C410" s="295" t="s">
        <v>350</v>
      </c>
      <c r="D410" s="295"/>
      <c r="E410" s="277"/>
      <c r="F410" s="277"/>
      <c r="G410" s="311">
        <f t="shared" si="114"/>
        <v>0</v>
      </c>
      <c r="H410" s="311"/>
      <c r="I410" s="277"/>
      <c r="J410" s="277"/>
      <c r="K410" s="277"/>
      <c r="L410" s="277"/>
      <c r="M410" s="277"/>
      <c r="N410" s="277"/>
      <c r="O410" s="277"/>
      <c r="P410" s="277"/>
      <c r="Q410" s="277"/>
    </row>
    <row r="411" spans="1:17" ht="26.25" hidden="1" x14ac:dyDescent="0.25">
      <c r="A411" s="327">
        <v>5322</v>
      </c>
      <c r="B411" s="294">
        <v>472800</v>
      </c>
      <c r="C411" s="295" t="s">
        <v>351</v>
      </c>
      <c r="D411" s="295"/>
      <c r="E411" s="277"/>
      <c r="F411" s="277"/>
      <c r="G411" s="311">
        <f t="shared" si="114"/>
        <v>0</v>
      </c>
      <c r="H411" s="311"/>
      <c r="I411" s="277"/>
      <c r="J411" s="277"/>
      <c r="K411" s="277"/>
      <c r="L411" s="277"/>
      <c r="M411" s="277"/>
      <c r="N411" s="277"/>
      <c r="O411" s="277"/>
      <c r="P411" s="277"/>
      <c r="Q411" s="277"/>
    </row>
    <row r="412" spans="1:17" hidden="1" x14ac:dyDescent="0.25">
      <c r="A412" s="327">
        <v>5323</v>
      </c>
      <c r="B412" s="294">
        <v>472900</v>
      </c>
      <c r="C412" s="295" t="s">
        <v>352</v>
      </c>
      <c r="D412" s="295"/>
      <c r="E412" s="277"/>
      <c r="F412" s="277"/>
      <c r="G412" s="311">
        <f t="shared" si="114"/>
        <v>0</v>
      </c>
      <c r="H412" s="311"/>
      <c r="I412" s="277"/>
      <c r="J412" s="277"/>
      <c r="K412" s="277"/>
      <c r="L412" s="277"/>
      <c r="M412" s="277"/>
      <c r="N412" s="277"/>
      <c r="O412" s="277"/>
      <c r="P412" s="277"/>
      <c r="Q412" s="277"/>
    </row>
    <row r="413" spans="1:17" ht="39" x14ac:dyDescent="0.25">
      <c r="A413" s="309">
        <v>5324</v>
      </c>
      <c r="B413" s="283">
        <v>480000</v>
      </c>
      <c r="C413" s="287" t="s">
        <v>353</v>
      </c>
      <c r="D413" s="287"/>
      <c r="E413" s="288">
        <f>E414+E417+E421+E423+E426+E432</f>
        <v>125</v>
      </c>
      <c r="F413" s="288">
        <f t="shared" ref="F413:Q413" si="122">F414+F417+F421+F423+F426+F432</f>
        <v>300</v>
      </c>
      <c r="G413" s="288">
        <f t="shared" si="122"/>
        <v>118</v>
      </c>
      <c r="H413" s="288">
        <f t="shared" si="122"/>
        <v>0</v>
      </c>
      <c r="I413" s="288">
        <f t="shared" si="122"/>
        <v>0</v>
      </c>
      <c r="J413" s="288">
        <f t="shared" si="122"/>
        <v>0</v>
      </c>
      <c r="K413" s="288">
        <f t="shared" si="122"/>
        <v>0</v>
      </c>
      <c r="L413" s="288">
        <f t="shared" si="122"/>
        <v>0</v>
      </c>
      <c r="M413" s="288">
        <f t="shared" si="122"/>
        <v>0</v>
      </c>
      <c r="N413" s="288">
        <f t="shared" si="122"/>
        <v>8</v>
      </c>
      <c r="O413" s="288">
        <f t="shared" si="122"/>
        <v>0</v>
      </c>
      <c r="P413" s="288">
        <f t="shared" si="122"/>
        <v>300</v>
      </c>
      <c r="Q413" s="288">
        <f t="shared" si="122"/>
        <v>100</v>
      </c>
    </row>
    <row r="414" spans="1:17" ht="39" x14ac:dyDescent="0.25">
      <c r="A414" s="309">
        <v>5325</v>
      </c>
      <c r="B414" s="283">
        <v>481000</v>
      </c>
      <c r="C414" s="287" t="s">
        <v>354</v>
      </c>
      <c r="D414" s="287"/>
      <c r="E414" s="288">
        <f>E415+E416</f>
        <v>35</v>
      </c>
      <c r="F414" s="288">
        <f t="shared" ref="F414:Q414" si="123">F415+F416</f>
        <v>35</v>
      </c>
      <c r="G414" s="288">
        <f t="shared" si="123"/>
        <v>35</v>
      </c>
      <c r="H414" s="288">
        <f t="shared" si="123"/>
        <v>0</v>
      </c>
      <c r="I414" s="288">
        <f t="shared" si="123"/>
        <v>0</v>
      </c>
      <c r="J414" s="288">
        <f t="shared" si="123"/>
        <v>0</v>
      </c>
      <c r="K414" s="288">
        <f t="shared" si="123"/>
        <v>0</v>
      </c>
      <c r="L414" s="288">
        <f t="shared" si="123"/>
        <v>0</v>
      </c>
      <c r="M414" s="288">
        <f t="shared" si="123"/>
        <v>0</v>
      </c>
      <c r="N414" s="288">
        <f t="shared" si="123"/>
        <v>0</v>
      </c>
      <c r="O414" s="288">
        <f t="shared" si="123"/>
        <v>0</v>
      </c>
      <c r="P414" s="288">
        <f t="shared" si="123"/>
        <v>35</v>
      </c>
      <c r="Q414" s="288">
        <f t="shared" si="123"/>
        <v>35</v>
      </c>
    </row>
    <row r="415" spans="1:17" ht="39" hidden="1" x14ac:dyDescent="0.25">
      <c r="A415" s="327">
        <v>5326</v>
      </c>
      <c r="B415" s="294">
        <v>481100</v>
      </c>
      <c r="C415" s="295" t="s">
        <v>355</v>
      </c>
      <c r="D415" s="295"/>
      <c r="E415" s="277"/>
      <c r="F415" s="277"/>
      <c r="G415" s="311">
        <f t="shared" si="114"/>
        <v>0</v>
      </c>
      <c r="H415" s="311"/>
      <c r="I415" s="277"/>
      <c r="J415" s="277"/>
      <c r="K415" s="277"/>
      <c r="L415" s="277"/>
      <c r="M415" s="277"/>
      <c r="N415" s="277"/>
      <c r="O415" s="277"/>
      <c r="P415" s="277"/>
      <c r="Q415" s="277"/>
    </row>
    <row r="416" spans="1:17" ht="26.25" x14ac:dyDescent="0.25">
      <c r="A416" s="327">
        <v>5327</v>
      </c>
      <c r="B416" s="294">
        <v>481900</v>
      </c>
      <c r="C416" s="295" t="s">
        <v>356</v>
      </c>
      <c r="D416" s="295"/>
      <c r="E416" s="277">
        <v>35</v>
      </c>
      <c r="F416" s="277">
        <f>H416+K416+M416+P416</f>
        <v>35</v>
      </c>
      <c r="G416" s="311">
        <f t="shared" ref="G416" si="124">SUM(I416:Q416)-K416-M416-P416</f>
        <v>35</v>
      </c>
      <c r="H416" s="311"/>
      <c r="I416" s="277"/>
      <c r="J416" s="277"/>
      <c r="K416" s="277"/>
      <c r="L416" s="277"/>
      <c r="M416" s="277"/>
      <c r="N416" s="277"/>
      <c r="O416" s="277"/>
      <c r="P416" s="277">
        <v>35</v>
      </c>
      <c r="Q416" s="277">
        <v>35</v>
      </c>
    </row>
    <row r="417" spans="1:22" ht="39" x14ac:dyDescent="0.25">
      <c r="A417" s="309">
        <v>5328</v>
      </c>
      <c r="B417" s="283">
        <v>482000</v>
      </c>
      <c r="C417" s="287" t="s">
        <v>357</v>
      </c>
      <c r="D417" s="287"/>
      <c r="E417" s="288">
        <f>SUM(E418:E420)</f>
        <v>70</v>
      </c>
      <c r="F417" s="288">
        <f t="shared" ref="F417:Q417" si="125">SUM(F418:F420)</f>
        <v>65</v>
      </c>
      <c r="G417" s="288">
        <f t="shared" si="125"/>
        <v>68</v>
      </c>
      <c r="H417" s="288">
        <f t="shared" si="125"/>
        <v>0</v>
      </c>
      <c r="I417" s="288">
        <f t="shared" si="125"/>
        <v>0</v>
      </c>
      <c r="J417" s="288">
        <f t="shared" si="125"/>
        <v>0</v>
      </c>
      <c r="K417" s="288">
        <f t="shared" si="125"/>
        <v>0</v>
      </c>
      <c r="L417" s="288">
        <f t="shared" si="125"/>
        <v>0</v>
      </c>
      <c r="M417" s="288">
        <f t="shared" si="125"/>
        <v>0</v>
      </c>
      <c r="N417" s="288">
        <f t="shared" si="125"/>
        <v>8</v>
      </c>
      <c r="O417" s="288">
        <f t="shared" si="125"/>
        <v>0</v>
      </c>
      <c r="P417" s="288">
        <f t="shared" si="125"/>
        <v>65</v>
      </c>
      <c r="Q417" s="288">
        <f t="shared" si="125"/>
        <v>50</v>
      </c>
    </row>
    <row r="418" spans="1:22" x14ac:dyDescent="0.25">
      <c r="A418" s="327">
        <v>5329</v>
      </c>
      <c r="B418" s="294">
        <v>482100</v>
      </c>
      <c r="C418" s="295" t="s">
        <v>358</v>
      </c>
      <c r="D418" s="295"/>
      <c r="E418" s="277">
        <v>20</v>
      </c>
      <c r="F418" s="277">
        <f>H418+K418+M418+P418</f>
        <v>30</v>
      </c>
      <c r="G418" s="311">
        <f t="shared" ref="G418:G419" si="126">SUM(I418:Q418)-K418-M418-P418</f>
        <v>17</v>
      </c>
      <c r="H418" s="311"/>
      <c r="I418" s="277"/>
      <c r="J418" s="277"/>
      <c r="K418" s="277"/>
      <c r="L418" s="277"/>
      <c r="M418" s="277"/>
      <c r="N418" s="277">
        <v>8</v>
      </c>
      <c r="O418" s="277"/>
      <c r="P418" s="277">
        <v>30</v>
      </c>
      <c r="Q418" s="277">
        <v>9</v>
      </c>
    </row>
    <row r="419" spans="1:22" x14ac:dyDescent="0.25">
      <c r="A419" s="327">
        <v>5330</v>
      </c>
      <c r="B419" s="294">
        <v>482200</v>
      </c>
      <c r="C419" s="295" t="s">
        <v>359</v>
      </c>
      <c r="D419" s="295"/>
      <c r="E419" s="277">
        <v>50</v>
      </c>
      <c r="F419" s="277">
        <f>H419+K419+M419+P419</f>
        <v>25</v>
      </c>
      <c r="G419" s="311">
        <f t="shared" si="126"/>
        <v>41</v>
      </c>
      <c r="H419" s="311"/>
      <c r="I419" s="277"/>
      <c r="J419" s="277"/>
      <c r="K419" s="277"/>
      <c r="L419" s="277"/>
      <c r="M419" s="277"/>
      <c r="N419" s="277"/>
      <c r="O419" s="277"/>
      <c r="P419" s="277">
        <v>25</v>
      </c>
      <c r="Q419" s="277">
        <v>41</v>
      </c>
      <c r="V419" s="281" t="s">
        <v>539</v>
      </c>
    </row>
    <row r="420" spans="1:22" x14ac:dyDescent="0.25">
      <c r="A420" s="327">
        <v>5331</v>
      </c>
      <c r="B420" s="294">
        <v>482300</v>
      </c>
      <c r="C420" s="295" t="s">
        <v>360</v>
      </c>
      <c r="D420" s="295"/>
      <c r="E420" s="277"/>
      <c r="F420" s="277">
        <f>H420+K420+M420+P420</f>
        <v>10</v>
      </c>
      <c r="G420" s="311">
        <f t="shared" si="114"/>
        <v>10</v>
      </c>
      <c r="H420" s="311"/>
      <c r="I420" s="277"/>
      <c r="J420" s="277"/>
      <c r="K420" s="277"/>
      <c r="L420" s="277"/>
      <c r="M420" s="277"/>
      <c r="N420" s="277"/>
      <c r="O420" s="277"/>
      <c r="P420" s="277">
        <v>10</v>
      </c>
      <c r="Q420" s="277"/>
    </row>
    <row r="421" spans="1:22" ht="26.25" x14ac:dyDescent="0.25">
      <c r="A421" s="309">
        <v>5332</v>
      </c>
      <c r="B421" s="283">
        <v>483000</v>
      </c>
      <c r="C421" s="287" t="s">
        <v>361</v>
      </c>
      <c r="D421" s="287"/>
      <c r="E421" s="288">
        <f>E422</f>
        <v>20</v>
      </c>
      <c r="F421" s="288">
        <f t="shared" ref="F421:Q421" si="127">F422</f>
        <v>200</v>
      </c>
      <c r="G421" s="288">
        <f t="shared" si="127"/>
        <v>15</v>
      </c>
      <c r="H421" s="288">
        <f t="shared" si="127"/>
        <v>0</v>
      </c>
      <c r="I421" s="288">
        <f t="shared" si="127"/>
        <v>0</v>
      </c>
      <c r="J421" s="288">
        <f t="shared" si="127"/>
        <v>0</v>
      </c>
      <c r="K421" s="288">
        <f t="shared" si="127"/>
        <v>0</v>
      </c>
      <c r="L421" s="288">
        <f t="shared" si="127"/>
        <v>0</v>
      </c>
      <c r="M421" s="288">
        <f t="shared" si="127"/>
        <v>0</v>
      </c>
      <c r="N421" s="288">
        <f t="shared" si="127"/>
        <v>0</v>
      </c>
      <c r="O421" s="288">
        <f t="shared" si="127"/>
        <v>0</v>
      </c>
      <c r="P421" s="288">
        <f t="shared" si="127"/>
        <v>200</v>
      </c>
      <c r="Q421" s="288">
        <f t="shared" si="127"/>
        <v>15</v>
      </c>
    </row>
    <row r="422" spans="1:22" ht="26.25" x14ac:dyDescent="0.25">
      <c r="A422" s="327">
        <v>5333</v>
      </c>
      <c r="B422" s="294">
        <v>483100</v>
      </c>
      <c r="C422" s="295" t="s">
        <v>362</v>
      </c>
      <c r="D422" s="295"/>
      <c r="E422" s="277">
        <v>20</v>
      </c>
      <c r="F422" s="277">
        <f>H422+K422+M422+P422</f>
        <v>200</v>
      </c>
      <c r="G422" s="311">
        <f t="shared" ref="G422" si="128">SUM(I422:Q422)-K422-M422-P422</f>
        <v>15</v>
      </c>
      <c r="H422" s="311"/>
      <c r="I422" s="277"/>
      <c r="J422" s="277"/>
      <c r="K422" s="277"/>
      <c r="L422" s="277"/>
      <c r="M422" s="277"/>
      <c r="N422" s="277"/>
      <c r="O422" s="277"/>
      <c r="P422" s="277">
        <v>200</v>
      </c>
      <c r="Q422" s="277">
        <v>15</v>
      </c>
    </row>
    <row r="423" spans="1:22" ht="77.25" hidden="1" x14ac:dyDescent="0.25">
      <c r="A423" s="309">
        <v>5334</v>
      </c>
      <c r="B423" s="283">
        <v>484000</v>
      </c>
      <c r="C423" s="287" t="s">
        <v>363</v>
      </c>
      <c r="D423" s="287"/>
      <c r="E423" s="288">
        <f>E424+E425</f>
        <v>0</v>
      </c>
      <c r="F423" s="288"/>
      <c r="G423" s="288">
        <f t="shared" si="114"/>
        <v>0</v>
      </c>
      <c r="H423" s="288"/>
      <c r="I423" s="288">
        <f t="shared" ref="I423:Q423" si="129">I424+I425</f>
        <v>0</v>
      </c>
      <c r="J423" s="288">
        <f t="shared" si="129"/>
        <v>0</v>
      </c>
      <c r="K423" s="288"/>
      <c r="L423" s="288">
        <f t="shared" si="129"/>
        <v>0</v>
      </c>
      <c r="M423" s="288"/>
      <c r="N423" s="288">
        <f t="shared" si="129"/>
        <v>0</v>
      </c>
      <c r="O423" s="288">
        <f t="shared" si="129"/>
        <v>0</v>
      </c>
      <c r="P423" s="288"/>
      <c r="Q423" s="288">
        <f t="shared" si="129"/>
        <v>0</v>
      </c>
    </row>
    <row r="424" spans="1:22" ht="39" hidden="1" x14ac:dyDescent="0.25">
      <c r="A424" s="327">
        <v>5335</v>
      </c>
      <c r="B424" s="294">
        <v>484100</v>
      </c>
      <c r="C424" s="295" t="s">
        <v>364</v>
      </c>
      <c r="D424" s="295"/>
      <c r="E424" s="277"/>
      <c r="F424" s="277"/>
      <c r="G424" s="311">
        <f t="shared" si="114"/>
        <v>0</v>
      </c>
      <c r="H424" s="311"/>
      <c r="I424" s="277"/>
      <c r="J424" s="277"/>
      <c r="K424" s="277"/>
      <c r="L424" s="277"/>
      <c r="M424" s="277"/>
      <c r="N424" s="277"/>
      <c r="O424" s="277"/>
      <c r="P424" s="277"/>
      <c r="Q424" s="277"/>
    </row>
    <row r="425" spans="1:22" hidden="1" x14ac:dyDescent="0.25">
      <c r="A425" s="327">
        <v>5336</v>
      </c>
      <c r="B425" s="294">
        <v>484200</v>
      </c>
      <c r="C425" s="295" t="s">
        <v>365</v>
      </c>
      <c r="D425" s="295"/>
      <c r="E425" s="277"/>
      <c r="F425" s="277"/>
      <c r="G425" s="311">
        <f t="shared" si="114"/>
        <v>0</v>
      </c>
      <c r="H425" s="311"/>
      <c r="I425" s="277"/>
      <c r="J425" s="277"/>
      <c r="K425" s="277"/>
      <c r="L425" s="277"/>
      <c r="M425" s="277"/>
      <c r="N425" s="277"/>
      <c r="O425" s="277"/>
      <c r="P425" s="277"/>
      <c r="Q425" s="277"/>
    </row>
    <row r="426" spans="1:22" ht="51.75" hidden="1" x14ac:dyDescent="0.25">
      <c r="A426" s="309">
        <v>5337</v>
      </c>
      <c r="B426" s="283">
        <v>485000</v>
      </c>
      <c r="C426" s="287" t="s">
        <v>366</v>
      </c>
      <c r="D426" s="287"/>
      <c r="E426" s="288">
        <f>E427</f>
        <v>0</v>
      </c>
      <c r="F426" s="288"/>
      <c r="G426" s="288">
        <f t="shared" si="114"/>
        <v>0</v>
      </c>
      <c r="H426" s="288"/>
      <c r="I426" s="288">
        <f t="shared" ref="I426:Q426" si="130">I427</f>
        <v>0</v>
      </c>
      <c r="J426" s="288">
        <f t="shared" si="130"/>
        <v>0</v>
      </c>
      <c r="K426" s="288"/>
      <c r="L426" s="288">
        <f t="shared" si="130"/>
        <v>0</v>
      </c>
      <c r="M426" s="288"/>
      <c r="N426" s="288">
        <f t="shared" si="130"/>
        <v>0</v>
      </c>
      <c r="O426" s="288">
        <f t="shared" si="130"/>
        <v>0</v>
      </c>
      <c r="P426" s="288"/>
      <c r="Q426" s="288">
        <f t="shared" si="130"/>
        <v>0</v>
      </c>
    </row>
    <row r="427" spans="1:22" ht="39" hidden="1" x14ac:dyDescent="0.25">
      <c r="A427" s="327">
        <v>5338</v>
      </c>
      <c r="B427" s="294">
        <v>485100</v>
      </c>
      <c r="C427" s="295" t="s">
        <v>367</v>
      </c>
      <c r="D427" s="295"/>
      <c r="E427" s="277"/>
      <c r="F427" s="277"/>
      <c r="G427" s="311">
        <f t="shared" si="114"/>
        <v>0</v>
      </c>
      <c r="H427" s="311"/>
      <c r="I427" s="277"/>
      <c r="J427" s="277"/>
      <c r="K427" s="277"/>
      <c r="L427" s="277"/>
      <c r="M427" s="277"/>
      <c r="N427" s="277"/>
      <c r="O427" s="277"/>
      <c r="P427" s="277"/>
      <c r="Q427" s="277"/>
    </row>
    <row r="428" spans="1:22" hidden="1" x14ac:dyDescent="0.25">
      <c r="A428" s="656" t="s">
        <v>0</v>
      </c>
      <c r="B428" s="657" t="s">
        <v>1</v>
      </c>
      <c r="C428" s="656" t="s">
        <v>2</v>
      </c>
      <c r="D428" s="308"/>
      <c r="E428" s="656" t="s">
        <v>217</v>
      </c>
      <c r="F428" s="308"/>
      <c r="G428" s="658" t="s">
        <v>198</v>
      </c>
      <c r="H428" s="658"/>
      <c r="I428" s="659"/>
      <c r="J428" s="659"/>
      <c r="K428" s="659"/>
      <c r="L428" s="659"/>
      <c r="M428" s="659"/>
      <c r="N428" s="659"/>
      <c r="O428" s="659"/>
      <c r="P428" s="659"/>
      <c r="Q428" s="659"/>
    </row>
    <row r="429" spans="1:22" hidden="1" x14ac:dyDescent="0.25">
      <c r="A429" s="656"/>
      <c r="B429" s="657"/>
      <c r="C429" s="656"/>
      <c r="D429" s="308"/>
      <c r="E429" s="656"/>
      <c r="F429" s="308"/>
      <c r="G429" s="658" t="s">
        <v>199</v>
      </c>
      <c r="H429" s="283"/>
      <c r="I429" s="658" t="s">
        <v>200</v>
      </c>
      <c r="J429" s="659"/>
      <c r="K429" s="659"/>
      <c r="L429" s="659"/>
      <c r="M429" s="659"/>
      <c r="N429" s="659"/>
      <c r="O429" s="658" t="s">
        <v>7</v>
      </c>
      <c r="P429" s="283"/>
      <c r="Q429" s="658" t="s">
        <v>8</v>
      </c>
    </row>
    <row r="430" spans="1:22" ht="39" hidden="1" x14ac:dyDescent="0.25">
      <c r="A430" s="656"/>
      <c r="B430" s="657"/>
      <c r="C430" s="656"/>
      <c r="D430" s="308"/>
      <c r="E430" s="656"/>
      <c r="F430" s="308"/>
      <c r="G430" s="659"/>
      <c r="H430" s="328"/>
      <c r="I430" s="283" t="s">
        <v>201</v>
      </c>
      <c r="J430" s="283" t="s">
        <v>10</v>
      </c>
      <c r="K430" s="283"/>
      <c r="L430" s="283" t="s">
        <v>11</v>
      </c>
      <c r="M430" s="283"/>
      <c r="N430" s="283" t="s">
        <v>12</v>
      </c>
      <c r="O430" s="659"/>
      <c r="P430" s="328"/>
      <c r="Q430" s="659"/>
    </row>
    <row r="431" spans="1:22" ht="26.25" hidden="1" x14ac:dyDescent="0.25">
      <c r="A431" s="305" t="s">
        <v>18</v>
      </c>
      <c r="B431" s="305" t="s">
        <v>19</v>
      </c>
      <c r="C431" s="305" t="s">
        <v>20</v>
      </c>
      <c r="D431" s="305"/>
      <c r="E431" s="305" t="s">
        <v>21</v>
      </c>
      <c r="F431" s="305"/>
      <c r="G431" s="305" t="s">
        <v>22</v>
      </c>
      <c r="H431" s="305"/>
      <c r="I431" s="305" t="s">
        <v>23</v>
      </c>
      <c r="J431" s="305" t="s">
        <v>24</v>
      </c>
      <c r="K431" s="305"/>
      <c r="L431" s="305" t="s">
        <v>25</v>
      </c>
      <c r="M431" s="305"/>
      <c r="N431" s="305" t="s">
        <v>26</v>
      </c>
      <c r="O431" s="305" t="s">
        <v>27</v>
      </c>
      <c r="P431" s="305"/>
      <c r="Q431" s="305" t="s">
        <v>28</v>
      </c>
    </row>
    <row r="432" spans="1:22" ht="90" hidden="1" x14ac:dyDescent="0.25">
      <c r="A432" s="309">
        <v>5339</v>
      </c>
      <c r="B432" s="283">
        <v>489000</v>
      </c>
      <c r="C432" s="287" t="s">
        <v>368</v>
      </c>
      <c r="D432" s="287"/>
      <c r="E432" s="288">
        <f>E433</f>
        <v>0</v>
      </c>
      <c r="F432" s="288"/>
      <c r="G432" s="288">
        <f t="shared" si="114"/>
        <v>0</v>
      </c>
      <c r="H432" s="288"/>
      <c r="I432" s="288">
        <f t="shared" ref="I432:Q432" si="131">I433</f>
        <v>0</v>
      </c>
      <c r="J432" s="288">
        <f t="shared" si="131"/>
        <v>0</v>
      </c>
      <c r="K432" s="288"/>
      <c r="L432" s="288">
        <f t="shared" si="131"/>
        <v>0</v>
      </c>
      <c r="M432" s="288"/>
      <c r="N432" s="288">
        <f t="shared" si="131"/>
        <v>0</v>
      </c>
      <c r="O432" s="288">
        <f t="shared" si="131"/>
        <v>0</v>
      </c>
      <c r="P432" s="288"/>
      <c r="Q432" s="288">
        <f t="shared" si="131"/>
        <v>0</v>
      </c>
    </row>
    <row r="433" spans="1:22" ht="51.75" hidden="1" x14ac:dyDescent="0.25">
      <c r="A433" s="327">
        <v>5340</v>
      </c>
      <c r="B433" s="294">
        <v>489100</v>
      </c>
      <c r="C433" s="295" t="s">
        <v>369</v>
      </c>
      <c r="D433" s="295"/>
      <c r="E433" s="277"/>
      <c r="F433" s="277"/>
      <c r="G433" s="311">
        <f t="shared" si="114"/>
        <v>0</v>
      </c>
      <c r="H433" s="311"/>
      <c r="I433" s="277"/>
      <c r="J433" s="277"/>
      <c r="K433" s="277"/>
      <c r="L433" s="277"/>
      <c r="M433" s="277"/>
      <c r="N433" s="277"/>
      <c r="O433" s="277"/>
      <c r="P433" s="277"/>
      <c r="Q433" s="277"/>
    </row>
    <row r="434" spans="1:22" ht="51.75" x14ac:dyDescent="0.25">
      <c r="A434" s="309">
        <v>5341</v>
      </c>
      <c r="B434" s="283">
        <v>500000</v>
      </c>
      <c r="C434" s="287" t="s">
        <v>370</v>
      </c>
      <c r="D434" s="287"/>
      <c r="E434" s="288">
        <f>E435+E458+E471+E474+E482</f>
        <v>35552</v>
      </c>
      <c r="F434" s="288">
        <f t="shared" ref="F434:Q434" si="132">F435+F458+F471+F474+F482</f>
        <v>27229</v>
      </c>
      <c r="G434" s="288">
        <f t="shared" si="132"/>
        <v>3263</v>
      </c>
      <c r="H434" s="288">
        <f t="shared" si="132"/>
        <v>25000</v>
      </c>
      <c r="I434" s="288">
        <f t="shared" si="132"/>
        <v>1450</v>
      </c>
      <c r="J434" s="288">
        <f t="shared" si="132"/>
        <v>0</v>
      </c>
      <c r="K434" s="288">
        <f t="shared" si="132"/>
        <v>1000</v>
      </c>
      <c r="L434" s="288">
        <f t="shared" si="132"/>
        <v>0</v>
      </c>
      <c r="M434" s="288">
        <f t="shared" si="132"/>
        <v>0</v>
      </c>
      <c r="N434" s="288">
        <f t="shared" si="132"/>
        <v>0</v>
      </c>
      <c r="O434" s="288">
        <f t="shared" si="132"/>
        <v>0</v>
      </c>
      <c r="P434" s="288">
        <f t="shared" si="132"/>
        <v>1229</v>
      </c>
      <c r="Q434" s="288">
        <f t="shared" si="132"/>
        <v>1813</v>
      </c>
    </row>
    <row r="435" spans="1:22" ht="26.25" x14ac:dyDescent="0.25">
      <c r="A435" s="309">
        <v>5342</v>
      </c>
      <c r="B435" s="283">
        <v>510000</v>
      </c>
      <c r="C435" s="287" t="s">
        <v>371</v>
      </c>
      <c r="D435" s="287"/>
      <c r="E435" s="288">
        <f>E436+E441+E452+E454+E456</f>
        <v>35552</v>
      </c>
      <c r="F435" s="288">
        <f t="shared" ref="F435:Q435" si="133">F436+F441+F452+F454+F456</f>
        <v>27229</v>
      </c>
      <c r="G435" s="288">
        <f t="shared" si="133"/>
        <v>3263</v>
      </c>
      <c r="H435" s="288">
        <f t="shared" si="133"/>
        <v>25000</v>
      </c>
      <c r="I435" s="288">
        <f t="shared" si="133"/>
        <v>1450</v>
      </c>
      <c r="J435" s="288">
        <f t="shared" si="133"/>
        <v>0</v>
      </c>
      <c r="K435" s="288">
        <f t="shared" si="133"/>
        <v>1000</v>
      </c>
      <c r="L435" s="288">
        <f t="shared" si="133"/>
        <v>0</v>
      </c>
      <c r="M435" s="288">
        <f t="shared" si="133"/>
        <v>0</v>
      </c>
      <c r="N435" s="288">
        <f t="shared" si="133"/>
        <v>0</v>
      </c>
      <c r="O435" s="288">
        <f t="shared" si="133"/>
        <v>0</v>
      </c>
      <c r="P435" s="288">
        <f t="shared" si="133"/>
        <v>1229</v>
      </c>
      <c r="Q435" s="288">
        <f t="shared" si="133"/>
        <v>1813</v>
      </c>
    </row>
    <row r="436" spans="1:22" ht="26.25" x14ac:dyDescent="0.25">
      <c r="A436" s="309">
        <v>5343</v>
      </c>
      <c r="B436" s="283">
        <v>511000</v>
      </c>
      <c r="C436" s="287" t="s">
        <v>372</v>
      </c>
      <c r="D436" s="287"/>
      <c r="E436" s="288">
        <f>SUM(E437:E440)</f>
        <v>6000</v>
      </c>
      <c r="F436" s="288">
        <f t="shared" ref="F436:Q436" si="134">SUM(F437:F440)</f>
        <v>5000</v>
      </c>
      <c r="G436" s="288">
        <f t="shared" si="134"/>
        <v>1450</v>
      </c>
      <c r="H436" s="288">
        <f t="shared" si="134"/>
        <v>5000</v>
      </c>
      <c r="I436" s="288">
        <f t="shared" si="134"/>
        <v>1450</v>
      </c>
      <c r="J436" s="288">
        <f t="shared" si="134"/>
        <v>0</v>
      </c>
      <c r="K436" s="288">
        <f t="shared" si="134"/>
        <v>0</v>
      </c>
      <c r="L436" s="288">
        <f t="shared" si="134"/>
        <v>0</v>
      </c>
      <c r="M436" s="288">
        <f t="shared" si="134"/>
        <v>0</v>
      </c>
      <c r="N436" s="288">
        <f t="shared" si="134"/>
        <v>0</v>
      </c>
      <c r="O436" s="288">
        <f t="shared" si="134"/>
        <v>0</v>
      </c>
      <c r="P436" s="288">
        <f t="shared" si="134"/>
        <v>0</v>
      </c>
      <c r="Q436" s="288">
        <f t="shared" si="134"/>
        <v>0</v>
      </c>
    </row>
    <row r="437" spans="1:22" hidden="1" x14ac:dyDescent="0.25">
      <c r="A437" s="327">
        <v>5344</v>
      </c>
      <c r="B437" s="294">
        <v>511100</v>
      </c>
      <c r="C437" s="295" t="s">
        <v>373</v>
      </c>
      <c r="D437" s="295"/>
      <c r="E437" s="277"/>
      <c r="F437" s="277"/>
      <c r="G437" s="311">
        <f t="shared" si="114"/>
        <v>0</v>
      </c>
      <c r="H437" s="311"/>
      <c r="I437" s="277"/>
      <c r="J437" s="277"/>
      <c r="K437" s="277"/>
      <c r="L437" s="277"/>
      <c r="M437" s="277"/>
      <c r="N437" s="277"/>
      <c r="O437" s="277"/>
      <c r="P437" s="277"/>
      <c r="Q437" s="277"/>
    </row>
    <row r="438" spans="1:22" hidden="1" x14ac:dyDescent="0.25">
      <c r="A438" s="327">
        <v>5345</v>
      </c>
      <c r="B438" s="294">
        <v>511200</v>
      </c>
      <c r="C438" s="295" t="s">
        <v>374</v>
      </c>
      <c r="D438" s="295"/>
      <c r="E438" s="277"/>
      <c r="F438" s="277"/>
      <c r="G438" s="311">
        <f t="shared" si="114"/>
        <v>0</v>
      </c>
      <c r="H438" s="311"/>
      <c r="I438" s="277"/>
      <c r="J438" s="277"/>
      <c r="K438" s="277"/>
      <c r="L438" s="277"/>
      <c r="M438" s="277"/>
      <c r="N438" s="277"/>
      <c r="O438" s="277"/>
      <c r="P438" s="277"/>
      <c r="Q438" s="277"/>
    </row>
    <row r="439" spans="1:22" ht="24.75" customHeight="1" x14ac:dyDescent="0.25">
      <c r="A439" s="327">
        <v>5346</v>
      </c>
      <c r="B439" s="294">
        <v>511300</v>
      </c>
      <c r="C439" s="295" t="s">
        <v>375</v>
      </c>
      <c r="D439" s="295"/>
      <c r="E439" s="277">
        <v>6000</v>
      </c>
      <c r="F439" s="277">
        <f>H439+K439+M439+P439</f>
        <v>5000</v>
      </c>
      <c r="G439" s="311">
        <f t="shared" ref="G439" si="135">SUM(I439:Q439)-K439-M439-P439</f>
        <v>1450</v>
      </c>
      <c r="H439" s="311">
        <v>5000</v>
      </c>
      <c r="I439" s="277">
        <v>1450</v>
      </c>
      <c r="J439" s="277"/>
      <c r="K439" s="277"/>
      <c r="L439" s="277"/>
      <c r="M439" s="277"/>
      <c r="N439" s="277"/>
      <c r="O439" s="277"/>
      <c r="P439" s="277"/>
      <c r="Q439" s="277"/>
      <c r="V439" s="281" t="s">
        <v>469</v>
      </c>
    </row>
    <row r="440" spans="1:22" hidden="1" x14ac:dyDescent="0.25">
      <c r="A440" s="327">
        <v>5347</v>
      </c>
      <c r="B440" s="294">
        <v>511400</v>
      </c>
      <c r="C440" s="295" t="s">
        <v>376</v>
      </c>
      <c r="D440" s="295"/>
      <c r="E440" s="277"/>
      <c r="F440" s="277"/>
      <c r="G440" s="311">
        <f t="shared" si="114"/>
        <v>0</v>
      </c>
      <c r="H440" s="311"/>
      <c r="I440" s="277"/>
      <c r="J440" s="277"/>
      <c r="K440" s="277"/>
      <c r="L440" s="277"/>
      <c r="M440" s="277"/>
      <c r="N440" s="277"/>
      <c r="O440" s="277"/>
      <c r="P440" s="277"/>
      <c r="Q440" s="277"/>
    </row>
    <row r="441" spans="1:22" ht="26.25" x14ac:dyDescent="0.25">
      <c r="A441" s="309">
        <v>5348</v>
      </c>
      <c r="B441" s="283">
        <v>512000</v>
      </c>
      <c r="C441" s="287" t="s">
        <v>377</v>
      </c>
      <c r="D441" s="287"/>
      <c r="E441" s="288">
        <f>SUM(E442:E451)</f>
        <v>29312</v>
      </c>
      <c r="F441" s="288">
        <f t="shared" ref="F441:Q441" si="136">SUM(F442:F451)</f>
        <v>22229</v>
      </c>
      <c r="G441" s="288">
        <f t="shared" si="136"/>
        <v>1813</v>
      </c>
      <c r="H441" s="288">
        <f t="shared" si="136"/>
        <v>20000</v>
      </c>
      <c r="I441" s="288">
        <f t="shared" si="136"/>
        <v>0</v>
      </c>
      <c r="J441" s="288">
        <f t="shared" si="136"/>
        <v>0</v>
      </c>
      <c r="K441" s="288">
        <f t="shared" si="136"/>
        <v>1000</v>
      </c>
      <c r="L441" s="288">
        <f t="shared" si="136"/>
        <v>0</v>
      </c>
      <c r="M441" s="288">
        <f t="shared" si="136"/>
        <v>0</v>
      </c>
      <c r="N441" s="288">
        <f t="shared" si="136"/>
        <v>0</v>
      </c>
      <c r="O441" s="288">
        <f t="shared" si="136"/>
        <v>0</v>
      </c>
      <c r="P441" s="288">
        <f t="shared" si="136"/>
        <v>1229</v>
      </c>
      <c r="Q441" s="288">
        <f t="shared" si="136"/>
        <v>1813</v>
      </c>
    </row>
    <row r="442" spans="1:22" hidden="1" x14ac:dyDescent="0.25">
      <c r="A442" s="327">
        <v>5349</v>
      </c>
      <c r="B442" s="294">
        <v>512100</v>
      </c>
      <c r="C442" s="295" t="s">
        <v>378</v>
      </c>
      <c r="D442" s="295"/>
      <c r="E442" s="277"/>
      <c r="F442" s="277"/>
      <c r="G442" s="311">
        <f t="shared" si="114"/>
        <v>0</v>
      </c>
      <c r="H442" s="311"/>
      <c r="I442" s="277"/>
      <c r="J442" s="277"/>
      <c r="K442" s="277"/>
      <c r="L442" s="277"/>
      <c r="M442" s="277"/>
      <c r="N442" s="277"/>
      <c r="O442" s="277"/>
      <c r="P442" s="277"/>
      <c r="Q442" s="277"/>
    </row>
    <row r="443" spans="1:22" x14ac:dyDescent="0.25">
      <c r="A443" s="327">
        <v>5349</v>
      </c>
      <c r="B443" s="294">
        <v>512100</v>
      </c>
      <c r="C443" s="295" t="s">
        <v>378</v>
      </c>
      <c r="D443" s="295"/>
      <c r="E443" s="277"/>
      <c r="F443" s="277">
        <f>H443+K443+M443+P443</f>
        <v>0</v>
      </c>
      <c r="G443" s="311"/>
      <c r="H443" s="311"/>
      <c r="I443" s="277"/>
      <c r="J443" s="277"/>
      <c r="K443" s="277"/>
      <c r="L443" s="277"/>
      <c r="M443" s="277"/>
      <c r="N443" s="277"/>
      <c r="O443" s="277"/>
      <c r="P443" s="278"/>
      <c r="Q443" s="277"/>
    </row>
    <row r="444" spans="1:22" ht="28.5" x14ac:dyDescent="0.45">
      <c r="A444" s="327">
        <v>5350</v>
      </c>
      <c r="B444" s="294">
        <v>512200</v>
      </c>
      <c r="C444" s="295" t="s">
        <v>379</v>
      </c>
      <c r="D444" s="295"/>
      <c r="E444" s="277">
        <v>1312</v>
      </c>
      <c r="F444" s="277">
        <f>H444+K444+M444+P444</f>
        <v>918</v>
      </c>
      <c r="G444" s="311">
        <f t="shared" ref="G444" si="137">SUM(I444:Q444)-K444-M444-P444</f>
        <v>1258</v>
      </c>
      <c r="H444" s="349"/>
      <c r="I444" s="277"/>
      <c r="J444" s="277"/>
      <c r="K444" s="277"/>
      <c r="L444" s="277"/>
      <c r="M444" s="277"/>
      <c r="N444" s="277"/>
      <c r="O444" s="277"/>
      <c r="P444" s="277">
        <v>918</v>
      </c>
      <c r="Q444" s="277">
        <v>1258</v>
      </c>
      <c r="R444" s="281">
        <v>809</v>
      </c>
      <c r="S444" s="281">
        <v>1124</v>
      </c>
      <c r="T444" s="281">
        <f>S444-R444</f>
        <v>315</v>
      </c>
      <c r="V444" s="348" t="s">
        <v>538</v>
      </c>
    </row>
    <row r="445" spans="1:22" hidden="1" x14ac:dyDescent="0.25">
      <c r="A445" s="327">
        <v>5351</v>
      </c>
      <c r="B445" s="294">
        <v>512300</v>
      </c>
      <c r="C445" s="295" t="s">
        <v>380</v>
      </c>
      <c r="D445" s="295"/>
      <c r="E445" s="277"/>
      <c r="F445" s="277"/>
      <c r="G445" s="311">
        <f t="shared" si="114"/>
        <v>0</v>
      </c>
      <c r="H445" s="311"/>
      <c r="I445" s="277"/>
      <c r="J445" s="277"/>
      <c r="K445" s="277"/>
      <c r="L445" s="277"/>
      <c r="M445" s="277"/>
      <c r="N445" s="277"/>
      <c r="O445" s="277"/>
      <c r="P445" s="277"/>
      <c r="Q445" s="277"/>
    </row>
    <row r="446" spans="1:22" ht="26.25" hidden="1" x14ac:dyDescent="0.25">
      <c r="A446" s="327">
        <v>5352</v>
      </c>
      <c r="B446" s="294">
        <v>512400</v>
      </c>
      <c r="C446" s="295" t="s">
        <v>381</v>
      </c>
      <c r="D446" s="295"/>
      <c r="E446" s="277"/>
      <c r="F446" s="277"/>
      <c r="G446" s="311">
        <f t="shared" si="114"/>
        <v>0</v>
      </c>
      <c r="H446" s="311"/>
      <c r="I446" s="277"/>
      <c r="J446" s="277"/>
      <c r="K446" s="277"/>
      <c r="L446" s="277"/>
      <c r="M446" s="277"/>
      <c r="N446" s="277"/>
      <c r="O446" s="277"/>
      <c r="P446" s="277"/>
      <c r="Q446" s="277"/>
    </row>
    <row r="447" spans="1:22" ht="26.25" x14ac:dyDescent="0.25">
      <c r="A447" s="327">
        <v>5353</v>
      </c>
      <c r="B447" s="294">
        <v>512500</v>
      </c>
      <c r="C447" s="295" t="s">
        <v>382</v>
      </c>
      <c r="D447" s="295"/>
      <c r="E447" s="277">
        <v>28000</v>
      </c>
      <c r="F447" s="277">
        <f>H447+K447+M447+P447</f>
        <v>21311</v>
      </c>
      <c r="G447" s="311">
        <f t="shared" ref="G447" si="138">SUM(I447:Q447)-K447-M447-P447</f>
        <v>555</v>
      </c>
      <c r="H447" s="311">
        <v>20000</v>
      </c>
      <c r="I447" s="277"/>
      <c r="J447" s="277"/>
      <c r="K447" s="277">
        <v>1000</v>
      </c>
      <c r="L447" s="277"/>
      <c r="M447" s="277"/>
      <c r="N447" s="277"/>
      <c r="O447" s="277"/>
      <c r="P447" s="278">
        <v>311</v>
      </c>
      <c r="Q447" s="277">
        <v>555</v>
      </c>
      <c r="V447" s="281" t="s">
        <v>469</v>
      </c>
    </row>
    <row r="448" spans="1:22" ht="26.25" hidden="1" x14ac:dyDescent="0.25">
      <c r="A448" s="327">
        <v>5354</v>
      </c>
      <c r="B448" s="294">
        <v>512600</v>
      </c>
      <c r="C448" s="295" t="s">
        <v>383</v>
      </c>
      <c r="D448" s="295"/>
      <c r="E448" s="277"/>
      <c r="F448" s="277"/>
      <c r="G448" s="311">
        <f t="shared" si="114"/>
        <v>0</v>
      </c>
      <c r="H448" s="311"/>
      <c r="I448" s="277"/>
      <c r="J448" s="277"/>
      <c r="K448" s="277"/>
      <c r="L448" s="277"/>
      <c r="M448" s="277"/>
      <c r="N448" s="277"/>
      <c r="O448" s="277"/>
      <c r="P448" s="277"/>
      <c r="Q448" s="277"/>
    </row>
    <row r="449" spans="1:17" hidden="1" x14ac:dyDescent="0.25">
      <c r="A449" s="327">
        <v>5355</v>
      </c>
      <c r="B449" s="294">
        <v>512700</v>
      </c>
      <c r="C449" s="295" t="s">
        <v>384</v>
      </c>
      <c r="D449" s="295"/>
      <c r="E449" s="277"/>
      <c r="F449" s="277"/>
      <c r="G449" s="311">
        <f t="shared" si="114"/>
        <v>0</v>
      </c>
      <c r="H449" s="311"/>
      <c r="I449" s="277"/>
      <c r="J449" s="277"/>
      <c r="K449" s="277"/>
      <c r="L449" s="277"/>
      <c r="M449" s="277"/>
      <c r="N449" s="277"/>
      <c r="O449" s="277"/>
      <c r="P449" s="277"/>
      <c r="Q449" s="277"/>
    </row>
    <row r="450" spans="1:17" hidden="1" x14ac:dyDescent="0.25">
      <c r="A450" s="327">
        <v>5356</v>
      </c>
      <c r="B450" s="294">
        <v>512800</v>
      </c>
      <c r="C450" s="295" t="s">
        <v>385</v>
      </c>
      <c r="D450" s="295"/>
      <c r="E450" s="277"/>
      <c r="F450" s="277"/>
      <c r="G450" s="311">
        <f t="shared" si="114"/>
        <v>0</v>
      </c>
      <c r="H450" s="311"/>
      <c r="I450" s="277"/>
      <c r="J450" s="277"/>
      <c r="K450" s="277"/>
      <c r="L450" s="277"/>
      <c r="M450" s="277"/>
      <c r="N450" s="277"/>
      <c r="O450" s="277"/>
      <c r="P450" s="277"/>
      <c r="Q450" s="277"/>
    </row>
    <row r="451" spans="1:17" ht="26.25" hidden="1" x14ac:dyDescent="0.25">
      <c r="A451" s="327">
        <v>5357</v>
      </c>
      <c r="B451" s="294">
        <v>512900</v>
      </c>
      <c r="C451" s="295" t="s">
        <v>386</v>
      </c>
      <c r="D451" s="295"/>
      <c r="E451" s="277"/>
      <c r="F451" s="277"/>
      <c r="G451" s="311">
        <f t="shared" si="114"/>
        <v>0</v>
      </c>
      <c r="H451" s="311"/>
      <c r="I451" s="277"/>
      <c r="J451" s="277"/>
      <c r="K451" s="277"/>
      <c r="L451" s="277"/>
      <c r="M451" s="277"/>
      <c r="N451" s="277"/>
      <c r="O451" s="277"/>
      <c r="P451" s="277"/>
      <c r="Q451" s="277"/>
    </row>
    <row r="452" spans="1:17" ht="26.25" hidden="1" x14ac:dyDescent="0.25">
      <c r="A452" s="309">
        <v>5358</v>
      </c>
      <c r="B452" s="283">
        <v>513000</v>
      </c>
      <c r="C452" s="287" t="s">
        <v>387</v>
      </c>
      <c r="D452" s="287"/>
      <c r="E452" s="288">
        <f>E453</f>
        <v>0</v>
      </c>
      <c r="F452" s="288"/>
      <c r="G452" s="288">
        <f t="shared" si="114"/>
        <v>0</v>
      </c>
      <c r="H452" s="288"/>
      <c r="I452" s="288">
        <f t="shared" ref="I452:Q452" si="139">I453</f>
        <v>0</v>
      </c>
      <c r="J452" s="288">
        <f t="shared" si="139"/>
        <v>0</v>
      </c>
      <c r="K452" s="288"/>
      <c r="L452" s="288">
        <f t="shared" si="139"/>
        <v>0</v>
      </c>
      <c r="M452" s="288"/>
      <c r="N452" s="288">
        <f t="shared" si="139"/>
        <v>0</v>
      </c>
      <c r="O452" s="288">
        <f t="shared" si="139"/>
        <v>0</v>
      </c>
      <c r="P452" s="288"/>
      <c r="Q452" s="288">
        <f t="shared" si="139"/>
        <v>0</v>
      </c>
    </row>
    <row r="453" spans="1:17" hidden="1" x14ac:dyDescent="0.25">
      <c r="A453" s="327">
        <v>5359</v>
      </c>
      <c r="B453" s="294">
        <v>513100</v>
      </c>
      <c r="C453" s="295" t="s">
        <v>388</v>
      </c>
      <c r="D453" s="295"/>
      <c r="E453" s="277"/>
      <c r="F453" s="277"/>
      <c r="G453" s="311">
        <f t="shared" si="114"/>
        <v>0</v>
      </c>
      <c r="H453" s="311"/>
      <c r="I453" s="277"/>
      <c r="J453" s="277"/>
      <c r="K453" s="277"/>
      <c r="L453" s="277"/>
      <c r="M453" s="277"/>
      <c r="N453" s="277"/>
      <c r="O453" s="277"/>
      <c r="P453" s="277"/>
      <c r="Q453" s="277"/>
    </row>
    <row r="454" spans="1:17" ht="26.25" hidden="1" x14ac:dyDescent="0.25">
      <c r="A454" s="309">
        <v>5360</v>
      </c>
      <c r="B454" s="283">
        <v>514000</v>
      </c>
      <c r="C454" s="287" t="s">
        <v>389</v>
      </c>
      <c r="D454" s="287"/>
      <c r="E454" s="288">
        <f>E455</f>
        <v>0</v>
      </c>
      <c r="F454" s="288"/>
      <c r="G454" s="288">
        <f t="shared" si="114"/>
        <v>0</v>
      </c>
      <c r="H454" s="288"/>
      <c r="I454" s="288">
        <f t="shared" ref="I454:Q454" si="140">I455</f>
        <v>0</v>
      </c>
      <c r="J454" s="288">
        <f t="shared" si="140"/>
        <v>0</v>
      </c>
      <c r="K454" s="288"/>
      <c r="L454" s="288">
        <f t="shared" si="140"/>
        <v>0</v>
      </c>
      <c r="M454" s="288"/>
      <c r="N454" s="288">
        <f t="shared" si="140"/>
        <v>0</v>
      </c>
      <c r="O454" s="288">
        <f t="shared" si="140"/>
        <v>0</v>
      </c>
      <c r="P454" s="288"/>
      <c r="Q454" s="288">
        <f t="shared" si="140"/>
        <v>0</v>
      </c>
    </row>
    <row r="455" spans="1:17" hidden="1" x14ac:dyDescent="0.25">
      <c r="A455" s="327">
        <v>5361</v>
      </c>
      <c r="B455" s="294">
        <v>514100</v>
      </c>
      <c r="C455" s="295" t="s">
        <v>390</v>
      </c>
      <c r="D455" s="295"/>
      <c r="E455" s="277"/>
      <c r="F455" s="277"/>
      <c r="G455" s="311">
        <f t="shared" si="114"/>
        <v>0</v>
      </c>
      <c r="H455" s="311"/>
      <c r="I455" s="277"/>
      <c r="J455" s="277"/>
      <c r="K455" s="277"/>
      <c r="L455" s="277"/>
      <c r="M455" s="277"/>
      <c r="N455" s="277"/>
      <c r="O455" s="277"/>
      <c r="P455" s="277"/>
      <c r="Q455" s="277"/>
    </row>
    <row r="456" spans="1:17" ht="26.25" x14ac:dyDescent="0.25">
      <c r="A456" s="309">
        <v>5362</v>
      </c>
      <c r="B456" s="283">
        <v>515000</v>
      </c>
      <c r="C456" s="287" t="s">
        <v>391</v>
      </c>
      <c r="D456" s="287"/>
      <c r="E456" s="288">
        <f>E457</f>
        <v>240</v>
      </c>
      <c r="F456" s="288">
        <f t="shared" ref="F456:Q456" si="141">F457</f>
        <v>0</v>
      </c>
      <c r="G456" s="288">
        <f t="shared" si="141"/>
        <v>0</v>
      </c>
      <c r="H456" s="288">
        <f t="shared" si="141"/>
        <v>0</v>
      </c>
      <c r="I456" s="288">
        <f t="shared" si="141"/>
        <v>0</v>
      </c>
      <c r="J456" s="288">
        <f t="shared" si="141"/>
        <v>0</v>
      </c>
      <c r="K456" s="288">
        <f t="shared" si="141"/>
        <v>0</v>
      </c>
      <c r="L456" s="288">
        <f t="shared" si="141"/>
        <v>0</v>
      </c>
      <c r="M456" s="288">
        <f t="shared" si="141"/>
        <v>0</v>
      </c>
      <c r="N456" s="288">
        <f t="shared" si="141"/>
        <v>0</v>
      </c>
      <c r="O456" s="288">
        <f t="shared" si="141"/>
        <v>0</v>
      </c>
      <c r="P456" s="288">
        <f t="shared" si="141"/>
        <v>0</v>
      </c>
      <c r="Q456" s="288">
        <f t="shared" si="141"/>
        <v>0</v>
      </c>
    </row>
    <row r="457" spans="1:17" x14ac:dyDescent="0.25">
      <c r="A457" s="327">
        <v>5363</v>
      </c>
      <c r="B457" s="294">
        <v>515100</v>
      </c>
      <c r="C457" s="295" t="s">
        <v>392</v>
      </c>
      <c r="D457" s="295"/>
      <c r="E457" s="277">
        <v>240</v>
      </c>
      <c r="F457" s="277">
        <f>H457+K457+M457+P457</f>
        <v>0</v>
      </c>
      <c r="G457" s="311">
        <f t="shared" si="114"/>
        <v>0</v>
      </c>
      <c r="H457" s="311"/>
      <c r="I457" s="277"/>
      <c r="J457" s="277"/>
      <c r="K457" s="277"/>
      <c r="L457" s="277"/>
      <c r="M457" s="277"/>
      <c r="N457" s="277"/>
      <c r="O457" s="277"/>
      <c r="P457" s="277">
        <v>0</v>
      </c>
      <c r="Q457" s="277"/>
    </row>
    <row r="458" spans="1:17" hidden="1" x14ac:dyDescent="0.25">
      <c r="A458" s="309">
        <v>5364</v>
      </c>
      <c r="B458" s="283">
        <v>520000</v>
      </c>
      <c r="C458" s="287" t="s">
        <v>393</v>
      </c>
      <c r="D458" s="287"/>
      <c r="E458" s="288">
        <f>E459+E461+E469</f>
        <v>0</v>
      </c>
      <c r="F458" s="288"/>
      <c r="G458" s="288">
        <f t="shared" ref="G458:G535" si="142">SUM(I458:Q458)</f>
        <v>0</v>
      </c>
      <c r="H458" s="288"/>
      <c r="I458" s="288">
        <f t="shared" ref="I458:Q458" si="143">I459+I461+I469</f>
        <v>0</v>
      </c>
      <c r="J458" s="288">
        <f t="shared" si="143"/>
        <v>0</v>
      </c>
      <c r="K458" s="288"/>
      <c r="L458" s="288">
        <f t="shared" si="143"/>
        <v>0</v>
      </c>
      <c r="M458" s="288"/>
      <c r="N458" s="288">
        <f t="shared" si="143"/>
        <v>0</v>
      </c>
      <c r="O458" s="288">
        <f t="shared" si="143"/>
        <v>0</v>
      </c>
      <c r="P458" s="288"/>
      <c r="Q458" s="288">
        <f t="shared" si="143"/>
        <v>0</v>
      </c>
    </row>
    <row r="459" spans="1:17" hidden="1" x14ac:dyDescent="0.25">
      <c r="A459" s="309">
        <v>5365</v>
      </c>
      <c r="B459" s="283">
        <v>521000</v>
      </c>
      <c r="C459" s="287" t="s">
        <v>394</v>
      </c>
      <c r="D459" s="287"/>
      <c r="E459" s="288">
        <f>E460</f>
        <v>0</v>
      </c>
      <c r="F459" s="288"/>
      <c r="G459" s="288">
        <f t="shared" si="142"/>
        <v>0</v>
      </c>
      <c r="H459" s="288"/>
      <c r="I459" s="288">
        <f t="shared" ref="I459:Q459" si="144">I460</f>
        <v>0</v>
      </c>
      <c r="J459" s="288">
        <f t="shared" si="144"/>
        <v>0</v>
      </c>
      <c r="K459" s="288"/>
      <c r="L459" s="288">
        <f t="shared" si="144"/>
        <v>0</v>
      </c>
      <c r="M459" s="288"/>
      <c r="N459" s="288">
        <f t="shared" si="144"/>
        <v>0</v>
      </c>
      <c r="O459" s="288">
        <f t="shared" si="144"/>
        <v>0</v>
      </c>
      <c r="P459" s="288"/>
      <c r="Q459" s="288">
        <f t="shared" si="144"/>
        <v>0</v>
      </c>
    </row>
    <row r="460" spans="1:17" hidden="1" x14ac:dyDescent="0.25">
      <c r="A460" s="327">
        <v>5366</v>
      </c>
      <c r="B460" s="294">
        <v>521100</v>
      </c>
      <c r="C460" s="295" t="s">
        <v>395</v>
      </c>
      <c r="D460" s="295"/>
      <c r="E460" s="277"/>
      <c r="F460" s="277"/>
      <c r="G460" s="311">
        <f t="shared" si="142"/>
        <v>0</v>
      </c>
      <c r="H460" s="311"/>
      <c r="I460" s="277"/>
      <c r="J460" s="277"/>
      <c r="K460" s="277"/>
      <c r="L460" s="277"/>
      <c r="M460" s="277"/>
      <c r="N460" s="277"/>
      <c r="O460" s="277"/>
      <c r="P460" s="277"/>
      <c r="Q460" s="277"/>
    </row>
    <row r="461" spans="1:17" ht="26.25" hidden="1" x14ac:dyDescent="0.25">
      <c r="A461" s="309">
        <v>5367</v>
      </c>
      <c r="B461" s="283">
        <v>522000</v>
      </c>
      <c r="C461" s="287" t="s">
        <v>396</v>
      </c>
      <c r="D461" s="287"/>
      <c r="E461" s="288">
        <f>SUM(E462:E468)</f>
        <v>0</v>
      </c>
      <c r="F461" s="288"/>
      <c r="G461" s="288">
        <f t="shared" si="142"/>
        <v>0</v>
      </c>
      <c r="H461" s="288"/>
      <c r="I461" s="288">
        <f t="shared" ref="I461:Q461" si="145">SUM(I462:I468)</f>
        <v>0</v>
      </c>
      <c r="J461" s="288">
        <f t="shared" si="145"/>
        <v>0</v>
      </c>
      <c r="K461" s="288"/>
      <c r="L461" s="288">
        <f t="shared" si="145"/>
        <v>0</v>
      </c>
      <c r="M461" s="288"/>
      <c r="N461" s="288">
        <f t="shared" si="145"/>
        <v>0</v>
      </c>
      <c r="O461" s="288">
        <f t="shared" si="145"/>
        <v>0</v>
      </c>
      <c r="P461" s="288"/>
      <c r="Q461" s="288">
        <f t="shared" si="145"/>
        <v>0</v>
      </c>
    </row>
    <row r="462" spans="1:17" hidden="1" x14ac:dyDescent="0.25">
      <c r="A462" s="327">
        <v>5368</v>
      </c>
      <c r="B462" s="294">
        <v>522100</v>
      </c>
      <c r="C462" s="295" t="s">
        <v>397</v>
      </c>
      <c r="D462" s="295"/>
      <c r="E462" s="277"/>
      <c r="F462" s="277"/>
      <c r="G462" s="311">
        <f t="shared" si="142"/>
        <v>0</v>
      </c>
      <c r="H462" s="311"/>
      <c r="I462" s="277"/>
      <c r="J462" s="277"/>
      <c r="K462" s="277"/>
      <c r="L462" s="277"/>
      <c r="M462" s="277"/>
      <c r="N462" s="277"/>
      <c r="O462" s="277"/>
      <c r="P462" s="277"/>
      <c r="Q462" s="277"/>
    </row>
    <row r="463" spans="1:17" hidden="1" x14ac:dyDescent="0.25">
      <c r="A463" s="656" t="s">
        <v>0</v>
      </c>
      <c r="B463" s="657" t="s">
        <v>1</v>
      </c>
      <c r="C463" s="656" t="s">
        <v>2</v>
      </c>
      <c r="D463" s="308"/>
      <c r="E463" s="656" t="s">
        <v>217</v>
      </c>
      <c r="F463" s="308"/>
      <c r="G463" s="658" t="s">
        <v>198</v>
      </c>
      <c r="H463" s="658"/>
      <c r="I463" s="659"/>
      <c r="J463" s="659"/>
      <c r="K463" s="659"/>
      <c r="L463" s="659"/>
      <c r="M463" s="659"/>
      <c r="N463" s="659"/>
      <c r="O463" s="659"/>
      <c r="P463" s="659"/>
      <c r="Q463" s="659"/>
    </row>
    <row r="464" spans="1:17" hidden="1" x14ac:dyDescent="0.25">
      <c r="A464" s="656"/>
      <c r="B464" s="657"/>
      <c r="C464" s="656"/>
      <c r="D464" s="308"/>
      <c r="E464" s="656"/>
      <c r="F464" s="308"/>
      <c r="G464" s="658" t="s">
        <v>199</v>
      </c>
      <c r="H464" s="283"/>
      <c r="I464" s="658" t="s">
        <v>200</v>
      </c>
      <c r="J464" s="659"/>
      <c r="K464" s="659"/>
      <c r="L464" s="659"/>
      <c r="M464" s="659"/>
      <c r="N464" s="659"/>
      <c r="O464" s="658" t="s">
        <v>7</v>
      </c>
      <c r="P464" s="283"/>
      <c r="Q464" s="658" t="s">
        <v>8</v>
      </c>
    </row>
    <row r="465" spans="1:17" ht="39" hidden="1" x14ac:dyDescent="0.25">
      <c r="A465" s="656"/>
      <c r="B465" s="657"/>
      <c r="C465" s="656"/>
      <c r="D465" s="308"/>
      <c r="E465" s="656"/>
      <c r="F465" s="308"/>
      <c r="G465" s="659"/>
      <c r="H465" s="328"/>
      <c r="I465" s="283" t="s">
        <v>201</v>
      </c>
      <c r="J465" s="283" t="s">
        <v>10</v>
      </c>
      <c r="K465" s="283"/>
      <c r="L465" s="283" t="s">
        <v>11</v>
      </c>
      <c r="M465" s="283"/>
      <c r="N465" s="283" t="s">
        <v>12</v>
      </c>
      <c r="O465" s="659"/>
      <c r="P465" s="328"/>
      <c r="Q465" s="659"/>
    </row>
    <row r="466" spans="1:17" ht="26.25" hidden="1" x14ac:dyDescent="0.25">
      <c r="A466" s="305" t="s">
        <v>18</v>
      </c>
      <c r="B466" s="305" t="s">
        <v>19</v>
      </c>
      <c r="C466" s="305" t="s">
        <v>20</v>
      </c>
      <c r="D466" s="305"/>
      <c r="E466" s="305" t="s">
        <v>21</v>
      </c>
      <c r="F466" s="305"/>
      <c r="G466" s="305" t="s">
        <v>22</v>
      </c>
      <c r="H466" s="305"/>
      <c r="I466" s="305" t="s">
        <v>23</v>
      </c>
      <c r="J466" s="305" t="s">
        <v>24</v>
      </c>
      <c r="K466" s="305"/>
      <c r="L466" s="305" t="s">
        <v>25</v>
      </c>
      <c r="M466" s="305"/>
      <c r="N466" s="305" t="s">
        <v>26</v>
      </c>
      <c r="O466" s="305" t="s">
        <v>27</v>
      </c>
      <c r="P466" s="305"/>
      <c r="Q466" s="305" t="s">
        <v>28</v>
      </c>
    </row>
    <row r="467" spans="1:17" hidden="1" x14ac:dyDescent="0.25">
      <c r="A467" s="327">
        <v>5369</v>
      </c>
      <c r="B467" s="294">
        <v>522200</v>
      </c>
      <c r="C467" s="295" t="s">
        <v>398</v>
      </c>
      <c r="D467" s="295"/>
      <c r="E467" s="277"/>
      <c r="F467" s="277"/>
      <c r="G467" s="311">
        <f t="shared" si="142"/>
        <v>0</v>
      </c>
      <c r="H467" s="311"/>
      <c r="I467" s="277"/>
      <c r="J467" s="277"/>
      <c r="K467" s="277"/>
      <c r="L467" s="277"/>
      <c r="M467" s="277"/>
      <c r="N467" s="277"/>
      <c r="O467" s="277"/>
      <c r="P467" s="277"/>
      <c r="Q467" s="277"/>
    </row>
    <row r="468" spans="1:17" hidden="1" x14ac:dyDescent="0.25">
      <c r="A468" s="327">
        <v>5370</v>
      </c>
      <c r="B468" s="294">
        <v>522300</v>
      </c>
      <c r="C468" s="295" t="s">
        <v>399</v>
      </c>
      <c r="D468" s="295"/>
      <c r="E468" s="277"/>
      <c r="F468" s="277"/>
      <c r="G468" s="311">
        <f t="shared" si="142"/>
        <v>0</v>
      </c>
      <c r="H468" s="311"/>
      <c r="I468" s="277"/>
      <c r="J468" s="277"/>
      <c r="K468" s="277"/>
      <c r="L468" s="277"/>
      <c r="M468" s="277"/>
      <c r="N468" s="277"/>
      <c r="O468" s="277"/>
      <c r="P468" s="277"/>
      <c r="Q468" s="277"/>
    </row>
    <row r="469" spans="1:17" ht="26.25" hidden="1" x14ac:dyDescent="0.25">
      <c r="A469" s="309">
        <v>5371</v>
      </c>
      <c r="B469" s="283">
        <v>523000</v>
      </c>
      <c r="C469" s="287" t="s">
        <v>400</v>
      </c>
      <c r="D469" s="287"/>
      <c r="E469" s="288">
        <f>E470</f>
        <v>0</v>
      </c>
      <c r="F469" s="288"/>
      <c r="G469" s="288">
        <f t="shared" si="142"/>
        <v>0</v>
      </c>
      <c r="H469" s="288"/>
      <c r="I469" s="288">
        <f t="shared" ref="I469:Q469" si="146">I470</f>
        <v>0</v>
      </c>
      <c r="J469" s="288">
        <f t="shared" si="146"/>
        <v>0</v>
      </c>
      <c r="K469" s="288"/>
      <c r="L469" s="288">
        <f t="shared" si="146"/>
        <v>0</v>
      </c>
      <c r="M469" s="288"/>
      <c r="N469" s="288">
        <f t="shared" si="146"/>
        <v>0</v>
      </c>
      <c r="O469" s="288">
        <f t="shared" si="146"/>
        <v>0</v>
      </c>
      <c r="P469" s="288"/>
      <c r="Q469" s="288">
        <f t="shared" si="146"/>
        <v>0</v>
      </c>
    </row>
    <row r="470" spans="1:17" hidden="1" x14ac:dyDescent="0.25">
      <c r="A470" s="327">
        <v>5372</v>
      </c>
      <c r="B470" s="294">
        <v>523100</v>
      </c>
      <c r="C470" s="295" t="s">
        <v>401</v>
      </c>
      <c r="D470" s="295"/>
      <c r="E470" s="277"/>
      <c r="F470" s="277"/>
      <c r="G470" s="311">
        <f t="shared" si="142"/>
        <v>0</v>
      </c>
      <c r="H470" s="311"/>
      <c r="I470" s="277"/>
      <c r="J470" s="277"/>
      <c r="K470" s="277"/>
      <c r="L470" s="277"/>
      <c r="M470" s="277"/>
      <c r="N470" s="277"/>
      <c r="O470" s="277"/>
      <c r="P470" s="277"/>
      <c r="Q470" s="277"/>
    </row>
    <row r="471" spans="1:17" hidden="1" x14ac:dyDescent="0.25">
      <c r="A471" s="309">
        <v>5373</v>
      </c>
      <c r="B471" s="283">
        <v>530000</v>
      </c>
      <c r="C471" s="287" t="s">
        <v>402</v>
      </c>
      <c r="D471" s="287"/>
      <c r="E471" s="288">
        <f>E472</f>
        <v>0</v>
      </c>
      <c r="F471" s="288"/>
      <c r="G471" s="288">
        <f t="shared" si="142"/>
        <v>0</v>
      </c>
      <c r="H471" s="288"/>
      <c r="I471" s="288">
        <f t="shared" ref="I471:Q472" si="147">I472</f>
        <v>0</v>
      </c>
      <c r="J471" s="288">
        <f t="shared" si="147"/>
        <v>0</v>
      </c>
      <c r="K471" s="288"/>
      <c r="L471" s="288">
        <f t="shared" si="147"/>
        <v>0</v>
      </c>
      <c r="M471" s="288"/>
      <c r="N471" s="288">
        <f t="shared" si="147"/>
        <v>0</v>
      </c>
      <c r="O471" s="288">
        <f t="shared" si="147"/>
        <v>0</v>
      </c>
      <c r="P471" s="288"/>
      <c r="Q471" s="288">
        <f t="shared" si="147"/>
        <v>0</v>
      </c>
    </row>
    <row r="472" spans="1:17" hidden="1" x14ac:dyDescent="0.25">
      <c r="A472" s="309">
        <v>5374</v>
      </c>
      <c r="B472" s="283">
        <v>531000</v>
      </c>
      <c r="C472" s="287" t="s">
        <v>403</v>
      </c>
      <c r="D472" s="287"/>
      <c r="E472" s="288">
        <f>E473</f>
        <v>0</v>
      </c>
      <c r="F472" s="288"/>
      <c r="G472" s="288">
        <f t="shared" si="142"/>
        <v>0</v>
      </c>
      <c r="H472" s="288"/>
      <c r="I472" s="288">
        <f t="shared" si="147"/>
        <v>0</v>
      </c>
      <c r="J472" s="288">
        <f t="shared" si="147"/>
        <v>0</v>
      </c>
      <c r="K472" s="288"/>
      <c r="L472" s="288">
        <f t="shared" si="147"/>
        <v>0</v>
      </c>
      <c r="M472" s="288"/>
      <c r="N472" s="288">
        <f t="shared" si="147"/>
        <v>0</v>
      </c>
      <c r="O472" s="288">
        <f t="shared" si="147"/>
        <v>0</v>
      </c>
      <c r="P472" s="288"/>
      <c r="Q472" s="288">
        <f t="shared" si="147"/>
        <v>0</v>
      </c>
    </row>
    <row r="473" spans="1:17" hidden="1" x14ac:dyDescent="0.25">
      <c r="A473" s="327">
        <v>5375</v>
      </c>
      <c r="B473" s="294">
        <v>531100</v>
      </c>
      <c r="C473" s="295" t="s">
        <v>404</v>
      </c>
      <c r="D473" s="295"/>
      <c r="E473" s="277"/>
      <c r="F473" s="277"/>
      <c r="G473" s="311">
        <f t="shared" si="142"/>
        <v>0</v>
      </c>
      <c r="H473" s="311"/>
      <c r="I473" s="277"/>
      <c r="J473" s="277"/>
      <c r="K473" s="277"/>
      <c r="L473" s="277"/>
      <c r="M473" s="277"/>
      <c r="N473" s="277"/>
      <c r="O473" s="277"/>
      <c r="P473" s="277"/>
      <c r="Q473" s="277"/>
    </row>
    <row r="474" spans="1:17" ht="26.25" hidden="1" x14ac:dyDescent="0.25">
      <c r="A474" s="309">
        <v>5376</v>
      </c>
      <c r="B474" s="283">
        <v>540000</v>
      </c>
      <c r="C474" s="287" t="s">
        <v>405</v>
      </c>
      <c r="D474" s="287"/>
      <c r="E474" s="288">
        <f>E475+E477+E479</f>
        <v>0</v>
      </c>
      <c r="F474" s="288"/>
      <c r="G474" s="288">
        <f t="shared" si="142"/>
        <v>0</v>
      </c>
      <c r="H474" s="288"/>
      <c r="I474" s="288">
        <f t="shared" ref="I474:Q474" si="148">I475+I477+I479</f>
        <v>0</v>
      </c>
      <c r="J474" s="288">
        <f t="shared" si="148"/>
        <v>0</v>
      </c>
      <c r="K474" s="288"/>
      <c r="L474" s="288">
        <f t="shared" si="148"/>
        <v>0</v>
      </c>
      <c r="M474" s="288"/>
      <c r="N474" s="288">
        <f t="shared" si="148"/>
        <v>0</v>
      </c>
      <c r="O474" s="288">
        <f t="shared" si="148"/>
        <v>0</v>
      </c>
      <c r="P474" s="288"/>
      <c r="Q474" s="288">
        <f t="shared" si="148"/>
        <v>0</v>
      </c>
    </row>
    <row r="475" spans="1:17" hidden="1" x14ac:dyDescent="0.25">
      <c r="A475" s="309">
        <v>5377</v>
      </c>
      <c r="B475" s="283">
        <v>541000</v>
      </c>
      <c r="C475" s="287" t="s">
        <v>406</v>
      </c>
      <c r="D475" s="287"/>
      <c r="E475" s="288">
        <f>E476</f>
        <v>0</v>
      </c>
      <c r="F475" s="288"/>
      <c r="G475" s="288">
        <f t="shared" si="142"/>
        <v>0</v>
      </c>
      <c r="H475" s="288"/>
      <c r="I475" s="288">
        <f t="shared" ref="I475:Q475" si="149">I476</f>
        <v>0</v>
      </c>
      <c r="J475" s="288">
        <f t="shared" si="149"/>
        <v>0</v>
      </c>
      <c r="K475" s="288"/>
      <c r="L475" s="288">
        <f t="shared" si="149"/>
        <v>0</v>
      </c>
      <c r="M475" s="288"/>
      <c r="N475" s="288">
        <f t="shared" si="149"/>
        <v>0</v>
      </c>
      <c r="O475" s="288">
        <f t="shared" si="149"/>
        <v>0</v>
      </c>
      <c r="P475" s="288"/>
      <c r="Q475" s="288">
        <f t="shared" si="149"/>
        <v>0</v>
      </c>
    </row>
    <row r="476" spans="1:17" hidden="1" x14ac:dyDescent="0.25">
      <c r="A476" s="327">
        <v>5378</v>
      </c>
      <c r="B476" s="294">
        <v>541100</v>
      </c>
      <c r="C476" s="295" t="s">
        <v>407</v>
      </c>
      <c r="D476" s="295"/>
      <c r="E476" s="277"/>
      <c r="F476" s="277"/>
      <c r="G476" s="311">
        <f t="shared" si="142"/>
        <v>0</v>
      </c>
      <c r="H476" s="311"/>
      <c r="I476" s="277"/>
      <c r="J476" s="277"/>
      <c r="K476" s="277"/>
      <c r="L476" s="277"/>
      <c r="M476" s="277"/>
      <c r="N476" s="277"/>
      <c r="O476" s="277"/>
      <c r="P476" s="277"/>
      <c r="Q476" s="277"/>
    </row>
    <row r="477" spans="1:17" hidden="1" x14ac:dyDescent="0.25">
      <c r="A477" s="309">
        <v>5379</v>
      </c>
      <c r="B477" s="283">
        <v>542000</v>
      </c>
      <c r="C477" s="287" t="s">
        <v>408</v>
      </c>
      <c r="D477" s="287"/>
      <c r="E477" s="288">
        <f>E478</f>
        <v>0</v>
      </c>
      <c r="F477" s="288"/>
      <c r="G477" s="288">
        <f t="shared" si="142"/>
        <v>0</v>
      </c>
      <c r="H477" s="288"/>
      <c r="I477" s="288">
        <f t="shared" ref="I477:Q477" si="150">I478</f>
        <v>0</v>
      </c>
      <c r="J477" s="288">
        <f t="shared" si="150"/>
        <v>0</v>
      </c>
      <c r="K477" s="288"/>
      <c r="L477" s="288">
        <f t="shared" si="150"/>
        <v>0</v>
      </c>
      <c r="M477" s="288"/>
      <c r="N477" s="288">
        <f t="shared" si="150"/>
        <v>0</v>
      </c>
      <c r="O477" s="288">
        <f t="shared" si="150"/>
        <v>0</v>
      </c>
      <c r="P477" s="288"/>
      <c r="Q477" s="288">
        <f t="shared" si="150"/>
        <v>0</v>
      </c>
    </row>
    <row r="478" spans="1:17" hidden="1" x14ac:dyDescent="0.25">
      <c r="A478" s="327">
        <v>5380</v>
      </c>
      <c r="B478" s="294">
        <v>542100</v>
      </c>
      <c r="C478" s="295" t="s">
        <v>409</v>
      </c>
      <c r="D478" s="295"/>
      <c r="E478" s="277"/>
      <c r="F478" s="277"/>
      <c r="G478" s="311">
        <f t="shared" si="142"/>
        <v>0</v>
      </c>
      <c r="H478" s="311"/>
      <c r="I478" s="277"/>
      <c r="J478" s="277"/>
      <c r="K478" s="277"/>
      <c r="L478" s="277"/>
      <c r="M478" s="277"/>
      <c r="N478" s="277"/>
      <c r="O478" s="277"/>
      <c r="P478" s="277"/>
      <c r="Q478" s="277"/>
    </row>
    <row r="479" spans="1:17" hidden="1" x14ac:dyDescent="0.25">
      <c r="A479" s="309">
        <v>5381</v>
      </c>
      <c r="B479" s="283">
        <v>543000</v>
      </c>
      <c r="C479" s="287" t="s">
        <v>410</v>
      </c>
      <c r="D479" s="287"/>
      <c r="E479" s="288">
        <f>E480+E481</f>
        <v>0</v>
      </c>
      <c r="F479" s="288"/>
      <c r="G479" s="288">
        <f t="shared" si="142"/>
        <v>0</v>
      </c>
      <c r="H479" s="288"/>
      <c r="I479" s="288">
        <f t="shared" ref="I479:Q479" si="151">I480+I481</f>
        <v>0</v>
      </c>
      <c r="J479" s="288">
        <f t="shared" si="151"/>
        <v>0</v>
      </c>
      <c r="K479" s="288"/>
      <c r="L479" s="288">
        <f t="shared" si="151"/>
        <v>0</v>
      </c>
      <c r="M479" s="288"/>
      <c r="N479" s="288">
        <f t="shared" si="151"/>
        <v>0</v>
      </c>
      <c r="O479" s="288">
        <f t="shared" si="151"/>
        <v>0</v>
      </c>
      <c r="P479" s="288"/>
      <c r="Q479" s="288">
        <f t="shared" si="151"/>
        <v>0</v>
      </c>
    </row>
    <row r="480" spans="1:17" hidden="1" x14ac:dyDescent="0.25">
      <c r="A480" s="327">
        <v>5382</v>
      </c>
      <c r="B480" s="294">
        <v>543100</v>
      </c>
      <c r="C480" s="295" t="s">
        <v>411</v>
      </c>
      <c r="D480" s="295"/>
      <c r="E480" s="277"/>
      <c r="F480" s="277"/>
      <c r="G480" s="311">
        <f t="shared" si="142"/>
        <v>0</v>
      </c>
      <c r="H480" s="311"/>
      <c r="I480" s="277"/>
      <c r="J480" s="277"/>
      <c r="K480" s="277"/>
      <c r="L480" s="277"/>
      <c r="M480" s="277"/>
      <c r="N480" s="277"/>
      <c r="O480" s="277"/>
      <c r="P480" s="277"/>
      <c r="Q480" s="277"/>
    </row>
    <row r="481" spans="1:17" hidden="1" x14ac:dyDescent="0.25">
      <c r="A481" s="327">
        <v>5383</v>
      </c>
      <c r="B481" s="294">
        <v>543200</v>
      </c>
      <c r="C481" s="295" t="s">
        <v>412</v>
      </c>
      <c r="D481" s="295"/>
      <c r="E481" s="277"/>
      <c r="F481" s="277"/>
      <c r="G481" s="311">
        <f t="shared" si="142"/>
        <v>0</v>
      </c>
      <c r="H481" s="311"/>
      <c r="I481" s="277"/>
      <c r="J481" s="277"/>
      <c r="K481" s="277"/>
      <c r="L481" s="277"/>
      <c r="M481" s="277"/>
      <c r="N481" s="277"/>
      <c r="O481" s="277"/>
      <c r="P481" s="277"/>
      <c r="Q481" s="277"/>
    </row>
    <row r="482" spans="1:17" ht="90" hidden="1" x14ac:dyDescent="0.25">
      <c r="A482" s="309">
        <v>5384</v>
      </c>
      <c r="B482" s="283">
        <v>550000</v>
      </c>
      <c r="C482" s="287" t="s">
        <v>413</v>
      </c>
      <c r="D482" s="287"/>
      <c r="E482" s="288">
        <f>E483</f>
        <v>0</v>
      </c>
      <c r="F482" s="288"/>
      <c r="G482" s="288">
        <f t="shared" si="142"/>
        <v>0</v>
      </c>
      <c r="H482" s="288"/>
      <c r="I482" s="288">
        <f t="shared" ref="I482:Q483" si="152">I483</f>
        <v>0</v>
      </c>
      <c r="J482" s="288">
        <f t="shared" si="152"/>
        <v>0</v>
      </c>
      <c r="K482" s="288"/>
      <c r="L482" s="288">
        <f t="shared" si="152"/>
        <v>0</v>
      </c>
      <c r="M482" s="288"/>
      <c r="N482" s="288">
        <f t="shared" si="152"/>
        <v>0</v>
      </c>
      <c r="O482" s="288">
        <f t="shared" si="152"/>
        <v>0</v>
      </c>
      <c r="P482" s="288"/>
      <c r="Q482" s="288">
        <f t="shared" si="152"/>
        <v>0</v>
      </c>
    </row>
    <row r="483" spans="1:17" ht="90" hidden="1" x14ac:dyDescent="0.25">
      <c r="A483" s="309">
        <v>5385</v>
      </c>
      <c r="B483" s="283">
        <v>551000</v>
      </c>
      <c r="C483" s="287" t="s">
        <v>414</v>
      </c>
      <c r="D483" s="287"/>
      <c r="E483" s="288">
        <f>E484</f>
        <v>0</v>
      </c>
      <c r="F483" s="288"/>
      <c r="G483" s="288">
        <f t="shared" si="142"/>
        <v>0</v>
      </c>
      <c r="H483" s="288"/>
      <c r="I483" s="288">
        <f t="shared" si="152"/>
        <v>0</v>
      </c>
      <c r="J483" s="288">
        <f t="shared" si="152"/>
        <v>0</v>
      </c>
      <c r="K483" s="288"/>
      <c r="L483" s="288">
        <f t="shared" si="152"/>
        <v>0</v>
      </c>
      <c r="M483" s="288"/>
      <c r="N483" s="288">
        <f t="shared" si="152"/>
        <v>0</v>
      </c>
      <c r="O483" s="288">
        <f t="shared" si="152"/>
        <v>0</v>
      </c>
      <c r="P483" s="288"/>
      <c r="Q483" s="288">
        <f t="shared" si="152"/>
        <v>0</v>
      </c>
    </row>
    <row r="484" spans="1:17" ht="51.75" hidden="1" x14ac:dyDescent="0.25">
      <c r="A484" s="327">
        <v>5386</v>
      </c>
      <c r="B484" s="294">
        <v>551100</v>
      </c>
      <c r="C484" s="295" t="s">
        <v>415</v>
      </c>
      <c r="D484" s="295"/>
      <c r="E484" s="277"/>
      <c r="F484" s="277"/>
      <c r="G484" s="311">
        <f t="shared" si="142"/>
        <v>0</v>
      </c>
      <c r="H484" s="311"/>
      <c r="I484" s="277"/>
      <c r="J484" s="277"/>
      <c r="K484" s="277"/>
      <c r="L484" s="277"/>
      <c r="M484" s="277"/>
      <c r="N484" s="277"/>
      <c r="O484" s="277"/>
      <c r="P484" s="277"/>
      <c r="Q484" s="277"/>
    </row>
    <row r="485" spans="1:17" ht="51.75" hidden="1" x14ac:dyDescent="0.25">
      <c r="A485" s="309">
        <v>5387</v>
      </c>
      <c r="B485" s="283">
        <v>600000</v>
      </c>
      <c r="C485" s="287" t="s">
        <v>416</v>
      </c>
      <c r="D485" s="287"/>
      <c r="E485" s="288">
        <f>E486+E515</f>
        <v>0</v>
      </c>
      <c r="F485" s="288"/>
      <c r="G485" s="288">
        <f t="shared" si="142"/>
        <v>0</v>
      </c>
      <c r="H485" s="288"/>
      <c r="I485" s="288">
        <f t="shared" ref="I485:Q485" si="153">I486+I515</f>
        <v>0</v>
      </c>
      <c r="J485" s="288">
        <f t="shared" si="153"/>
        <v>0</v>
      </c>
      <c r="K485" s="288"/>
      <c r="L485" s="288">
        <f t="shared" si="153"/>
        <v>0</v>
      </c>
      <c r="M485" s="288"/>
      <c r="N485" s="288">
        <f t="shared" si="153"/>
        <v>0</v>
      </c>
      <c r="O485" s="288">
        <f t="shared" si="153"/>
        <v>0</v>
      </c>
      <c r="P485" s="288"/>
      <c r="Q485" s="288">
        <f t="shared" si="153"/>
        <v>0</v>
      </c>
    </row>
    <row r="486" spans="1:17" ht="26.25" hidden="1" x14ac:dyDescent="0.25">
      <c r="A486" s="309">
        <v>5388</v>
      </c>
      <c r="B486" s="283">
        <v>610000</v>
      </c>
      <c r="C486" s="287" t="s">
        <v>417</v>
      </c>
      <c r="D486" s="287"/>
      <c r="E486" s="288">
        <f>E487+E501+E509+E511+E513</f>
        <v>0</v>
      </c>
      <c r="F486" s="288"/>
      <c r="G486" s="288">
        <f t="shared" si="142"/>
        <v>0</v>
      </c>
      <c r="H486" s="288"/>
      <c r="I486" s="288">
        <f t="shared" ref="I486:Q486" si="154">I487+I501+I509+I511+I513</f>
        <v>0</v>
      </c>
      <c r="J486" s="288">
        <f t="shared" si="154"/>
        <v>0</v>
      </c>
      <c r="K486" s="288"/>
      <c r="L486" s="288">
        <f t="shared" si="154"/>
        <v>0</v>
      </c>
      <c r="M486" s="288"/>
      <c r="N486" s="288">
        <f t="shared" si="154"/>
        <v>0</v>
      </c>
      <c r="O486" s="288">
        <f t="shared" si="154"/>
        <v>0</v>
      </c>
      <c r="P486" s="288"/>
      <c r="Q486" s="288">
        <f t="shared" si="154"/>
        <v>0</v>
      </c>
    </row>
    <row r="487" spans="1:17" ht="39" hidden="1" x14ac:dyDescent="0.25">
      <c r="A487" s="309">
        <v>5389</v>
      </c>
      <c r="B487" s="283">
        <v>611000</v>
      </c>
      <c r="C487" s="287" t="s">
        <v>418</v>
      </c>
      <c r="D487" s="287"/>
      <c r="E487" s="288">
        <f>SUM(E488:E500)</f>
        <v>0</v>
      </c>
      <c r="F487" s="288"/>
      <c r="G487" s="288">
        <f t="shared" si="142"/>
        <v>0</v>
      </c>
      <c r="H487" s="288"/>
      <c r="I487" s="288">
        <f t="shared" ref="I487:Q487" si="155">SUM(I488:I500)</f>
        <v>0</v>
      </c>
      <c r="J487" s="288">
        <f t="shared" si="155"/>
        <v>0</v>
      </c>
      <c r="K487" s="288"/>
      <c r="L487" s="288">
        <f t="shared" si="155"/>
        <v>0</v>
      </c>
      <c r="M487" s="288"/>
      <c r="N487" s="288">
        <f t="shared" si="155"/>
        <v>0</v>
      </c>
      <c r="O487" s="288">
        <f t="shared" si="155"/>
        <v>0</v>
      </c>
      <c r="P487" s="288"/>
      <c r="Q487" s="288">
        <f t="shared" si="155"/>
        <v>0</v>
      </c>
    </row>
    <row r="488" spans="1:17" ht="39" hidden="1" x14ac:dyDescent="0.25">
      <c r="A488" s="327">
        <v>5390</v>
      </c>
      <c r="B488" s="294">
        <v>611100</v>
      </c>
      <c r="C488" s="295" t="s">
        <v>419</v>
      </c>
      <c r="D488" s="295"/>
      <c r="E488" s="277"/>
      <c r="F488" s="277"/>
      <c r="G488" s="311">
        <f t="shared" si="142"/>
        <v>0</v>
      </c>
      <c r="H488" s="311"/>
      <c r="I488" s="277"/>
      <c r="J488" s="277"/>
      <c r="K488" s="277"/>
      <c r="L488" s="277"/>
      <c r="M488" s="277"/>
      <c r="N488" s="277"/>
      <c r="O488" s="277"/>
      <c r="P488" s="277"/>
      <c r="Q488" s="277"/>
    </row>
    <row r="489" spans="1:17" ht="26.25" hidden="1" x14ac:dyDescent="0.25">
      <c r="A489" s="327">
        <v>5391</v>
      </c>
      <c r="B489" s="294">
        <v>611200</v>
      </c>
      <c r="C489" s="295" t="s">
        <v>420</v>
      </c>
      <c r="D489" s="295"/>
      <c r="E489" s="277"/>
      <c r="F489" s="277"/>
      <c r="G489" s="311">
        <f t="shared" si="142"/>
        <v>0</v>
      </c>
      <c r="H489" s="311"/>
      <c r="I489" s="277"/>
      <c r="J489" s="277"/>
      <c r="K489" s="277"/>
      <c r="L489" s="277"/>
      <c r="M489" s="277"/>
      <c r="N489" s="277"/>
      <c r="O489" s="277"/>
      <c r="P489" s="277"/>
      <c r="Q489" s="277"/>
    </row>
    <row r="490" spans="1:17" ht="39" hidden="1" x14ac:dyDescent="0.25">
      <c r="A490" s="327">
        <v>5392</v>
      </c>
      <c r="B490" s="294">
        <v>611300</v>
      </c>
      <c r="C490" s="295" t="s">
        <v>421</v>
      </c>
      <c r="D490" s="295"/>
      <c r="E490" s="277"/>
      <c r="F490" s="277"/>
      <c r="G490" s="311">
        <f t="shared" si="142"/>
        <v>0</v>
      </c>
      <c r="H490" s="311"/>
      <c r="I490" s="277"/>
      <c r="J490" s="277"/>
      <c r="K490" s="277"/>
      <c r="L490" s="277"/>
      <c r="M490" s="277"/>
      <c r="N490" s="277"/>
      <c r="O490" s="277"/>
      <c r="P490" s="277"/>
      <c r="Q490" s="277"/>
    </row>
    <row r="491" spans="1:17" hidden="1" x14ac:dyDescent="0.25">
      <c r="A491" s="656" t="s">
        <v>0</v>
      </c>
      <c r="B491" s="657" t="s">
        <v>1</v>
      </c>
      <c r="C491" s="656" t="s">
        <v>2</v>
      </c>
      <c r="D491" s="308"/>
      <c r="E491" s="656" t="s">
        <v>217</v>
      </c>
      <c r="F491" s="308"/>
      <c r="G491" s="658" t="s">
        <v>198</v>
      </c>
      <c r="H491" s="658"/>
      <c r="I491" s="659"/>
      <c r="J491" s="659"/>
      <c r="K491" s="659"/>
      <c r="L491" s="659"/>
      <c r="M491" s="659"/>
      <c r="N491" s="659"/>
      <c r="O491" s="659"/>
      <c r="P491" s="659"/>
      <c r="Q491" s="659"/>
    </row>
    <row r="492" spans="1:17" hidden="1" x14ac:dyDescent="0.25">
      <c r="A492" s="656"/>
      <c r="B492" s="657"/>
      <c r="C492" s="656"/>
      <c r="D492" s="308"/>
      <c r="E492" s="656"/>
      <c r="F492" s="308"/>
      <c r="G492" s="658" t="s">
        <v>199</v>
      </c>
      <c r="H492" s="283"/>
      <c r="I492" s="658" t="s">
        <v>200</v>
      </c>
      <c r="J492" s="659"/>
      <c r="K492" s="659"/>
      <c r="L492" s="659"/>
      <c r="M492" s="659"/>
      <c r="N492" s="659"/>
      <c r="O492" s="658" t="s">
        <v>7</v>
      </c>
      <c r="P492" s="283"/>
      <c r="Q492" s="658" t="s">
        <v>8</v>
      </c>
    </row>
    <row r="493" spans="1:17" ht="39" hidden="1" x14ac:dyDescent="0.25">
      <c r="A493" s="656"/>
      <c r="B493" s="657"/>
      <c r="C493" s="656"/>
      <c r="D493" s="308"/>
      <c r="E493" s="656"/>
      <c r="F493" s="308"/>
      <c r="G493" s="659"/>
      <c r="H493" s="328"/>
      <c r="I493" s="283" t="s">
        <v>201</v>
      </c>
      <c r="J493" s="283" t="s">
        <v>10</v>
      </c>
      <c r="K493" s="283"/>
      <c r="L493" s="283" t="s">
        <v>11</v>
      </c>
      <c r="M493" s="283"/>
      <c r="N493" s="283" t="s">
        <v>12</v>
      </c>
      <c r="O493" s="659"/>
      <c r="P493" s="328"/>
      <c r="Q493" s="659"/>
    </row>
    <row r="494" spans="1:17" ht="26.25" hidden="1" x14ac:dyDescent="0.25">
      <c r="A494" s="305" t="s">
        <v>18</v>
      </c>
      <c r="B494" s="305" t="s">
        <v>19</v>
      </c>
      <c r="C494" s="305" t="s">
        <v>20</v>
      </c>
      <c r="D494" s="305"/>
      <c r="E494" s="305" t="s">
        <v>21</v>
      </c>
      <c r="F494" s="305"/>
      <c r="G494" s="305" t="s">
        <v>22</v>
      </c>
      <c r="H494" s="305"/>
      <c r="I494" s="305" t="s">
        <v>23</v>
      </c>
      <c r="J494" s="305" t="s">
        <v>24</v>
      </c>
      <c r="K494" s="305"/>
      <c r="L494" s="305" t="s">
        <v>25</v>
      </c>
      <c r="M494" s="305"/>
      <c r="N494" s="305" t="s">
        <v>26</v>
      </c>
      <c r="O494" s="305" t="s">
        <v>27</v>
      </c>
      <c r="P494" s="305"/>
      <c r="Q494" s="305" t="s">
        <v>28</v>
      </c>
    </row>
    <row r="495" spans="1:17" ht="26.25" hidden="1" x14ac:dyDescent="0.25">
      <c r="A495" s="327">
        <v>5393</v>
      </c>
      <c r="B495" s="294">
        <v>611400</v>
      </c>
      <c r="C495" s="295" t="s">
        <v>422</v>
      </c>
      <c r="D495" s="295"/>
      <c r="E495" s="277"/>
      <c r="F495" s="277"/>
      <c r="G495" s="311">
        <f t="shared" si="142"/>
        <v>0</v>
      </c>
      <c r="H495" s="311"/>
      <c r="I495" s="277"/>
      <c r="J495" s="277"/>
      <c r="K495" s="277"/>
      <c r="L495" s="277"/>
      <c r="M495" s="277"/>
      <c r="N495" s="277"/>
      <c r="O495" s="277"/>
      <c r="P495" s="277"/>
      <c r="Q495" s="277"/>
    </row>
    <row r="496" spans="1:17" ht="26.25" hidden="1" x14ac:dyDescent="0.25">
      <c r="A496" s="327">
        <v>5394</v>
      </c>
      <c r="B496" s="294">
        <v>611500</v>
      </c>
      <c r="C496" s="295" t="s">
        <v>423</v>
      </c>
      <c r="D496" s="295"/>
      <c r="E496" s="277"/>
      <c r="F496" s="277"/>
      <c r="G496" s="311">
        <f t="shared" si="142"/>
        <v>0</v>
      </c>
      <c r="H496" s="311"/>
      <c r="I496" s="277"/>
      <c r="J496" s="277"/>
      <c r="K496" s="277"/>
      <c r="L496" s="277"/>
      <c r="M496" s="277"/>
      <c r="N496" s="277"/>
      <c r="O496" s="277"/>
      <c r="P496" s="277"/>
      <c r="Q496" s="277"/>
    </row>
    <row r="497" spans="1:17" ht="26.25" hidden="1" x14ac:dyDescent="0.25">
      <c r="A497" s="327">
        <v>5395</v>
      </c>
      <c r="B497" s="294">
        <v>611600</v>
      </c>
      <c r="C497" s="295" t="s">
        <v>424</v>
      </c>
      <c r="D497" s="295"/>
      <c r="E497" s="277"/>
      <c r="F497" s="277"/>
      <c r="G497" s="311">
        <f t="shared" si="142"/>
        <v>0</v>
      </c>
      <c r="H497" s="311"/>
      <c r="I497" s="277"/>
      <c r="J497" s="277"/>
      <c r="K497" s="277"/>
      <c r="L497" s="277"/>
      <c r="M497" s="277"/>
      <c r="N497" s="277"/>
      <c r="O497" s="277"/>
      <c r="P497" s="277"/>
      <c r="Q497" s="277"/>
    </row>
    <row r="498" spans="1:17" ht="26.25" hidden="1" x14ac:dyDescent="0.25">
      <c r="A498" s="327">
        <v>5396</v>
      </c>
      <c r="B498" s="294">
        <v>611700</v>
      </c>
      <c r="C498" s="295" t="s">
        <v>425</v>
      </c>
      <c r="D498" s="295"/>
      <c r="E498" s="277"/>
      <c r="F498" s="277"/>
      <c r="G498" s="311">
        <f t="shared" si="142"/>
        <v>0</v>
      </c>
      <c r="H498" s="311"/>
      <c r="I498" s="277"/>
      <c r="J498" s="277"/>
      <c r="K498" s="277"/>
      <c r="L498" s="277"/>
      <c r="M498" s="277"/>
      <c r="N498" s="277"/>
      <c r="O498" s="277"/>
      <c r="P498" s="277"/>
      <c r="Q498" s="277"/>
    </row>
    <row r="499" spans="1:17" hidden="1" x14ac:dyDescent="0.25">
      <c r="A499" s="327">
        <v>5397</v>
      </c>
      <c r="B499" s="294">
        <v>611800</v>
      </c>
      <c r="C499" s="295" t="s">
        <v>426</v>
      </c>
      <c r="D499" s="295"/>
      <c r="E499" s="277"/>
      <c r="F499" s="277"/>
      <c r="G499" s="311">
        <f t="shared" si="142"/>
        <v>0</v>
      </c>
      <c r="H499" s="311"/>
      <c r="I499" s="277"/>
      <c r="J499" s="277"/>
      <c r="K499" s="277"/>
      <c r="L499" s="277"/>
      <c r="M499" s="277"/>
      <c r="N499" s="277"/>
      <c r="O499" s="277"/>
      <c r="P499" s="277"/>
      <c r="Q499" s="277"/>
    </row>
    <row r="500" spans="1:17" hidden="1" x14ac:dyDescent="0.25">
      <c r="A500" s="327">
        <v>5398</v>
      </c>
      <c r="B500" s="294">
        <v>611900</v>
      </c>
      <c r="C500" s="295" t="s">
        <v>165</v>
      </c>
      <c r="D500" s="295"/>
      <c r="E500" s="277"/>
      <c r="F500" s="277"/>
      <c r="G500" s="311">
        <f t="shared" si="142"/>
        <v>0</v>
      </c>
      <c r="H500" s="311"/>
      <c r="I500" s="277"/>
      <c r="J500" s="277"/>
      <c r="K500" s="277"/>
      <c r="L500" s="277"/>
      <c r="M500" s="277"/>
      <c r="N500" s="277"/>
      <c r="O500" s="277"/>
      <c r="P500" s="277"/>
      <c r="Q500" s="277"/>
    </row>
    <row r="501" spans="1:17" ht="39" hidden="1" x14ac:dyDescent="0.25">
      <c r="A501" s="309">
        <v>5399</v>
      </c>
      <c r="B501" s="283">
        <v>612000</v>
      </c>
      <c r="C501" s="287" t="s">
        <v>427</v>
      </c>
      <c r="D501" s="287"/>
      <c r="E501" s="288">
        <f>SUM(E502:E508)</f>
        <v>0</v>
      </c>
      <c r="F501" s="288"/>
      <c r="G501" s="288">
        <f t="shared" si="142"/>
        <v>0</v>
      </c>
      <c r="H501" s="288"/>
      <c r="I501" s="288">
        <f t="shared" ref="I501:Q501" si="156">SUM(I502:I508)</f>
        <v>0</v>
      </c>
      <c r="J501" s="288">
        <f t="shared" si="156"/>
        <v>0</v>
      </c>
      <c r="K501" s="288"/>
      <c r="L501" s="288">
        <f t="shared" si="156"/>
        <v>0</v>
      </c>
      <c r="M501" s="288"/>
      <c r="N501" s="288">
        <f t="shared" si="156"/>
        <v>0</v>
      </c>
      <c r="O501" s="288">
        <f t="shared" si="156"/>
        <v>0</v>
      </c>
      <c r="P501" s="288"/>
      <c r="Q501" s="288">
        <f t="shared" si="156"/>
        <v>0</v>
      </c>
    </row>
    <row r="502" spans="1:17" ht="51.75" hidden="1" x14ac:dyDescent="0.25">
      <c r="A502" s="327">
        <v>5400</v>
      </c>
      <c r="B502" s="294">
        <v>612100</v>
      </c>
      <c r="C502" s="295" t="s">
        <v>428</v>
      </c>
      <c r="D502" s="295"/>
      <c r="E502" s="277"/>
      <c r="F502" s="277"/>
      <c r="G502" s="311">
        <f t="shared" si="142"/>
        <v>0</v>
      </c>
      <c r="H502" s="311"/>
      <c r="I502" s="277"/>
      <c r="J502" s="277"/>
      <c r="K502" s="277"/>
      <c r="L502" s="277"/>
      <c r="M502" s="277"/>
      <c r="N502" s="277"/>
      <c r="O502" s="277"/>
      <c r="P502" s="277"/>
      <c r="Q502" s="277"/>
    </row>
    <row r="503" spans="1:17" ht="26.25" hidden="1" x14ac:dyDescent="0.25">
      <c r="A503" s="327">
        <v>5401</v>
      </c>
      <c r="B503" s="294">
        <v>612200</v>
      </c>
      <c r="C503" s="295" t="s">
        <v>429</v>
      </c>
      <c r="D503" s="295"/>
      <c r="E503" s="277"/>
      <c r="F503" s="277"/>
      <c r="G503" s="311">
        <f t="shared" si="142"/>
        <v>0</v>
      </c>
      <c r="H503" s="311"/>
      <c r="I503" s="277"/>
      <c r="J503" s="277"/>
      <c r="K503" s="277"/>
      <c r="L503" s="277"/>
      <c r="M503" s="277"/>
      <c r="N503" s="277"/>
      <c r="O503" s="277"/>
      <c r="P503" s="277"/>
      <c r="Q503" s="277"/>
    </row>
    <row r="504" spans="1:17" ht="26.25" hidden="1" x14ac:dyDescent="0.25">
      <c r="A504" s="327">
        <v>5402</v>
      </c>
      <c r="B504" s="294">
        <v>612300</v>
      </c>
      <c r="C504" s="295" t="s">
        <v>430</v>
      </c>
      <c r="D504" s="295"/>
      <c r="E504" s="277"/>
      <c r="F504" s="277"/>
      <c r="G504" s="311">
        <f t="shared" si="142"/>
        <v>0</v>
      </c>
      <c r="H504" s="311"/>
      <c r="I504" s="277"/>
      <c r="J504" s="277"/>
      <c r="K504" s="277"/>
      <c r="L504" s="277"/>
      <c r="M504" s="277"/>
      <c r="N504" s="277"/>
      <c r="O504" s="277"/>
      <c r="P504" s="277"/>
      <c r="Q504" s="277"/>
    </row>
    <row r="505" spans="1:17" ht="26.25" hidden="1" x14ac:dyDescent="0.25">
      <c r="A505" s="327">
        <v>5403</v>
      </c>
      <c r="B505" s="294">
        <v>612400</v>
      </c>
      <c r="C505" s="295" t="s">
        <v>431</v>
      </c>
      <c r="D505" s="295"/>
      <c r="E505" s="277"/>
      <c r="F505" s="277"/>
      <c r="G505" s="311">
        <f t="shared" si="142"/>
        <v>0</v>
      </c>
      <c r="H505" s="311"/>
      <c r="I505" s="277"/>
      <c r="J505" s="277"/>
      <c r="K505" s="277"/>
      <c r="L505" s="277"/>
      <c r="M505" s="277"/>
      <c r="N505" s="277"/>
      <c r="O505" s="277"/>
      <c r="P505" s="277"/>
      <c r="Q505" s="277"/>
    </row>
    <row r="506" spans="1:17" ht="26.25" hidden="1" x14ac:dyDescent="0.25">
      <c r="A506" s="327">
        <v>5404</v>
      </c>
      <c r="B506" s="294">
        <v>612500</v>
      </c>
      <c r="C506" s="295" t="s">
        <v>432</v>
      </c>
      <c r="D506" s="295"/>
      <c r="E506" s="277"/>
      <c r="F506" s="277"/>
      <c r="G506" s="311">
        <f t="shared" si="142"/>
        <v>0</v>
      </c>
      <c r="H506" s="311"/>
      <c r="I506" s="277"/>
      <c r="J506" s="277"/>
      <c r="K506" s="277"/>
      <c r="L506" s="277"/>
      <c r="M506" s="277"/>
      <c r="N506" s="277"/>
      <c r="O506" s="277"/>
      <c r="P506" s="277"/>
      <c r="Q506" s="277"/>
    </row>
    <row r="507" spans="1:17" ht="26.25" hidden="1" x14ac:dyDescent="0.25">
      <c r="A507" s="327">
        <v>5405</v>
      </c>
      <c r="B507" s="294">
        <v>612600</v>
      </c>
      <c r="C507" s="295" t="s">
        <v>433</v>
      </c>
      <c r="D507" s="295"/>
      <c r="E507" s="277"/>
      <c r="F507" s="277"/>
      <c r="G507" s="311">
        <f t="shared" si="142"/>
        <v>0</v>
      </c>
      <c r="H507" s="311"/>
      <c r="I507" s="277"/>
      <c r="J507" s="277"/>
      <c r="K507" s="277"/>
      <c r="L507" s="277"/>
      <c r="M507" s="277"/>
      <c r="N507" s="277"/>
      <c r="O507" s="277"/>
      <c r="P507" s="277"/>
      <c r="Q507" s="277"/>
    </row>
    <row r="508" spans="1:17" hidden="1" x14ac:dyDescent="0.25">
      <c r="A508" s="327">
        <v>5406</v>
      </c>
      <c r="B508" s="294">
        <v>612900</v>
      </c>
      <c r="C508" s="295" t="s">
        <v>173</v>
      </c>
      <c r="D508" s="295"/>
      <c r="E508" s="277"/>
      <c r="F508" s="277"/>
      <c r="G508" s="311">
        <f t="shared" si="142"/>
        <v>0</v>
      </c>
      <c r="H508" s="311"/>
      <c r="I508" s="277"/>
      <c r="J508" s="277"/>
      <c r="K508" s="277"/>
      <c r="L508" s="277"/>
      <c r="M508" s="277"/>
      <c r="N508" s="277"/>
      <c r="O508" s="277"/>
      <c r="P508" s="277"/>
      <c r="Q508" s="277"/>
    </row>
    <row r="509" spans="1:17" ht="26.25" hidden="1" x14ac:dyDescent="0.25">
      <c r="A509" s="309">
        <v>5407</v>
      </c>
      <c r="B509" s="283">
        <v>613000</v>
      </c>
      <c r="C509" s="287" t="s">
        <v>434</v>
      </c>
      <c r="D509" s="287"/>
      <c r="E509" s="288">
        <f>E510</f>
        <v>0</v>
      </c>
      <c r="F509" s="288"/>
      <c r="G509" s="288">
        <f t="shared" si="142"/>
        <v>0</v>
      </c>
      <c r="H509" s="288"/>
      <c r="I509" s="288">
        <f t="shared" ref="I509:Q509" si="157">I510</f>
        <v>0</v>
      </c>
      <c r="J509" s="288">
        <f t="shared" si="157"/>
        <v>0</v>
      </c>
      <c r="K509" s="288"/>
      <c r="L509" s="288">
        <f t="shared" si="157"/>
        <v>0</v>
      </c>
      <c r="M509" s="288"/>
      <c r="N509" s="288">
        <f t="shared" si="157"/>
        <v>0</v>
      </c>
      <c r="O509" s="288">
        <f t="shared" si="157"/>
        <v>0</v>
      </c>
      <c r="P509" s="288"/>
      <c r="Q509" s="288">
        <f t="shared" si="157"/>
        <v>0</v>
      </c>
    </row>
    <row r="510" spans="1:17" hidden="1" x14ac:dyDescent="0.25">
      <c r="A510" s="327">
        <v>5408</v>
      </c>
      <c r="B510" s="294">
        <v>613100</v>
      </c>
      <c r="C510" s="295" t="s">
        <v>435</v>
      </c>
      <c r="D510" s="295"/>
      <c r="E510" s="277"/>
      <c r="F510" s="277"/>
      <c r="G510" s="311">
        <f t="shared" si="142"/>
        <v>0</v>
      </c>
      <c r="H510" s="311"/>
      <c r="I510" s="277"/>
      <c r="J510" s="277"/>
      <c r="K510" s="277"/>
      <c r="L510" s="277"/>
      <c r="M510" s="277"/>
      <c r="N510" s="277"/>
      <c r="O510" s="277"/>
      <c r="P510" s="277"/>
      <c r="Q510" s="277"/>
    </row>
    <row r="511" spans="1:17" ht="39" hidden="1" x14ac:dyDescent="0.25">
      <c r="A511" s="309">
        <v>5409</v>
      </c>
      <c r="B511" s="283">
        <v>614000</v>
      </c>
      <c r="C511" s="287" t="s">
        <v>436</v>
      </c>
      <c r="D511" s="287"/>
      <c r="E511" s="288">
        <f>E512</f>
        <v>0</v>
      </c>
      <c r="F511" s="288"/>
      <c r="G511" s="288">
        <f t="shared" si="142"/>
        <v>0</v>
      </c>
      <c r="H511" s="288"/>
      <c r="I511" s="288">
        <f t="shared" ref="I511:Q513" si="158">I512</f>
        <v>0</v>
      </c>
      <c r="J511" s="288">
        <f t="shared" si="158"/>
        <v>0</v>
      </c>
      <c r="K511" s="288"/>
      <c r="L511" s="288">
        <f t="shared" si="158"/>
        <v>0</v>
      </c>
      <c r="M511" s="288"/>
      <c r="N511" s="288">
        <f t="shared" si="158"/>
        <v>0</v>
      </c>
      <c r="O511" s="288">
        <f t="shared" si="158"/>
        <v>0</v>
      </c>
      <c r="P511" s="288"/>
      <c r="Q511" s="288">
        <f t="shared" si="158"/>
        <v>0</v>
      </c>
    </row>
    <row r="512" spans="1:17" ht="26.25" hidden="1" x14ac:dyDescent="0.25">
      <c r="A512" s="327">
        <v>5410</v>
      </c>
      <c r="B512" s="294">
        <v>614100</v>
      </c>
      <c r="C512" s="295" t="s">
        <v>437</v>
      </c>
      <c r="D512" s="295"/>
      <c r="E512" s="277"/>
      <c r="F512" s="277"/>
      <c r="G512" s="311">
        <f t="shared" si="142"/>
        <v>0</v>
      </c>
      <c r="H512" s="311"/>
      <c r="I512" s="277"/>
      <c r="J512" s="277"/>
      <c r="K512" s="277"/>
      <c r="L512" s="277"/>
      <c r="M512" s="277"/>
      <c r="N512" s="277"/>
      <c r="O512" s="277"/>
      <c r="P512" s="277"/>
      <c r="Q512" s="277"/>
    </row>
    <row r="513" spans="1:17" ht="39" hidden="1" x14ac:dyDescent="0.25">
      <c r="A513" s="309">
        <v>5411</v>
      </c>
      <c r="B513" s="283">
        <v>615000</v>
      </c>
      <c r="C513" s="287" t="s">
        <v>438</v>
      </c>
      <c r="D513" s="287"/>
      <c r="E513" s="288">
        <f>E514</f>
        <v>0</v>
      </c>
      <c r="F513" s="288"/>
      <c r="G513" s="288">
        <f t="shared" si="142"/>
        <v>0</v>
      </c>
      <c r="H513" s="288"/>
      <c r="I513" s="288">
        <f t="shared" si="158"/>
        <v>0</v>
      </c>
      <c r="J513" s="288">
        <f t="shared" si="158"/>
        <v>0</v>
      </c>
      <c r="K513" s="288"/>
      <c r="L513" s="288">
        <f t="shared" si="158"/>
        <v>0</v>
      </c>
      <c r="M513" s="288"/>
      <c r="N513" s="288">
        <f t="shared" si="158"/>
        <v>0</v>
      </c>
      <c r="O513" s="288">
        <f t="shared" si="158"/>
        <v>0</v>
      </c>
      <c r="P513" s="288"/>
      <c r="Q513" s="288">
        <f t="shared" si="158"/>
        <v>0</v>
      </c>
    </row>
    <row r="514" spans="1:17" ht="26.25" hidden="1" x14ac:dyDescent="0.25">
      <c r="A514" s="327">
        <v>5412</v>
      </c>
      <c r="B514" s="294">
        <v>615100</v>
      </c>
      <c r="C514" s="295" t="s">
        <v>439</v>
      </c>
      <c r="D514" s="295"/>
      <c r="E514" s="277"/>
      <c r="F514" s="277"/>
      <c r="G514" s="311">
        <f t="shared" si="142"/>
        <v>0</v>
      </c>
      <c r="H514" s="311"/>
      <c r="I514" s="277"/>
      <c r="J514" s="277"/>
      <c r="K514" s="277"/>
      <c r="L514" s="277"/>
      <c r="M514" s="277"/>
      <c r="N514" s="277"/>
      <c r="O514" s="277"/>
      <c r="P514" s="277"/>
      <c r="Q514" s="277"/>
    </row>
    <row r="515" spans="1:17" ht="26.25" hidden="1" x14ac:dyDescent="0.25">
      <c r="A515" s="309">
        <v>5413</v>
      </c>
      <c r="B515" s="283">
        <v>620000</v>
      </c>
      <c r="C515" s="287" t="s">
        <v>440</v>
      </c>
      <c r="D515" s="287"/>
      <c r="E515" s="288">
        <f>E516+E530+E539</f>
        <v>0</v>
      </c>
      <c r="F515" s="288"/>
      <c r="G515" s="288">
        <f t="shared" si="142"/>
        <v>0</v>
      </c>
      <c r="H515" s="288"/>
      <c r="I515" s="288">
        <f t="shared" ref="I515:Q515" si="159">I516+I530+I539</f>
        <v>0</v>
      </c>
      <c r="J515" s="288">
        <f t="shared" si="159"/>
        <v>0</v>
      </c>
      <c r="K515" s="288"/>
      <c r="L515" s="288">
        <f t="shared" si="159"/>
        <v>0</v>
      </c>
      <c r="M515" s="288"/>
      <c r="N515" s="288">
        <f t="shared" si="159"/>
        <v>0</v>
      </c>
      <c r="O515" s="288">
        <f t="shared" si="159"/>
        <v>0</v>
      </c>
      <c r="P515" s="288"/>
      <c r="Q515" s="288">
        <f t="shared" si="159"/>
        <v>0</v>
      </c>
    </row>
    <row r="516" spans="1:17" ht="39" hidden="1" x14ac:dyDescent="0.25">
      <c r="A516" s="309">
        <v>5414</v>
      </c>
      <c r="B516" s="283">
        <v>621000</v>
      </c>
      <c r="C516" s="287" t="s">
        <v>441</v>
      </c>
      <c r="D516" s="287"/>
      <c r="E516" s="288">
        <f>SUM(E517:E529)</f>
        <v>0</v>
      </c>
      <c r="F516" s="288"/>
      <c r="G516" s="288">
        <f t="shared" si="142"/>
        <v>0</v>
      </c>
      <c r="H516" s="288"/>
      <c r="I516" s="288">
        <f t="shared" ref="I516:Q516" si="160">SUM(I517:I529)</f>
        <v>0</v>
      </c>
      <c r="J516" s="288">
        <f t="shared" si="160"/>
        <v>0</v>
      </c>
      <c r="K516" s="288"/>
      <c r="L516" s="288">
        <f t="shared" si="160"/>
        <v>0</v>
      </c>
      <c r="M516" s="288"/>
      <c r="N516" s="288">
        <f t="shared" si="160"/>
        <v>0</v>
      </c>
      <c r="O516" s="288">
        <f t="shared" si="160"/>
        <v>0</v>
      </c>
      <c r="P516" s="288"/>
      <c r="Q516" s="288">
        <f t="shared" si="160"/>
        <v>0</v>
      </c>
    </row>
    <row r="517" spans="1:17" ht="26.25" hidden="1" x14ac:dyDescent="0.25">
      <c r="A517" s="327">
        <v>5415</v>
      </c>
      <c r="B517" s="294">
        <v>621100</v>
      </c>
      <c r="C517" s="295" t="s">
        <v>442</v>
      </c>
      <c r="D517" s="295"/>
      <c r="E517" s="277"/>
      <c r="F517" s="277"/>
      <c r="G517" s="311">
        <f t="shared" si="142"/>
        <v>0</v>
      </c>
      <c r="H517" s="311"/>
      <c r="I517" s="277"/>
      <c r="J517" s="277"/>
      <c r="K517" s="277"/>
      <c r="L517" s="277"/>
      <c r="M517" s="277"/>
      <c r="N517" s="277"/>
      <c r="O517" s="277"/>
      <c r="P517" s="277"/>
      <c r="Q517" s="277"/>
    </row>
    <row r="518" spans="1:17" hidden="1" x14ac:dyDescent="0.25">
      <c r="A518" s="656" t="s">
        <v>0</v>
      </c>
      <c r="B518" s="657" t="s">
        <v>1</v>
      </c>
      <c r="C518" s="656" t="s">
        <v>2</v>
      </c>
      <c r="D518" s="308"/>
      <c r="E518" s="656" t="s">
        <v>217</v>
      </c>
      <c r="F518" s="308"/>
      <c r="G518" s="658" t="s">
        <v>198</v>
      </c>
      <c r="H518" s="658"/>
      <c r="I518" s="659"/>
      <c r="J518" s="659"/>
      <c r="K518" s="659"/>
      <c r="L518" s="659"/>
      <c r="M518" s="659"/>
      <c r="N518" s="659"/>
      <c r="O518" s="659"/>
      <c r="P518" s="659"/>
      <c r="Q518" s="659"/>
    </row>
    <row r="519" spans="1:17" hidden="1" x14ac:dyDescent="0.25">
      <c r="A519" s="656"/>
      <c r="B519" s="657"/>
      <c r="C519" s="656"/>
      <c r="D519" s="308"/>
      <c r="E519" s="656"/>
      <c r="F519" s="308"/>
      <c r="G519" s="658" t="s">
        <v>199</v>
      </c>
      <c r="H519" s="283"/>
      <c r="I519" s="658" t="s">
        <v>200</v>
      </c>
      <c r="J519" s="659"/>
      <c r="K519" s="659"/>
      <c r="L519" s="659"/>
      <c r="M519" s="659"/>
      <c r="N519" s="659"/>
      <c r="O519" s="658" t="s">
        <v>7</v>
      </c>
      <c r="P519" s="283"/>
      <c r="Q519" s="658" t="s">
        <v>8</v>
      </c>
    </row>
    <row r="520" spans="1:17" ht="39" hidden="1" x14ac:dyDescent="0.25">
      <c r="A520" s="656"/>
      <c r="B520" s="657"/>
      <c r="C520" s="656"/>
      <c r="D520" s="308"/>
      <c r="E520" s="656"/>
      <c r="F520" s="308"/>
      <c r="G520" s="659"/>
      <c r="H520" s="328"/>
      <c r="I520" s="283" t="s">
        <v>201</v>
      </c>
      <c r="J520" s="283" t="s">
        <v>10</v>
      </c>
      <c r="K520" s="283"/>
      <c r="L520" s="283" t="s">
        <v>11</v>
      </c>
      <c r="M520" s="283"/>
      <c r="N520" s="283" t="s">
        <v>12</v>
      </c>
      <c r="O520" s="659"/>
      <c r="P520" s="328"/>
      <c r="Q520" s="659"/>
    </row>
    <row r="521" spans="1:17" ht="26.25" hidden="1" x14ac:dyDescent="0.25">
      <c r="A521" s="305" t="s">
        <v>18</v>
      </c>
      <c r="B521" s="305" t="s">
        <v>19</v>
      </c>
      <c r="C521" s="305" t="s">
        <v>20</v>
      </c>
      <c r="D521" s="305"/>
      <c r="E521" s="305" t="s">
        <v>21</v>
      </c>
      <c r="F521" s="305"/>
      <c r="G521" s="305" t="s">
        <v>22</v>
      </c>
      <c r="H521" s="305"/>
      <c r="I521" s="305" t="s">
        <v>23</v>
      </c>
      <c r="J521" s="305" t="s">
        <v>24</v>
      </c>
      <c r="K521" s="305"/>
      <c r="L521" s="305" t="s">
        <v>25</v>
      </c>
      <c r="M521" s="305"/>
      <c r="N521" s="305" t="s">
        <v>26</v>
      </c>
      <c r="O521" s="305" t="s">
        <v>27</v>
      </c>
      <c r="P521" s="305"/>
      <c r="Q521" s="305" t="s">
        <v>28</v>
      </c>
    </row>
    <row r="522" spans="1:17" hidden="1" x14ac:dyDescent="0.25">
      <c r="A522" s="327">
        <v>5416</v>
      </c>
      <c r="B522" s="294">
        <v>621200</v>
      </c>
      <c r="C522" s="295" t="s">
        <v>443</v>
      </c>
      <c r="D522" s="295"/>
      <c r="E522" s="277"/>
      <c r="F522" s="277"/>
      <c r="G522" s="311">
        <f t="shared" si="142"/>
        <v>0</v>
      </c>
      <c r="H522" s="311"/>
      <c r="I522" s="277"/>
      <c r="J522" s="277"/>
      <c r="K522" s="277"/>
      <c r="L522" s="277"/>
      <c r="M522" s="277"/>
      <c r="N522" s="277"/>
      <c r="O522" s="277"/>
      <c r="P522" s="277"/>
      <c r="Q522" s="277"/>
    </row>
    <row r="523" spans="1:17" ht="26.25" hidden="1" x14ac:dyDescent="0.25">
      <c r="A523" s="327">
        <v>5417</v>
      </c>
      <c r="B523" s="294">
        <v>621300</v>
      </c>
      <c r="C523" s="295" t="s">
        <v>444</v>
      </c>
      <c r="D523" s="295"/>
      <c r="E523" s="277"/>
      <c r="F523" s="277"/>
      <c r="G523" s="311">
        <f t="shared" si="142"/>
        <v>0</v>
      </c>
      <c r="H523" s="311"/>
      <c r="I523" s="277"/>
      <c r="J523" s="277"/>
      <c r="K523" s="277"/>
      <c r="L523" s="277"/>
      <c r="M523" s="277"/>
      <c r="N523" s="277"/>
      <c r="O523" s="277"/>
      <c r="P523" s="277"/>
      <c r="Q523" s="277"/>
    </row>
    <row r="524" spans="1:17" ht="26.25" hidden="1" x14ac:dyDescent="0.25">
      <c r="A524" s="327">
        <v>5418</v>
      </c>
      <c r="B524" s="294">
        <v>621400</v>
      </c>
      <c r="C524" s="295" t="s">
        <v>445</v>
      </c>
      <c r="D524" s="295"/>
      <c r="E524" s="277"/>
      <c r="F524" s="277"/>
      <c r="G524" s="311">
        <f t="shared" si="142"/>
        <v>0</v>
      </c>
      <c r="H524" s="311"/>
      <c r="I524" s="277"/>
      <c r="J524" s="277"/>
      <c r="K524" s="277"/>
      <c r="L524" s="277"/>
      <c r="M524" s="277"/>
      <c r="N524" s="277"/>
      <c r="O524" s="277"/>
      <c r="P524" s="277"/>
      <c r="Q524" s="277"/>
    </row>
    <row r="525" spans="1:17" ht="39" hidden="1" x14ac:dyDescent="0.25">
      <c r="A525" s="327">
        <v>5419</v>
      </c>
      <c r="B525" s="294">
        <v>621500</v>
      </c>
      <c r="C525" s="295" t="s">
        <v>446</v>
      </c>
      <c r="D525" s="295"/>
      <c r="E525" s="277"/>
      <c r="F525" s="277"/>
      <c r="G525" s="311">
        <f t="shared" si="142"/>
        <v>0</v>
      </c>
      <c r="H525" s="311"/>
      <c r="I525" s="277"/>
      <c r="J525" s="277"/>
      <c r="K525" s="277"/>
      <c r="L525" s="277"/>
      <c r="M525" s="277"/>
      <c r="N525" s="277"/>
      <c r="O525" s="277"/>
      <c r="P525" s="277"/>
      <c r="Q525" s="277"/>
    </row>
    <row r="526" spans="1:17" ht="26.25" hidden="1" x14ac:dyDescent="0.25">
      <c r="A526" s="327">
        <v>5420</v>
      </c>
      <c r="B526" s="294">
        <v>621600</v>
      </c>
      <c r="C526" s="295" t="s">
        <v>447</v>
      </c>
      <c r="D526" s="295"/>
      <c r="E526" s="277"/>
      <c r="F526" s="277"/>
      <c r="G526" s="311">
        <f t="shared" si="142"/>
        <v>0</v>
      </c>
      <c r="H526" s="311"/>
      <c r="I526" s="277"/>
      <c r="J526" s="277"/>
      <c r="K526" s="277"/>
      <c r="L526" s="277"/>
      <c r="M526" s="277"/>
      <c r="N526" s="277"/>
      <c r="O526" s="277"/>
      <c r="P526" s="277"/>
      <c r="Q526" s="277"/>
    </row>
    <row r="527" spans="1:17" ht="26.25" hidden="1" x14ac:dyDescent="0.25">
      <c r="A527" s="327">
        <v>5421</v>
      </c>
      <c r="B527" s="294">
        <v>621700</v>
      </c>
      <c r="C527" s="295" t="s">
        <v>448</v>
      </c>
      <c r="D527" s="295"/>
      <c r="E527" s="277"/>
      <c r="F527" s="277"/>
      <c r="G527" s="311">
        <f t="shared" si="142"/>
        <v>0</v>
      </c>
      <c r="H527" s="311"/>
      <c r="I527" s="277"/>
      <c r="J527" s="277"/>
      <c r="K527" s="277"/>
      <c r="L527" s="277"/>
      <c r="M527" s="277"/>
      <c r="N527" s="277"/>
      <c r="O527" s="277"/>
      <c r="P527" s="277"/>
      <c r="Q527" s="277"/>
    </row>
    <row r="528" spans="1:17" ht="39" hidden="1" x14ac:dyDescent="0.25">
      <c r="A528" s="327">
        <v>5422</v>
      </c>
      <c r="B528" s="294">
        <v>621800</v>
      </c>
      <c r="C528" s="295" t="s">
        <v>449</v>
      </c>
      <c r="D528" s="295"/>
      <c r="E528" s="277"/>
      <c r="F528" s="277"/>
      <c r="G528" s="311">
        <f t="shared" si="142"/>
        <v>0</v>
      </c>
      <c r="H528" s="311"/>
      <c r="I528" s="277"/>
      <c r="J528" s="277"/>
      <c r="K528" s="277"/>
      <c r="L528" s="277"/>
      <c r="M528" s="277"/>
      <c r="N528" s="277"/>
      <c r="O528" s="277"/>
      <c r="P528" s="277"/>
      <c r="Q528" s="277"/>
    </row>
    <row r="529" spans="1:17" ht="26.25" hidden="1" x14ac:dyDescent="0.25">
      <c r="A529" s="327">
        <v>5423</v>
      </c>
      <c r="B529" s="294">
        <v>621900</v>
      </c>
      <c r="C529" s="295" t="s">
        <v>450</v>
      </c>
      <c r="D529" s="295"/>
      <c r="E529" s="277"/>
      <c r="F529" s="277"/>
      <c r="G529" s="311">
        <f t="shared" si="142"/>
        <v>0</v>
      </c>
      <c r="H529" s="311"/>
      <c r="I529" s="277"/>
      <c r="J529" s="277"/>
      <c r="K529" s="277"/>
      <c r="L529" s="277"/>
      <c r="M529" s="277"/>
      <c r="N529" s="277"/>
      <c r="O529" s="277"/>
      <c r="P529" s="277"/>
      <c r="Q529" s="277"/>
    </row>
    <row r="530" spans="1:17" ht="39" hidden="1" x14ac:dyDescent="0.25">
      <c r="A530" s="309">
        <v>5424</v>
      </c>
      <c r="B530" s="283">
        <v>622000</v>
      </c>
      <c r="C530" s="287" t="s">
        <v>451</v>
      </c>
      <c r="D530" s="287"/>
      <c r="E530" s="288">
        <f>SUM(E531:E538)</f>
        <v>0</v>
      </c>
      <c r="F530" s="288"/>
      <c r="G530" s="288">
        <f t="shared" si="142"/>
        <v>0</v>
      </c>
      <c r="H530" s="288"/>
      <c r="I530" s="288">
        <f t="shared" ref="I530:Q530" si="161">SUM(I531:I538)</f>
        <v>0</v>
      </c>
      <c r="J530" s="288">
        <f t="shared" si="161"/>
        <v>0</v>
      </c>
      <c r="K530" s="288"/>
      <c r="L530" s="288">
        <f t="shared" si="161"/>
        <v>0</v>
      </c>
      <c r="M530" s="288"/>
      <c r="N530" s="288">
        <f t="shared" si="161"/>
        <v>0</v>
      </c>
      <c r="O530" s="288">
        <f t="shared" si="161"/>
        <v>0</v>
      </c>
      <c r="P530" s="288"/>
      <c r="Q530" s="288">
        <f t="shared" si="161"/>
        <v>0</v>
      </c>
    </row>
    <row r="531" spans="1:17" ht="26.25" hidden="1" x14ac:dyDescent="0.25">
      <c r="A531" s="327">
        <v>5425</v>
      </c>
      <c r="B531" s="294">
        <v>622100</v>
      </c>
      <c r="C531" s="295" t="s">
        <v>452</v>
      </c>
      <c r="D531" s="295"/>
      <c r="E531" s="277"/>
      <c r="F531" s="277"/>
      <c r="G531" s="311">
        <f t="shared" si="142"/>
        <v>0</v>
      </c>
      <c r="H531" s="311"/>
      <c r="I531" s="277"/>
      <c r="J531" s="277"/>
      <c r="K531" s="277"/>
      <c r="L531" s="277"/>
      <c r="M531" s="277"/>
      <c r="N531" s="277"/>
      <c r="O531" s="277"/>
      <c r="P531" s="277"/>
      <c r="Q531" s="277"/>
    </row>
    <row r="532" spans="1:17" hidden="1" x14ac:dyDescent="0.25">
      <c r="A532" s="327">
        <v>5426</v>
      </c>
      <c r="B532" s="294">
        <v>622200</v>
      </c>
      <c r="C532" s="295" t="s">
        <v>453</v>
      </c>
      <c r="D532" s="295"/>
      <c r="E532" s="277"/>
      <c r="F532" s="277"/>
      <c r="G532" s="311">
        <f t="shared" si="142"/>
        <v>0</v>
      </c>
      <c r="H532" s="311"/>
      <c r="I532" s="277"/>
      <c r="J532" s="277"/>
      <c r="K532" s="277"/>
      <c r="L532" s="277"/>
      <c r="M532" s="277"/>
      <c r="N532" s="277"/>
      <c r="O532" s="277"/>
      <c r="P532" s="277"/>
      <c r="Q532" s="277"/>
    </row>
    <row r="533" spans="1:17" ht="26.25" hidden="1" x14ac:dyDescent="0.25">
      <c r="A533" s="327">
        <v>5427</v>
      </c>
      <c r="B533" s="294">
        <v>622300</v>
      </c>
      <c r="C533" s="295" t="s">
        <v>454</v>
      </c>
      <c r="D533" s="295"/>
      <c r="E533" s="277"/>
      <c r="F533" s="277"/>
      <c r="G533" s="311">
        <f t="shared" si="142"/>
        <v>0</v>
      </c>
      <c r="H533" s="311"/>
      <c r="I533" s="277"/>
      <c r="J533" s="277"/>
      <c r="K533" s="277"/>
      <c r="L533" s="277"/>
      <c r="M533" s="277"/>
      <c r="N533" s="277"/>
      <c r="O533" s="277"/>
      <c r="P533" s="277"/>
      <c r="Q533" s="277"/>
    </row>
    <row r="534" spans="1:17" ht="26.25" hidden="1" x14ac:dyDescent="0.25">
      <c r="A534" s="327">
        <v>5428</v>
      </c>
      <c r="B534" s="294">
        <v>622400</v>
      </c>
      <c r="C534" s="295" t="s">
        <v>455</v>
      </c>
      <c r="D534" s="295"/>
      <c r="E534" s="277"/>
      <c r="F534" s="277"/>
      <c r="G534" s="311">
        <f t="shared" si="142"/>
        <v>0</v>
      </c>
      <c r="H534" s="311"/>
      <c r="I534" s="277"/>
      <c r="J534" s="277"/>
      <c r="K534" s="277"/>
      <c r="L534" s="277"/>
      <c r="M534" s="277"/>
      <c r="N534" s="277"/>
      <c r="O534" s="277"/>
      <c r="P534" s="277"/>
      <c r="Q534" s="277"/>
    </row>
    <row r="535" spans="1:17" ht="26.25" hidden="1" x14ac:dyDescent="0.25">
      <c r="A535" s="327">
        <v>5429</v>
      </c>
      <c r="B535" s="294">
        <v>622500</v>
      </c>
      <c r="C535" s="295" t="s">
        <v>456</v>
      </c>
      <c r="D535" s="295"/>
      <c r="E535" s="277"/>
      <c r="F535" s="277"/>
      <c r="G535" s="311">
        <f t="shared" si="142"/>
        <v>0</v>
      </c>
      <c r="H535" s="311"/>
      <c r="I535" s="277"/>
      <c r="J535" s="277"/>
      <c r="K535" s="277"/>
      <c r="L535" s="277"/>
      <c r="M535" s="277"/>
      <c r="N535" s="277"/>
      <c r="O535" s="277"/>
      <c r="P535" s="277"/>
      <c r="Q535" s="277"/>
    </row>
    <row r="536" spans="1:17" ht="26.25" hidden="1" x14ac:dyDescent="0.25">
      <c r="A536" s="327">
        <v>5430</v>
      </c>
      <c r="B536" s="294">
        <v>622600</v>
      </c>
      <c r="C536" s="295" t="s">
        <v>457</v>
      </c>
      <c r="D536" s="295"/>
      <c r="E536" s="277"/>
      <c r="F536" s="277"/>
      <c r="G536" s="311">
        <f t="shared" ref="G536:G540" si="162">SUM(I536:Q536)</f>
        <v>0</v>
      </c>
      <c r="H536" s="311"/>
      <c r="I536" s="277"/>
      <c r="J536" s="277"/>
      <c r="K536" s="277"/>
      <c r="L536" s="277"/>
      <c r="M536" s="277"/>
      <c r="N536" s="277"/>
      <c r="O536" s="277"/>
      <c r="P536" s="277"/>
      <c r="Q536" s="277"/>
    </row>
    <row r="537" spans="1:17" ht="26.25" hidden="1" x14ac:dyDescent="0.25">
      <c r="A537" s="327">
        <v>5431</v>
      </c>
      <c r="B537" s="294">
        <v>622700</v>
      </c>
      <c r="C537" s="295" t="s">
        <v>458</v>
      </c>
      <c r="D537" s="295"/>
      <c r="E537" s="277"/>
      <c r="F537" s="277"/>
      <c r="G537" s="311">
        <f t="shared" si="162"/>
        <v>0</v>
      </c>
      <c r="H537" s="311"/>
      <c r="I537" s="277"/>
      <c r="J537" s="277"/>
      <c r="K537" s="277"/>
      <c r="L537" s="277"/>
      <c r="M537" s="277"/>
      <c r="N537" s="277"/>
      <c r="O537" s="277"/>
      <c r="P537" s="277"/>
      <c r="Q537" s="277"/>
    </row>
    <row r="538" spans="1:17" hidden="1" x14ac:dyDescent="0.25">
      <c r="A538" s="327">
        <v>5432</v>
      </c>
      <c r="B538" s="294">
        <v>622800</v>
      </c>
      <c r="C538" s="295" t="s">
        <v>459</v>
      </c>
      <c r="D538" s="295"/>
      <c r="E538" s="277"/>
      <c r="F538" s="277"/>
      <c r="G538" s="311">
        <f t="shared" si="162"/>
        <v>0</v>
      </c>
      <c r="H538" s="311"/>
      <c r="I538" s="277"/>
      <c r="J538" s="277"/>
      <c r="K538" s="277"/>
      <c r="L538" s="277"/>
      <c r="M538" s="277"/>
      <c r="N538" s="277"/>
      <c r="O538" s="277"/>
      <c r="P538" s="277"/>
      <c r="Q538" s="277"/>
    </row>
    <row r="539" spans="1:17" ht="90" hidden="1" x14ac:dyDescent="0.25">
      <c r="A539" s="309">
        <v>5433</v>
      </c>
      <c r="B539" s="283">
        <v>623000</v>
      </c>
      <c r="C539" s="287" t="s">
        <v>460</v>
      </c>
      <c r="D539" s="287"/>
      <c r="E539" s="288">
        <f>E540</f>
        <v>0</v>
      </c>
      <c r="F539" s="288"/>
      <c r="G539" s="288">
        <f t="shared" si="162"/>
        <v>0</v>
      </c>
      <c r="H539" s="288"/>
      <c r="I539" s="288">
        <f t="shared" ref="I539:Q539" si="163">I540</f>
        <v>0</v>
      </c>
      <c r="J539" s="288">
        <f t="shared" si="163"/>
        <v>0</v>
      </c>
      <c r="K539" s="288"/>
      <c r="L539" s="288">
        <f t="shared" si="163"/>
        <v>0</v>
      </c>
      <c r="M539" s="288"/>
      <c r="N539" s="288">
        <f t="shared" si="163"/>
        <v>0</v>
      </c>
      <c r="O539" s="288">
        <f t="shared" si="163"/>
        <v>0</v>
      </c>
      <c r="P539" s="288"/>
      <c r="Q539" s="288">
        <f t="shared" si="163"/>
        <v>0</v>
      </c>
    </row>
    <row r="540" spans="1:17" ht="51.75" hidden="1" x14ac:dyDescent="0.25">
      <c r="A540" s="327">
        <v>5434</v>
      </c>
      <c r="B540" s="294">
        <v>623100</v>
      </c>
      <c r="C540" s="295" t="s">
        <v>461</v>
      </c>
      <c r="D540" s="295"/>
      <c r="E540" s="277"/>
      <c r="F540" s="277"/>
      <c r="G540" s="311">
        <f t="shared" si="162"/>
        <v>0</v>
      </c>
      <c r="H540" s="311"/>
      <c r="I540" s="277"/>
      <c r="J540" s="277"/>
      <c r="K540" s="277"/>
      <c r="L540" s="277"/>
      <c r="M540" s="277"/>
      <c r="N540" s="277"/>
      <c r="O540" s="277"/>
      <c r="P540" s="277"/>
      <c r="Q540" s="277"/>
    </row>
    <row r="541" spans="1:17" ht="26.25" x14ac:dyDescent="0.25">
      <c r="A541" s="309">
        <v>5435</v>
      </c>
      <c r="B541" s="294"/>
      <c r="C541" s="287" t="s">
        <v>462</v>
      </c>
      <c r="D541" s="287"/>
      <c r="E541" s="288">
        <f t="shared" ref="E541:Q541" si="164">E219+E485</f>
        <v>1500538</v>
      </c>
      <c r="F541" s="288">
        <f t="shared" si="164"/>
        <v>1639545</v>
      </c>
      <c r="G541" s="288">
        <f t="shared" si="164"/>
        <v>1138166</v>
      </c>
      <c r="H541" s="288">
        <f t="shared" si="164"/>
        <v>26000</v>
      </c>
      <c r="I541" s="288">
        <f t="shared" si="164"/>
        <v>1577</v>
      </c>
      <c r="J541" s="288">
        <f t="shared" si="164"/>
        <v>0</v>
      </c>
      <c r="K541" s="288">
        <f t="shared" si="164"/>
        <v>1000</v>
      </c>
      <c r="L541" s="288">
        <f t="shared" si="164"/>
        <v>1273</v>
      </c>
      <c r="M541" s="288">
        <f t="shared" si="164"/>
        <v>1599334</v>
      </c>
      <c r="N541" s="288">
        <f t="shared" si="164"/>
        <v>1125638</v>
      </c>
      <c r="O541" s="288">
        <f t="shared" si="164"/>
        <v>0</v>
      </c>
      <c r="P541" s="288">
        <f t="shared" si="164"/>
        <v>13211</v>
      </c>
      <c r="Q541" s="288">
        <f t="shared" si="164"/>
        <v>9668</v>
      </c>
    </row>
    <row r="542" spans="1:17" hidden="1" x14ac:dyDescent="0.25"/>
    <row r="543" spans="1:17" hidden="1" x14ac:dyDescent="0.25">
      <c r="F543" s="326">
        <f>F210-F541</f>
        <v>-311</v>
      </c>
      <c r="G543" s="326"/>
      <c r="H543" s="326">
        <f>H210-H541</f>
        <v>0</v>
      </c>
      <c r="I543" s="326"/>
      <c r="J543" s="326">
        <f>J210-J541</f>
        <v>0</v>
      </c>
      <c r="K543" s="326">
        <f>K210-K541</f>
        <v>0</v>
      </c>
      <c r="L543" s="326"/>
      <c r="M543" s="326">
        <f>M210-M541</f>
        <v>0</v>
      </c>
      <c r="N543" s="326"/>
      <c r="O543" s="326">
        <f>O210-O541</f>
        <v>0</v>
      </c>
      <c r="P543" s="341">
        <f>P210-P541</f>
        <v>-311</v>
      </c>
      <c r="Q543" s="326" t="s">
        <v>469</v>
      </c>
    </row>
    <row r="544" spans="1:17" hidden="1" x14ac:dyDescent="0.25"/>
    <row r="545" spans="1:16" hidden="1" x14ac:dyDescent="0.25">
      <c r="M545" s="326">
        <v>55285</v>
      </c>
    </row>
    <row r="546" spans="1:16" hidden="1" x14ac:dyDescent="0.25">
      <c r="K546" s="281" t="s">
        <v>463</v>
      </c>
      <c r="L546" s="326">
        <v>50421</v>
      </c>
      <c r="M546" s="326">
        <f>M249+M251+M252+M253+M257+M264+M265+M266+M267+M269+M274+M278+M281+M282+M284+M285+M287+M289+M312+M313</f>
        <v>55285</v>
      </c>
      <c r="N546" s="326">
        <f>L546-M546</f>
        <v>-4864</v>
      </c>
      <c r="P546" s="326">
        <f>M546-M545</f>
        <v>0</v>
      </c>
    </row>
    <row r="547" spans="1:16" s="345" customFormat="1" ht="24.75" customHeight="1" x14ac:dyDescent="0.25">
      <c r="A547" s="653" t="s">
        <v>509</v>
      </c>
      <c r="B547" s="654"/>
      <c r="C547" s="655"/>
      <c r="D547" s="342"/>
      <c r="E547" s="343"/>
      <c r="F547" s="343">
        <f>F210-F541</f>
        <v>-311</v>
      </c>
      <c r="G547" s="343">
        <f t="shared" ref="G547" si="165">G210-G541</f>
        <v>1889772</v>
      </c>
      <c r="H547" s="344">
        <f>H210-H541</f>
        <v>0</v>
      </c>
      <c r="I547" s="343">
        <f t="shared" ref="I547:P547" si="166">I210-I541</f>
        <v>17161</v>
      </c>
      <c r="J547" s="343">
        <f t="shared" si="166"/>
        <v>0</v>
      </c>
      <c r="K547" s="344">
        <f t="shared" si="166"/>
        <v>0</v>
      </c>
      <c r="L547" s="344">
        <f t="shared" si="166"/>
        <v>-768</v>
      </c>
      <c r="M547" s="344">
        <f t="shared" si="166"/>
        <v>0</v>
      </c>
      <c r="N547" s="343">
        <f t="shared" si="166"/>
        <v>272554</v>
      </c>
      <c r="O547" s="343">
        <f t="shared" si="166"/>
        <v>0</v>
      </c>
      <c r="P547" s="343">
        <f t="shared" si="166"/>
        <v>-311</v>
      </c>
    </row>
  </sheetData>
  <mergeCells count="187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47:C547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E238:Q269 H432:H443 I432:Q462 E432:G462 E104:E127 G120:M121 G104:Q119 E467:Q490 E379:Q399 E353:Q374 E323:Q348 E404:Q427 E522:Q541 E219:Q233 E274:Q318 H445:H462 E132:E154 G132:Q154 G122:Q127 G74:Q99 E74:E99 E6:Q10 E207:Q211 E185:Q202 E159:Q180 E47:Q69 E15:Q42 F74:F154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Z547"/>
  <sheetViews>
    <sheetView topLeftCell="B253" workbookViewId="0">
      <selection activeCell="B253" sqref="A1:XFD1048576"/>
    </sheetView>
  </sheetViews>
  <sheetFormatPr defaultRowHeight="15" x14ac:dyDescent="0.25"/>
  <cols>
    <col min="1" max="1" width="4.85546875" style="281" customWidth="1"/>
    <col min="2" max="2" width="9" style="281" customWidth="1"/>
    <col min="3" max="3" width="28.42578125" style="281" customWidth="1"/>
    <col min="4" max="4" width="3.28515625" style="281" customWidth="1"/>
    <col min="5" max="5" width="8.7109375" style="281" hidden="1" customWidth="1"/>
    <col min="6" max="6" width="10.42578125" style="281" customWidth="1"/>
    <col min="7" max="7" width="1" style="281" hidden="1" customWidth="1"/>
    <col min="8" max="8" width="9.7109375" style="281" customWidth="1"/>
    <col min="9" max="9" width="7.5703125" style="281" hidden="1" customWidth="1"/>
    <col min="10" max="10" width="0" style="281" hidden="1" customWidth="1"/>
    <col min="11" max="11" width="7.28515625" style="281" customWidth="1"/>
    <col min="12" max="12" width="6.28515625" style="281" hidden="1" customWidth="1"/>
    <col min="13" max="13" width="10.28515625" style="281" customWidth="1"/>
    <col min="14" max="14" width="0" style="281" hidden="1" customWidth="1"/>
    <col min="15" max="15" width="0.5703125" style="281" hidden="1" customWidth="1"/>
    <col min="16" max="16" width="10.5703125" style="281" customWidth="1"/>
    <col min="17" max="17" width="7.85546875" style="281" hidden="1" customWidth="1"/>
    <col min="18" max="22" width="0" style="281" hidden="1" customWidth="1"/>
    <col min="23" max="23" width="4.85546875" style="281" customWidth="1"/>
    <col min="24" max="24" width="3" style="281" customWidth="1"/>
    <col min="25" max="25" width="9.140625" style="281" hidden="1" customWidth="1"/>
    <col min="26" max="26" width="2.7109375" style="281" customWidth="1"/>
    <col min="27" max="59" width="9.140625" style="281" customWidth="1"/>
    <col min="60" max="16384" width="9.140625" style="281"/>
  </cols>
  <sheetData>
    <row r="1" spans="1:17" ht="33.75" customHeight="1" thickBot="1" x14ac:dyDescent="0.3">
      <c r="A1" s="279" t="s">
        <v>507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</row>
    <row r="2" spans="1:17" ht="15" customHeight="1" thickBot="1" x14ac:dyDescent="0.3">
      <c r="A2" s="681" t="s">
        <v>0</v>
      </c>
      <c r="B2" s="683" t="s">
        <v>1</v>
      </c>
      <c r="C2" s="683" t="s">
        <v>2</v>
      </c>
      <c r="D2" s="685"/>
      <c r="E2" s="686" t="s">
        <v>3</v>
      </c>
      <c r="F2" s="687" t="s">
        <v>3</v>
      </c>
      <c r="G2" s="688"/>
      <c r="H2" s="688"/>
      <c r="I2" s="688"/>
      <c r="J2" s="688"/>
      <c r="K2" s="688"/>
      <c r="L2" s="688"/>
      <c r="M2" s="688"/>
      <c r="N2" s="688"/>
      <c r="O2" s="688"/>
      <c r="P2" s="688"/>
      <c r="Q2" s="689"/>
    </row>
    <row r="3" spans="1:17" ht="29.25" customHeight="1" x14ac:dyDescent="0.25">
      <c r="A3" s="682"/>
      <c r="B3" s="658"/>
      <c r="C3" s="684"/>
      <c r="D3" s="680"/>
      <c r="E3" s="658"/>
      <c r="F3" s="685" t="s">
        <v>510</v>
      </c>
      <c r="G3" s="690" t="s">
        <v>5</v>
      </c>
      <c r="H3" s="691" t="s">
        <v>6</v>
      </c>
      <c r="I3" s="692"/>
      <c r="J3" s="692"/>
      <c r="K3" s="692"/>
      <c r="L3" s="692"/>
      <c r="M3" s="692"/>
      <c r="N3" s="693"/>
      <c r="O3" s="668" t="s">
        <v>7</v>
      </c>
      <c r="P3" s="668" t="s">
        <v>8</v>
      </c>
      <c r="Q3" s="669" t="s">
        <v>8</v>
      </c>
    </row>
    <row r="4" spans="1:17" ht="39" x14ac:dyDescent="0.25">
      <c r="A4" s="682"/>
      <c r="B4" s="658"/>
      <c r="C4" s="684"/>
      <c r="D4" s="668"/>
      <c r="E4" s="658"/>
      <c r="F4" s="668"/>
      <c r="G4" s="665"/>
      <c r="H4" s="282" t="s">
        <v>9</v>
      </c>
      <c r="I4" s="494" t="s">
        <v>9</v>
      </c>
      <c r="J4" s="494" t="s">
        <v>9</v>
      </c>
      <c r="K4" s="494" t="s">
        <v>11</v>
      </c>
      <c r="L4" s="494" t="s">
        <v>11</v>
      </c>
      <c r="M4" s="494" t="s">
        <v>12</v>
      </c>
      <c r="N4" s="494" t="s">
        <v>12</v>
      </c>
      <c r="O4" s="658"/>
      <c r="P4" s="658"/>
      <c r="Q4" s="664"/>
    </row>
    <row r="5" spans="1:17" x14ac:dyDescent="0.25">
      <c r="A5" s="502">
        <v>1</v>
      </c>
      <c r="B5" s="494">
        <v>2</v>
      </c>
      <c r="C5" s="494">
        <v>3</v>
      </c>
      <c r="D5" s="494"/>
      <c r="E5" s="494">
        <v>4</v>
      </c>
      <c r="F5" s="494">
        <v>4</v>
      </c>
      <c r="G5" s="494">
        <v>4</v>
      </c>
      <c r="H5" s="494">
        <v>5</v>
      </c>
      <c r="I5" s="494">
        <v>5</v>
      </c>
      <c r="J5" s="494">
        <v>7</v>
      </c>
      <c r="K5" s="494">
        <v>6</v>
      </c>
      <c r="L5" s="494">
        <v>6</v>
      </c>
      <c r="M5" s="494">
        <v>7</v>
      </c>
      <c r="N5" s="494">
        <v>7</v>
      </c>
      <c r="O5" s="494">
        <v>10</v>
      </c>
      <c r="P5" s="494">
        <v>8</v>
      </c>
      <c r="Q5" s="496">
        <v>8</v>
      </c>
    </row>
    <row r="6" spans="1:17" ht="42" customHeight="1" x14ac:dyDescent="0.25">
      <c r="A6" s="286">
        <v>5001</v>
      </c>
      <c r="B6" s="494"/>
      <c r="C6" s="287" t="s">
        <v>13</v>
      </c>
      <c r="D6" s="287"/>
      <c r="E6" s="288">
        <f>E7+E133</f>
        <v>1500538</v>
      </c>
      <c r="F6" s="288">
        <f>F7+F133</f>
        <v>1639234</v>
      </c>
      <c r="G6" s="288">
        <f t="shared" ref="G6:Q6" si="0">G7+G133</f>
        <v>3027938</v>
      </c>
      <c r="H6" s="288">
        <f t="shared" si="0"/>
        <v>26000</v>
      </c>
      <c r="I6" s="288">
        <f t="shared" si="0"/>
        <v>18738</v>
      </c>
      <c r="J6" s="288">
        <f t="shared" si="0"/>
        <v>0</v>
      </c>
      <c r="K6" s="288">
        <f t="shared" si="0"/>
        <v>1000</v>
      </c>
      <c r="L6" s="288">
        <f t="shared" si="0"/>
        <v>505</v>
      </c>
      <c r="M6" s="288">
        <f t="shared" si="0"/>
        <v>1599334</v>
      </c>
      <c r="N6" s="288">
        <f t="shared" si="0"/>
        <v>1398192</v>
      </c>
      <c r="O6" s="288">
        <f t="shared" si="0"/>
        <v>0</v>
      </c>
      <c r="P6" s="288">
        <f t="shared" si="0"/>
        <v>12900</v>
      </c>
      <c r="Q6" s="289">
        <f t="shared" si="0"/>
        <v>12669</v>
      </c>
    </row>
    <row r="7" spans="1:17" ht="39" x14ac:dyDescent="0.25">
      <c r="A7" s="286">
        <v>5002</v>
      </c>
      <c r="B7" s="494">
        <v>700000</v>
      </c>
      <c r="C7" s="287" t="s">
        <v>14</v>
      </c>
      <c r="D7" s="287"/>
      <c r="E7" s="288">
        <f>E8+E60+E74+E86+E115+E122+E126</f>
        <v>1500338</v>
      </c>
      <c r="F7" s="290">
        <f>F86+F122+F126</f>
        <v>1639034</v>
      </c>
      <c r="G7" s="288">
        <f>G8+G60+G74+G86+G115+G122+G126</f>
        <v>3027754</v>
      </c>
      <c r="H7" s="288">
        <f t="shared" ref="H7:Q7" si="1">H8+H60+H74+H86+H115+H122+H126</f>
        <v>26000</v>
      </c>
      <c r="I7" s="288">
        <f t="shared" si="1"/>
        <v>18738</v>
      </c>
      <c r="J7" s="288">
        <f t="shared" si="1"/>
        <v>0</v>
      </c>
      <c r="K7" s="288">
        <f t="shared" si="1"/>
        <v>1000</v>
      </c>
      <c r="L7" s="288">
        <f t="shared" si="1"/>
        <v>505</v>
      </c>
      <c r="M7" s="288">
        <f t="shared" si="1"/>
        <v>1599334</v>
      </c>
      <c r="N7" s="288">
        <f t="shared" si="1"/>
        <v>1398192</v>
      </c>
      <c r="O7" s="288">
        <f t="shared" si="1"/>
        <v>0</v>
      </c>
      <c r="P7" s="288">
        <f t="shared" si="1"/>
        <v>12700</v>
      </c>
      <c r="Q7" s="289">
        <f t="shared" si="1"/>
        <v>12485</v>
      </c>
    </row>
    <row r="8" spans="1:17" ht="39" hidden="1" customHeight="1" x14ac:dyDescent="0.25">
      <c r="A8" s="502">
        <v>5003</v>
      </c>
      <c r="B8" s="494">
        <v>710000</v>
      </c>
      <c r="C8" s="287" t="s">
        <v>15</v>
      </c>
      <c r="D8" s="287"/>
      <c r="E8" s="291">
        <f>E9+E17+E19+E26+E32+E39+E42+E53</f>
        <v>0</v>
      </c>
      <c r="F8" s="291"/>
      <c r="G8" s="291">
        <f t="shared" ref="G8:G41" si="2">SUM(I8:Q8)</f>
        <v>0</v>
      </c>
      <c r="H8" s="291"/>
      <c r="I8" s="291">
        <f t="shared" ref="I8:Q8" si="3">I9+I17+I19+I26+I32+I39+I42+I53</f>
        <v>0</v>
      </c>
      <c r="J8" s="291">
        <f t="shared" si="3"/>
        <v>0</v>
      </c>
      <c r="K8" s="291"/>
      <c r="L8" s="291">
        <f t="shared" si="3"/>
        <v>0</v>
      </c>
      <c r="M8" s="291"/>
      <c r="N8" s="291">
        <f t="shared" si="3"/>
        <v>0</v>
      </c>
      <c r="O8" s="291">
        <f t="shared" si="3"/>
        <v>0</v>
      </c>
      <c r="P8" s="291"/>
      <c r="Q8" s="292">
        <f t="shared" si="3"/>
        <v>0</v>
      </c>
    </row>
    <row r="9" spans="1:17" ht="39" hidden="1" customHeight="1" x14ac:dyDescent="0.25">
      <c r="A9" s="502">
        <v>5004</v>
      </c>
      <c r="B9" s="494">
        <v>711000</v>
      </c>
      <c r="C9" s="287" t="s">
        <v>16</v>
      </c>
      <c r="D9" s="287"/>
      <c r="E9" s="291">
        <f>SUM(E10:E16)</f>
        <v>0</v>
      </c>
      <c r="F9" s="291"/>
      <c r="G9" s="291">
        <f t="shared" si="2"/>
        <v>0</v>
      </c>
      <c r="H9" s="291"/>
      <c r="I9" s="291">
        <f t="shared" ref="I9:Q9" si="4">SUM(I10:I16)</f>
        <v>0</v>
      </c>
      <c r="J9" s="291">
        <f t="shared" si="4"/>
        <v>0</v>
      </c>
      <c r="K9" s="291"/>
      <c r="L9" s="291">
        <f t="shared" si="4"/>
        <v>0</v>
      </c>
      <c r="M9" s="291"/>
      <c r="N9" s="291">
        <f t="shared" si="4"/>
        <v>0</v>
      </c>
      <c r="O9" s="291">
        <f t="shared" si="4"/>
        <v>0</v>
      </c>
      <c r="P9" s="291"/>
      <c r="Q9" s="292">
        <f t="shared" si="4"/>
        <v>0</v>
      </c>
    </row>
    <row r="10" spans="1:17" ht="39" hidden="1" customHeight="1" x14ac:dyDescent="0.25">
      <c r="A10" s="293">
        <v>5005</v>
      </c>
      <c r="B10" s="294">
        <v>711100</v>
      </c>
      <c r="C10" s="295" t="s">
        <v>17</v>
      </c>
      <c r="D10" s="296"/>
      <c r="E10" s="297"/>
      <c r="F10" s="298"/>
      <c r="G10" s="298">
        <f t="shared" si="2"/>
        <v>0</v>
      </c>
      <c r="H10" s="298"/>
      <c r="I10" s="298"/>
      <c r="J10" s="298"/>
      <c r="K10" s="298"/>
      <c r="L10" s="298"/>
      <c r="M10" s="298"/>
      <c r="N10" s="298"/>
      <c r="O10" s="298"/>
      <c r="P10" s="298"/>
      <c r="Q10" s="299"/>
    </row>
    <row r="11" spans="1:17" ht="24" hidden="1" customHeight="1" x14ac:dyDescent="0.25">
      <c r="A11" s="670" t="s">
        <v>0</v>
      </c>
      <c r="B11" s="673" t="s">
        <v>1</v>
      </c>
      <c r="C11" s="676" t="s">
        <v>2</v>
      </c>
      <c r="D11" s="499"/>
      <c r="E11" s="679" t="s">
        <v>3</v>
      </c>
      <c r="F11" s="494"/>
      <c r="G11" s="658" t="s">
        <v>4</v>
      </c>
      <c r="H11" s="658"/>
      <c r="I11" s="658"/>
      <c r="J11" s="658"/>
      <c r="K11" s="658"/>
      <c r="L11" s="658"/>
      <c r="M11" s="658"/>
      <c r="N11" s="658"/>
      <c r="O11" s="658"/>
      <c r="P11" s="658"/>
      <c r="Q11" s="664"/>
    </row>
    <row r="12" spans="1:17" ht="24" hidden="1" customHeight="1" x14ac:dyDescent="0.25">
      <c r="A12" s="671"/>
      <c r="B12" s="674"/>
      <c r="C12" s="677"/>
      <c r="D12" s="500"/>
      <c r="E12" s="680"/>
      <c r="F12" s="494"/>
      <c r="G12" s="665" t="s">
        <v>5</v>
      </c>
      <c r="H12" s="497"/>
      <c r="I12" s="658" t="s">
        <v>6</v>
      </c>
      <c r="J12" s="658"/>
      <c r="K12" s="658"/>
      <c r="L12" s="658"/>
      <c r="M12" s="658"/>
      <c r="N12" s="658"/>
      <c r="O12" s="658" t="s">
        <v>7</v>
      </c>
      <c r="P12" s="494"/>
      <c r="Q12" s="664" t="s">
        <v>8</v>
      </c>
    </row>
    <row r="13" spans="1:17" ht="39" hidden="1" customHeight="1" x14ac:dyDescent="0.25">
      <c r="A13" s="672"/>
      <c r="B13" s="675"/>
      <c r="C13" s="678"/>
      <c r="D13" s="501"/>
      <c r="E13" s="668"/>
      <c r="F13" s="494"/>
      <c r="G13" s="665"/>
      <c r="H13" s="497"/>
      <c r="I13" s="494" t="s">
        <v>9</v>
      </c>
      <c r="J13" s="494" t="s">
        <v>10</v>
      </c>
      <c r="K13" s="494"/>
      <c r="L13" s="494" t="s">
        <v>11</v>
      </c>
      <c r="M13" s="494"/>
      <c r="N13" s="494" t="s">
        <v>12</v>
      </c>
      <c r="O13" s="658"/>
      <c r="P13" s="494"/>
      <c r="Q13" s="664"/>
    </row>
    <row r="14" spans="1:17" ht="26.25" hidden="1" customHeight="1" x14ac:dyDescent="0.25">
      <c r="A14" s="304" t="s">
        <v>18</v>
      </c>
      <c r="B14" s="493" t="s">
        <v>19</v>
      </c>
      <c r="C14" s="493" t="s">
        <v>20</v>
      </c>
      <c r="D14" s="493"/>
      <c r="E14" s="306" t="s">
        <v>21</v>
      </c>
      <c r="F14" s="306"/>
      <c r="G14" s="306" t="s">
        <v>22</v>
      </c>
      <c r="H14" s="306"/>
      <c r="I14" s="306" t="s">
        <v>23</v>
      </c>
      <c r="J14" s="306" t="s">
        <v>24</v>
      </c>
      <c r="K14" s="306"/>
      <c r="L14" s="306" t="s">
        <v>25</v>
      </c>
      <c r="M14" s="306"/>
      <c r="N14" s="306" t="s">
        <v>26</v>
      </c>
      <c r="O14" s="306" t="s">
        <v>27</v>
      </c>
      <c r="P14" s="306"/>
      <c r="Q14" s="307" t="s">
        <v>28</v>
      </c>
    </row>
    <row r="15" spans="1:17" ht="39" hidden="1" customHeight="1" x14ac:dyDescent="0.25">
      <c r="A15" s="293">
        <v>5006</v>
      </c>
      <c r="B15" s="294">
        <v>711200</v>
      </c>
      <c r="C15" s="295" t="s">
        <v>29</v>
      </c>
      <c r="D15" s="295"/>
      <c r="E15" s="298"/>
      <c r="F15" s="298"/>
      <c r="G15" s="298">
        <f t="shared" si="2"/>
        <v>0</v>
      </c>
      <c r="H15" s="298"/>
      <c r="I15" s="298"/>
      <c r="J15" s="298"/>
      <c r="K15" s="298"/>
      <c r="L15" s="298"/>
      <c r="M15" s="298"/>
      <c r="N15" s="298"/>
      <c r="O15" s="298"/>
      <c r="P15" s="298"/>
      <c r="Q15" s="299"/>
    </row>
    <row r="16" spans="1:17" ht="51.75" hidden="1" customHeight="1" x14ac:dyDescent="0.25">
      <c r="A16" s="293">
        <v>5007</v>
      </c>
      <c r="B16" s="294">
        <v>711300</v>
      </c>
      <c r="C16" s="295" t="s">
        <v>30</v>
      </c>
      <c r="D16" s="295"/>
      <c r="E16" s="298"/>
      <c r="F16" s="298"/>
      <c r="G16" s="298">
        <f t="shared" si="2"/>
        <v>0</v>
      </c>
      <c r="H16" s="298"/>
      <c r="I16" s="298"/>
      <c r="J16" s="298"/>
      <c r="K16" s="298"/>
      <c r="L16" s="298"/>
      <c r="M16" s="298"/>
      <c r="N16" s="298"/>
      <c r="O16" s="298"/>
      <c r="P16" s="298"/>
      <c r="Q16" s="299"/>
    </row>
    <row r="17" spans="1:17" ht="26.25" hidden="1" customHeight="1" x14ac:dyDescent="0.25">
      <c r="A17" s="502">
        <v>5008</v>
      </c>
      <c r="B17" s="494">
        <v>712000</v>
      </c>
      <c r="C17" s="287" t="s">
        <v>31</v>
      </c>
      <c r="D17" s="287"/>
      <c r="E17" s="291">
        <f>E18</f>
        <v>0</v>
      </c>
      <c r="F17" s="291"/>
      <c r="G17" s="291">
        <f t="shared" si="2"/>
        <v>0</v>
      </c>
      <c r="H17" s="291"/>
      <c r="I17" s="291">
        <f t="shared" ref="I17:Q17" si="5">I18</f>
        <v>0</v>
      </c>
      <c r="J17" s="291">
        <f t="shared" si="5"/>
        <v>0</v>
      </c>
      <c r="K17" s="291"/>
      <c r="L17" s="291">
        <f t="shared" si="5"/>
        <v>0</v>
      </c>
      <c r="M17" s="291"/>
      <c r="N17" s="291">
        <f t="shared" si="5"/>
        <v>0</v>
      </c>
      <c r="O17" s="291">
        <f t="shared" si="5"/>
        <v>0</v>
      </c>
      <c r="P17" s="291"/>
      <c r="Q17" s="292">
        <f t="shared" si="5"/>
        <v>0</v>
      </c>
    </row>
    <row r="18" spans="1:17" ht="15" hidden="1" customHeight="1" x14ac:dyDescent="0.25">
      <c r="A18" s="293">
        <v>5009</v>
      </c>
      <c r="B18" s="294">
        <v>712100</v>
      </c>
      <c r="C18" s="295" t="s">
        <v>32</v>
      </c>
      <c r="D18" s="295"/>
      <c r="E18" s="298"/>
      <c r="F18" s="298"/>
      <c r="G18" s="298">
        <f t="shared" si="2"/>
        <v>0</v>
      </c>
      <c r="H18" s="298"/>
      <c r="I18" s="298"/>
      <c r="J18" s="298"/>
      <c r="K18" s="298"/>
      <c r="L18" s="298"/>
      <c r="M18" s="298"/>
      <c r="N18" s="298"/>
      <c r="O18" s="298"/>
      <c r="P18" s="298"/>
      <c r="Q18" s="299"/>
    </row>
    <row r="19" spans="1:17" ht="26.25" hidden="1" customHeight="1" x14ac:dyDescent="0.25">
      <c r="A19" s="502">
        <v>5010</v>
      </c>
      <c r="B19" s="494">
        <v>713000</v>
      </c>
      <c r="C19" s="287" t="s">
        <v>33</v>
      </c>
      <c r="D19" s="287"/>
      <c r="E19" s="291">
        <f>SUM(E20:E25)</f>
        <v>0</v>
      </c>
      <c r="F19" s="291"/>
      <c r="G19" s="291">
        <f t="shared" si="2"/>
        <v>0</v>
      </c>
      <c r="H19" s="291"/>
      <c r="I19" s="291">
        <f t="shared" ref="I19:Q19" si="6">SUM(I20:I25)</f>
        <v>0</v>
      </c>
      <c r="J19" s="291">
        <f t="shared" si="6"/>
        <v>0</v>
      </c>
      <c r="K19" s="291"/>
      <c r="L19" s="291">
        <f t="shared" si="6"/>
        <v>0</v>
      </c>
      <c r="M19" s="291"/>
      <c r="N19" s="291">
        <f t="shared" si="6"/>
        <v>0</v>
      </c>
      <c r="O19" s="291">
        <f t="shared" si="6"/>
        <v>0</v>
      </c>
      <c r="P19" s="291"/>
      <c r="Q19" s="292">
        <f t="shared" si="6"/>
        <v>0</v>
      </c>
    </row>
    <row r="20" spans="1:17" ht="26.25" hidden="1" customHeight="1" x14ac:dyDescent="0.25">
      <c r="A20" s="293">
        <v>5011</v>
      </c>
      <c r="B20" s="294">
        <v>713100</v>
      </c>
      <c r="C20" s="295" t="s">
        <v>34</v>
      </c>
      <c r="D20" s="295"/>
      <c r="E20" s="298"/>
      <c r="F20" s="298"/>
      <c r="G20" s="298">
        <f t="shared" si="2"/>
        <v>0</v>
      </c>
      <c r="H20" s="298"/>
      <c r="I20" s="298"/>
      <c r="J20" s="298"/>
      <c r="K20" s="298"/>
      <c r="L20" s="298"/>
      <c r="M20" s="298"/>
      <c r="N20" s="298"/>
      <c r="O20" s="298"/>
      <c r="P20" s="298"/>
      <c r="Q20" s="299"/>
    </row>
    <row r="21" spans="1:17" ht="26.25" hidden="1" customHeight="1" x14ac:dyDescent="0.25">
      <c r="A21" s="293">
        <v>5012</v>
      </c>
      <c r="B21" s="294">
        <v>713200</v>
      </c>
      <c r="C21" s="295" t="s">
        <v>35</v>
      </c>
      <c r="D21" s="295"/>
      <c r="E21" s="298"/>
      <c r="F21" s="298"/>
      <c r="G21" s="298">
        <f t="shared" si="2"/>
        <v>0</v>
      </c>
      <c r="H21" s="298"/>
      <c r="I21" s="298"/>
      <c r="J21" s="298"/>
      <c r="K21" s="298"/>
      <c r="L21" s="298"/>
      <c r="M21" s="298"/>
      <c r="N21" s="298"/>
      <c r="O21" s="298"/>
      <c r="P21" s="298"/>
      <c r="Q21" s="299"/>
    </row>
    <row r="22" spans="1:17" ht="26.25" hidden="1" customHeight="1" x14ac:dyDescent="0.25">
      <c r="A22" s="293">
        <v>5013</v>
      </c>
      <c r="B22" s="294">
        <v>713300</v>
      </c>
      <c r="C22" s="295" t="s">
        <v>36</v>
      </c>
      <c r="D22" s="295"/>
      <c r="E22" s="298"/>
      <c r="F22" s="298"/>
      <c r="G22" s="298">
        <f t="shared" si="2"/>
        <v>0</v>
      </c>
      <c r="H22" s="298"/>
      <c r="I22" s="298"/>
      <c r="J22" s="298"/>
      <c r="K22" s="298"/>
      <c r="L22" s="298"/>
      <c r="M22" s="298"/>
      <c r="N22" s="298"/>
      <c r="O22" s="298"/>
      <c r="P22" s="298"/>
      <c r="Q22" s="299"/>
    </row>
    <row r="23" spans="1:17" ht="26.25" hidden="1" customHeight="1" x14ac:dyDescent="0.25">
      <c r="A23" s="293">
        <v>5014</v>
      </c>
      <c r="B23" s="294">
        <v>713400</v>
      </c>
      <c r="C23" s="295" t="s">
        <v>37</v>
      </c>
      <c r="D23" s="295"/>
      <c r="E23" s="298"/>
      <c r="F23" s="298"/>
      <c r="G23" s="298">
        <f t="shared" si="2"/>
        <v>0</v>
      </c>
      <c r="H23" s="298"/>
      <c r="I23" s="298"/>
      <c r="J23" s="298"/>
      <c r="K23" s="298"/>
      <c r="L23" s="298"/>
      <c r="M23" s="298"/>
      <c r="N23" s="298"/>
      <c r="O23" s="298"/>
      <c r="P23" s="298"/>
      <c r="Q23" s="299"/>
    </row>
    <row r="24" spans="1:17" ht="26.25" hidden="1" customHeight="1" x14ac:dyDescent="0.25">
      <c r="A24" s="293">
        <v>5015</v>
      </c>
      <c r="B24" s="294">
        <v>713500</v>
      </c>
      <c r="C24" s="295" t="s">
        <v>38</v>
      </c>
      <c r="D24" s="295"/>
      <c r="E24" s="298"/>
      <c r="F24" s="298"/>
      <c r="G24" s="298">
        <f t="shared" si="2"/>
        <v>0</v>
      </c>
      <c r="H24" s="298"/>
      <c r="I24" s="298"/>
      <c r="J24" s="298"/>
      <c r="K24" s="298"/>
      <c r="L24" s="298"/>
      <c r="M24" s="298"/>
      <c r="N24" s="298"/>
      <c r="O24" s="298"/>
      <c r="P24" s="298"/>
      <c r="Q24" s="299"/>
    </row>
    <row r="25" spans="1:17" ht="26.25" hidden="1" customHeight="1" x14ac:dyDescent="0.25">
      <c r="A25" s="293">
        <v>5016</v>
      </c>
      <c r="B25" s="294">
        <v>713600</v>
      </c>
      <c r="C25" s="295" t="s">
        <v>39</v>
      </c>
      <c r="D25" s="295"/>
      <c r="E25" s="291"/>
      <c r="F25" s="291"/>
      <c r="G25" s="298">
        <f t="shared" si="2"/>
        <v>0</v>
      </c>
      <c r="H25" s="298"/>
      <c r="I25" s="291"/>
      <c r="J25" s="291"/>
      <c r="K25" s="291"/>
      <c r="L25" s="291"/>
      <c r="M25" s="291"/>
      <c r="N25" s="291"/>
      <c r="O25" s="291"/>
      <c r="P25" s="291"/>
      <c r="Q25" s="292"/>
    </row>
    <row r="26" spans="1:17" ht="26.25" hidden="1" customHeight="1" x14ac:dyDescent="0.25">
      <c r="A26" s="502">
        <v>5017</v>
      </c>
      <c r="B26" s="494">
        <v>714000</v>
      </c>
      <c r="C26" s="287" t="s">
        <v>40</v>
      </c>
      <c r="D26" s="287"/>
      <c r="E26" s="291">
        <f>SUM(E27:E31)</f>
        <v>0</v>
      </c>
      <c r="F26" s="291"/>
      <c r="G26" s="291">
        <f t="shared" si="2"/>
        <v>0</v>
      </c>
      <c r="H26" s="291"/>
      <c r="I26" s="291">
        <f t="shared" ref="I26:Q26" si="7">SUM(I27:I31)</f>
        <v>0</v>
      </c>
      <c r="J26" s="291">
        <f t="shared" si="7"/>
        <v>0</v>
      </c>
      <c r="K26" s="291"/>
      <c r="L26" s="291">
        <f t="shared" si="7"/>
        <v>0</v>
      </c>
      <c r="M26" s="291"/>
      <c r="N26" s="291">
        <f t="shared" si="7"/>
        <v>0</v>
      </c>
      <c r="O26" s="291">
        <f t="shared" si="7"/>
        <v>0</v>
      </c>
      <c r="P26" s="291"/>
      <c r="Q26" s="292">
        <f t="shared" si="7"/>
        <v>0</v>
      </c>
    </row>
    <row r="27" spans="1:17" ht="15" hidden="1" customHeight="1" x14ac:dyDescent="0.25">
      <c r="A27" s="293">
        <v>5018</v>
      </c>
      <c r="B27" s="294">
        <v>714100</v>
      </c>
      <c r="C27" s="295" t="s">
        <v>41</v>
      </c>
      <c r="D27" s="295"/>
      <c r="E27" s="298"/>
      <c r="F27" s="298"/>
      <c r="G27" s="298">
        <f t="shared" si="2"/>
        <v>0</v>
      </c>
      <c r="H27" s="298"/>
      <c r="I27" s="298"/>
      <c r="J27" s="298"/>
      <c r="K27" s="298"/>
      <c r="L27" s="298"/>
      <c r="M27" s="298"/>
      <c r="N27" s="298"/>
      <c r="O27" s="298"/>
      <c r="P27" s="298"/>
      <c r="Q27" s="299"/>
    </row>
    <row r="28" spans="1:17" ht="15" hidden="1" customHeight="1" x14ac:dyDescent="0.25">
      <c r="A28" s="293">
        <v>5019</v>
      </c>
      <c r="B28" s="294">
        <v>714300</v>
      </c>
      <c r="C28" s="295" t="s">
        <v>42</v>
      </c>
      <c r="D28" s="295"/>
      <c r="E28" s="298"/>
      <c r="F28" s="298"/>
      <c r="G28" s="298">
        <f t="shared" si="2"/>
        <v>0</v>
      </c>
      <c r="H28" s="298"/>
      <c r="I28" s="298"/>
      <c r="J28" s="298"/>
      <c r="K28" s="298"/>
      <c r="L28" s="298"/>
      <c r="M28" s="298"/>
      <c r="N28" s="298"/>
      <c r="O28" s="298"/>
      <c r="P28" s="298"/>
      <c r="Q28" s="299"/>
    </row>
    <row r="29" spans="1:17" ht="15" hidden="1" customHeight="1" x14ac:dyDescent="0.25">
      <c r="A29" s="293">
        <v>5020</v>
      </c>
      <c r="B29" s="294">
        <v>714400</v>
      </c>
      <c r="C29" s="295" t="s">
        <v>43</v>
      </c>
      <c r="D29" s="295"/>
      <c r="E29" s="298"/>
      <c r="F29" s="298"/>
      <c r="G29" s="298">
        <f t="shared" si="2"/>
        <v>0</v>
      </c>
      <c r="H29" s="298"/>
      <c r="I29" s="298"/>
      <c r="J29" s="298"/>
      <c r="K29" s="298"/>
      <c r="L29" s="298"/>
      <c r="M29" s="298"/>
      <c r="N29" s="298"/>
      <c r="O29" s="298"/>
      <c r="P29" s="298"/>
      <c r="Q29" s="299"/>
    </row>
    <row r="30" spans="1:17" ht="51.75" hidden="1" customHeight="1" x14ac:dyDescent="0.25">
      <c r="A30" s="293">
        <v>5021</v>
      </c>
      <c r="B30" s="294">
        <v>714500</v>
      </c>
      <c r="C30" s="295" t="s">
        <v>44</v>
      </c>
      <c r="D30" s="295"/>
      <c r="E30" s="298"/>
      <c r="F30" s="298"/>
      <c r="G30" s="298">
        <f t="shared" si="2"/>
        <v>0</v>
      </c>
      <c r="H30" s="298"/>
      <c r="I30" s="298"/>
      <c r="J30" s="298"/>
      <c r="K30" s="298"/>
      <c r="L30" s="298"/>
      <c r="M30" s="298"/>
      <c r="N30" s="298"/>
      <c r="O30" s="298"/>
      <c r="P30" s="298"/>
      <c r="Q30" s="299"/>
    </row>
    <row r="31" spans="1:17" ht="15" hidden="1" customHeight="1" x14ac:dyDescent="0.25">
      <c r="A31" s="293">
        <v>5022</v>
      </c>
      <c r="B31" s="294">
        <v>714600</v>
      </c>
      <c r="C31" s="295" t="s">
        <v>45</v>
      </c>
      <c r="D31" s="295"/>
      <c r="E31" s="298"/>
      <c r="F31" s="298"/>
      <c r="G31" s="298">
        <f t="shared" si="2"/>
        <v>0</v>
      </c>
      <c r="H31" s="298"/>
      <c r="I31" s="298"/>
      <c r="J31" s="298"/>
      <c r="K31" s="298"/>
      <c r="L31" s="298"/>
      <c r="M31" s="298"/>
      <c r="N31" s="298"/>
      <c r="O31" s="298"/>
      <c r="P31" s="298"/>
      <c r="Q31" s="299"/>
    </row>
    <row r="32" spans="1:17" ht="39" hidden="1" customHeight="1" x14ac:dyDescent="0.25">
      <c r="A32" s="502">
        <v>5023</v>
      </c>
      <c r="B32" s="494">
        <v>715000</v>
      </c>
      <c r="C32" s="287" t="s">
        <v>46</v>
      </c>
      <c r="D32" s="287"/>
      <c r="E32" s="291">
        <f>SUM(E33:E38)</f>
        <v>0</v>
      </c>
      <c r="F32" s="291"/>
      <c r="G32" s="291">
        <f t="shared" si="2"/>
        <v>0</v>
      </c>
      <c r="H32" s="291"/>
      <c r="I32" s="291">
        <f t="shared" ref="I32:Q32" si="8">SUM(I33:I38)</f>
        <v>0</v>
      </c>
      <c r="J32" s="291">
        <f t="shared" si="8"/>
        <v>0</v>
      </c>
      <c r="K32" s="291"/>
      <c r="L32" s="291">
        <f t="shared" si="8"/>
        <v>0</v>
      </c>
      <c r="M32" s="291"/>
      <c r="N32" s="291">
        <f t="shared" si="8"/>
        <v>0</v>
      </c>
      <c r="O32" s="291">
        <f t="shared" si="8"/>
        <v>0</v>
      </c>
      <c r="P32" s="291"/>
      <c r="Q32" s="292">
        <f t="shared" si="8"/>
        <v>0</v>
      </c>
    </row>
    <row r="33" spans="1:17" ht="15" hidden="1" customHeight="1" x14ac:dyDescent="0.25">
      <c r="A33" s="293">
        <v>5024</v>
      </c>
      <c r="B33" s="294">
        <v>715100</v>
      </c>
      <c r="C33" s="295" t="s">
        <v>47</v>
      </c>
      <c r="D33" s="295"/>
      <c r="E33" s="298"/>
      <c r="F33" s="298"/>
      <c r="G33" s="298">
        <f t="shared" si="2"/>
        <v>0</v>
      </c>
      <c r="H33" s="298"/>
      <c r="I33" s="298"/>
      <c r="J33" s="298"/>
      <c r="K33" s="298"/>
      <c r="L33" s="298"/>
      <c r="M33" s="298"/>
      <c r="N33" s="298"/>
      <c r="O33" s="298"/>
      <c r="P33" s="298"/>
      <c r="Q33" s="299"/>
    </row>
    <row r="34" spans="1:17" ht="15" hidden="1" customHeight="1" x14ac:dyDescent="0.25">
      <c r="A34" s="293">
        <v>5025</v>
      </c>
      <c r="B34" s="294">
        <v>715200</v>
      </c>
      <c r="C34" s="295" t="s">
        <v>48</v>
      </c>
      <c r="D34" s="295"/>
      <c r="E34" s="298"/>
      <c r="F34" s="298"/>
      <c r="G34" s="298">
        <f t="shared" si="2"/>
        <v>0</v>
      </c>
      <c r="H34" s="298"/>
      <c r="I34" s="298"/>
      <c r="J34" s="298"/>
      <c r="K34" s="298"/>
      <c r="L34" s="298"/>
      <c r="M34" s="298"/>
      <c r="N34" s="298"/>
      <c r="O34" s="298"/>
      <c r="P34" s="298"/>
      <c r="Q34" s="299"/>
    </row>
    <row r="35" spans="1:17" ht="26.25" hidden="1" x14ac:dyDescent="0.25">
      <c r="A35" s="293">
        <v>5026</v>
      </c>
      <c r="B35" s="294">
        <v>715300</v>
      </c>
      <c r="C35" s="295" t="s">
        <v>49</v>
      </c>
      <c r="D35" s="295"/>
      <c r="E35" s="298"/>
      <c r="F35" s="298"/>
      <c r="G35" s="298">
        <f t="shared" si="2"/>
        <v>0</v>
      </c>
      <c r="H35" s="298"/>
      <c r="I35" s="298"/>
      <c r="J35" s="298"/>
      <c r="K35" s="298"/>
      <c r="L35" s="298"/>
      <c r="M35" s="298"/>
      <c r="N35" s="298"/>
      <c r="O35" s="298"/>
      <c r="P35" s="298"/>
      <c r="Q35" s="299"/>
    </row>
    <row r="36" spans="1:17" ht="39" hidden="1" x14ac:dyDescent="0.25">
      <c r="A36" s="293">
        <v>5027</v>
      </c>
      <c r="B36" s="294">
        <v>715400</v>
      </c>
      <c r="C36" s="295" t="s">
        <v>50</v>
      </c>
      <c r="D36" s="295"/>
      <c r="E36" s="298"/>
      <c r="F36" s="298"/>
      <c r="G36" s="298">
        <f t="shared" si="2"/>
        <v>0</v>
      </c>
      <c r="H36" s="298"/>
      <c r="I36" s="298"/>
      <c r="J36" s="298"/>
      <c r="K36" s="298"/>
      <c r="L36" s="298"/>
      <c r="M36" s="298"/>
      <c r="N36" s="298"/>
      <c r="O36" s="298"/>
      <c r="P36" s="298"/>
      <c r="Q36" s="299"/>
    </row>
    <row r="37" spans="1:17" ht="26.25" hidden="1" x14ac:dyDescent="0.25">
      <c r="A37" s="293">
        <v>5028</v>
      </c>
      <c r="B37" s="294">
        <v>715500</v>
      </c>
      <c r="C37" s="295" t="s">
        <v>51</v>
      </c>
      <c r="D37" s="295"/>
      <c r="E37" s="298"/>
      <c r="F37" s="298"/>
      <c r="G37" s="298">
        <f t="shared" si="2"/>
        <v>0</v>
      </c>
      <c r="H37" s="298"/>
      <c r="I37" s="298"/>
      <c r="J37" s="298"/>
      <c r="K37" s="298"/>
      <c r="L37" s="298"/>
      <c r="M37" s="298"/>
      <c r="N37" s="298"/>
      <c r="O37" s="298"/>
      <c r="P37" s="298"/>
      <c r="Q37" s="299"/>
    </row>
    <row r="38" spans="1:17" ht="26.25" hidden="1" x14ac:dyDescent="0.25">
      <c r="A38" s="293">
        <v>5029</v>
      </c>
      <c r="B38" s="294">
        <v>715600</v>
      </c>
      <c r="C38" s="295" t="s">
        <v>52</v>
      </c>
      <c r="D38" s="295"/>
      <c r="E38" s="298"/>
      <c r="F38" s="298"/>
      <c r="G38" s="298">
        <f t="shared" si="2"/>
        <v>0</v>
      </c>
      <c r="H38" s="298"/>
      <c r="I38" s="298"/>
      <c r="J38" s="298"/>
      <c r="K38" s="298"/>
      <c r="L38" s="298"/>
      <c r="M38" s="298"/>
      <c r="N38" s="298"/>
      <c r="O38" s="298"/>
      <c r="P38" s="298"/>
      <c r="Q38" s="299"/>
    </row>
    <row r="39" spans="1:17" hidden="1" x14ac:dyDescent="0.25">
      <c r="A39" s="502">
        <v>5030</v>
      </c>
      <c r="B39" s="494">
        <v>716000</v>
      </c>
      <c r="C39" s="287" t="s">
        <v>53</v>
      </c>
      <c r="D39" s="287"/>
      <c r="E39" s="291">
        <f>E40+E41</f>
        <v>0</v>
      </c>
      <c r="F39" s="291"/>
      <c r="G39" s="291">
        <f t="shared" si="2"/>
        <v>0</v>
      </c>
      <c r="H39" s="291"/>
      <c r="I39" s="291">
        <f t="shared" ref="I39:Q39" si="9">I40+I41</f>
        <v>0</v>
      </c>
      <c r="J39" s="291">
        <f t="shared" si="9"/>
        <v>0</v>
      </c>
      <c r="K39" s="291"/>
      <c r="L39" s="291">
        <f t="shared" si="9"/>
        <v>0</v>
      </c>
      <c r="M39" s="291"/>
      <c r="N39" s="291">
        <f t="shared" si="9"/>
        <v>0</v>
      </c>
      <c r="O39" s="291">
        <f t="shared" si="9"/>
        <v>0</v>
      </c>
      <c r="P39" s="291"/>
      <c r="Q39" s="292">
        <f t="shared" si="9"/>
        <v>0</v>
      </c>
    </row>
    <row r="40" spans="1:17" ht="39" hidden="1" x14ac:dyDescent="0.25">
      <c r="A40" s="293">
        <v>5031</v>
      </c>
      <c r="B40" s="294">
        <v>716100</v>
      </c>
      <c r="C40" s="295" t="s">
        <v>54</v>
      </c>
      <c r="D40" s="295"/>
      <c r="E40" s="298"/>
      <c r="F40" s="298"/>
      <c r="G40" s="298">
        <f t="shared" si="2"/>
        <v>0</v>
      </c>
      <c r="H40" s="298"/>
      <c r="I40" s="298"/>
      <c r="J40" s="298"/>
      <c r="K40" s="298"/>
      <c r="L40" s="298"/>
      <c r="M40" s="298"/>
      <c r="N40" s="298"/>
      <c r="O40" s="298"/>
      <c r="P40" s="298"/>
      <c r="Q40" s="299"/>
    </row>
    <row r="41" spans="1:17" ht="39" hidden="1" x14ac:dyDescent="0.25">
      <c r="A41" s="293">
        <v>5032</v>
      </c>
      <c r="B41" s="294">
        <v>716200</v>
      </c>
      <c r="C41" s="295" t="s">
        <v>55</v>
      </c>
      <c r="D41" s="295"/>
      <c r="E41" s="298"/>
      <c r="F41" s="298"/>
      <c r="G41" s="298">
        <f t="shared" si="2"/>
        <v>0</v>
      </c>
      <c r="H41" s="298"/>
      <c r="I41" s="298"/>
      <c r="J41" s="298"/>
      <c r="K41" s="298"/>
      <c r="L41" s="298"/>
      <c r="M41" s="298"/>
      <c r="N41" s="298"/>
      <c r="O41" s="298"/>
      <c r="P41" s="298"/>
      <c r="Q41" s="299"/>
    </row>
    <row r="42" spans="1:17" hidden="1" x14ac:dyDescent="0.25">
      <c r="A42" s="502">
        <v>5033</v>
      </c>
      <c r="B42" s="494">
        <v>717000</v>
      </c>
      <c r="C42" s="287" t="s">
        <v>56</v>
      </c>
      <c r="D42" s="287"/>
      <c r="E42" s="291">
        <f>SUM(E47:E52)</f>
        <v>0</v>
      </c>
      <c r="F42" s="291"/>
      <c r="G42" s="291">
        <f t="shared" ref="G42:G83" si="10">SUM(I42:Q42)</f>
        <v>0</v>
      </c>
      <c r="H42" s="291"/>
      <c r="I42" s="291">
        <f t="shared" ref="I42:Q42" si="11">SUM(I47:I52)</f>
        <v>0</v>
      </c>
      <c r="J42" s="291">
        <f t="shared" si="11"/>
        <v>0</v>
      </c>
      <c r="K42" s="291"/>
      <c r="L42" s="291">
        <f t="shared" si="11"/>
        <v>0</v>
      </c>
      <c r="M42" s="291"/>
      <c r="N42" s="291">
        <f t="shared" si="11"/>
        <v>0</v>
      </c>
      <c r="O42" s="291">
        <f t="shared" si="11"/>
        <v>0</v>
      </c>
      <c r="P42" s="291"/>
      <c r="Q42" s="292">
        <f t="shared" si="11"/>
        <v>0</v>
      </c>
    </row>
    <row r="43" spans="1:17" hidden="1" x14ac:dyDescent="0.25">
      <c r="A43" s="663" t="s">
        <v>0</v>
      </c>
      <c r="B43" s="657" t="s">
        <v>1</v>
      </c>
      <c r="C43" s="656" t="s">
        <v>2</v>
      </c>
      <c r="D43" s="492"/>
      <c r="E43" s="666" t="s">
        <v>3</v>
      </c>
      <c r="F43" s="498"/>
      <c r="G43" s="666" t="s">
        <v>4</v>
      </c>
      <c r="H43" s="666"/>
      <c r="I43" s="666"/>
      <c r="J43" s="666"/>
      <c r="K43" s="666"/>
      <c r="L43" s="666"/>
      <c r="M43" s="666"/>
      <c r="N43" s="666"/>
      <c r="O43" s="666"/>
      <c r="P43" s="666"/>
      <c r="Q43" s="667"/>
    </row>
    <row r="44" spans="1:17" hidden="1" x14ac:dyDescent="0.25">
      <c r="A44" s="663"/>
      <c r="B44" s="657"/>
      <c r="C44" s="656"/>
      <c r="D44" s="492"/>
      <c r="E44" s="666"/>
      <c r="F44" s="498"/>
      <c r="G44" s="656" t="s">
        <v>5</v>
      </c>
      <c r="H44" s="492"/>
      <c r="I44" s="666" t="s">
        <v>6</v>
      </c>
      <c r="J44" s="666"/>
      <c r="K44" s="666"/>
      <c r="L44" s="666"/>
      <c r="M44" s="666"/>
      <c r="N44" s="666"/>
      <c r="O44" s="666" t="s">
        <v>7</v>
      </c>
      <c r="P44" s="498"/>
      <c r="Q44" s="667" t="s">
        <v>8</v>
      </c>
    </row>
    <row r="45" spans="1:17" ht="39" hidden="1" x14ac:dyDescent="0.25">
      <c r="A45" s="663"/>
      <c r="B45" s="657"/>
      <c r="C45" s="656"/>
      <c r="D45" s="492"/>
      <c r="E45" s="666"/>
      <c r="F45" s="498"/>
      <c r="G45" s="656"/>
      <c r="H45" s="492"/>
      <c r="I45" s="498" t="s">
        <v>9</v>
      </c>
      <c r="J45" s="498" t="s">
        <v>10</v>
      </c>
      <c r="K45" s="498"/>
      <c r="L45" s="498" t="s">
        <v>11</v>
      </c>
      <c r="M45" s="498"/>
      <c r="N45" s="498" t="s">
        <v>12</v>
      </c>
      <c r="O45" s="666"/>
      <c r="P45" s="498"/>
      <c r="Q45" s="667"/>
    </row>
    <row r="46" spans="1:17" ht="26.25" hidden="1" x14ac:dyDescent="0.25">
      <c r="A46" s="304" t="s">
        <v>18</v>
      </c>
      <c r="B46" s="493" t="s">
        <v>19</v>
      </c>
      <c r="C46" s="493" t="s">
        <v>20</v>
      </c>
      <c r="D46" s="493"/>
      <c r="E46" s="493" t="s">
        <v>21</v>
      </c>
      <c r="F46" s="493"/>
      <c r="G46" s="493" t="s">
        <v>22</v>
      </c>
      <c r="H46" s="493"/>
      <c r="I46" s="493" t="s">
        <v>23</v>
      </c>
      <c r="J46" s="493" t="s">
        <v>24</v>
      </c>
      <c r="K46" s="493"/>
      <c r="L46" s="493" t="s">
        <v>25</v>
      </c>
      <c r="M46" s="493"/>
      <c r="N46" s="493" t="s">
        <v>26</v>
      </c>
      <c r="O46" s="493" t="s">
        <v>27</v>
      </c>
      <c r="P46" s="493"/>
      <c r="Q46" s="310" t="s">
        <v>28</v>
      </c>
    </row>
    <row r="47" spans="1:17" hidden="1" x14ac:dyDescent="0.25">
      <c r="A47" s="293">
        <v>5034</v>
      </c>
      <c r="B47" s="294">
        <v>717100</v>
      </c>
      <c r="C47" s="295" t="s">
        <v>57</v>
      </c>
      <c r="D47" s="295"/>
      <c r="E47" s="298"/>
      <c r="F47" s="298"/>
      <c r="G47" s="298">
        <f t="shared" si="10"/>
        <v>0</v>
      </c>
      <c r="H47" s="298"/>
      <c r="I47" s="298"/>
      <c r="J47" s="298"/>
      <c r="K47" s="298"/>
      <c r="L47" s="298"/>
      <c r="M47" s="298"/>
      <c r="N47" s="298"/>
      <c r="O47" s="298"/>
      <c r="P47" s="298"/>
      <c r="Q47" s="299"/>
    </row>
    <row r="48" spans="1:17" hidden="1" x14ac:dyDescent="0.25">
      <c r="A48" s="293">
        <v>5035</v>
      </c>
      <c r="B48" s="294">
        <v>717200</v>
      </c>
      <c r="C48" s="295" t="s">
        <v>58</v>
      </c>
      <c r="D48" s="295"/>
      <c r="E48" s="298"/>
      <c r="F48" s="298"/>
      <c r="G48" s="298">
        <f t="shared" si="10"/>
        <v>0</v>
      </c>
      <c r="H48" s="298"/>
      <c r="I48" s="298"/>
      <c r="J48" s="298"/>
      <c r="K48" s="298"/>
      <c r="L48" s="298"/>
      <c r="M48" s="298"/>
      <c r="N48" s="298"/>
      <c r="O48" s="298"/>
      <c r="P48" s="298"/>
      <c r="Q48" s="299"/>
    </row>
    <row r="49" spans="1:17" hidden="1" x14ac:dyDescent="0.25">
      <c r="A49" s="293">
        <v>5036</v>
      </c>
      <c r="B49" s="294">
        <v>717300</v>
      </c>
      <c r="C49" s="295" t="s">
        <v>59</v>
      </c>
      <c r="D49" s="295"/>
      <c r="E49" s="298"/>
      <c r="F49" s="298"/>
      <c r="G49" s="298">
        <f t="shared" si="10"/>
        <v>0</v>
      </c>
      <c r="H49" s="298"/>
      <c r="I49" s="298"/>
      <c r="J49" s="298"/>
      <c r="K49" s="298"/>
      <c r="L49" s="298"/>
      <c r="M49" s="298"/>
      <c r="N49" s="298"/>
      <c r="O49" s="298"/>
      <c r="P49" s="298"/>
      <c r="Q49" s="299"/>
    </row>
    <row r="50" spans="1:17" ht="26.25" hidden="1" x14ac:dyDescent="0.25">
      <c r="A50" s="293">
        <v>5037</v>
      </c>
      <c r="B50" s="294">
        <v>717400</v>
      </c>
      <c r="C50" s="295" t="s">
        <v>60</v>
      </c>
      <c r="D50" s="295"/>
      <c r="E50" s="298"/>
      <c r="F50" s="298"/>
      <c r="G50" s="298">
        <f t="shared" si="10"/>
        <v>0</v>
      </c>
      <c r="H50" s="298"/>
      <c r="I50" s="298"/>
      <c r="J50" s="298"/>
      <c r="K50" s="298"/>
      <c r="L50" s="298"/>
      <c r="M50" s="298"/>
      <c r="N50" s="298"/>
      <c r="O50" s="298"/>
      <c r="P50" s="298"/>
      <c r="Q50" s="299"/>
    </row>
    <row r="51" spans="1:17" hidden="1" x14ac:dyDescent="0.25">
      <c r="A51" s="293">
        <v>5038</v>
      </c>
      <c r="B51" s="294">
        <v>717500</v>
      </c>
      <c r="C51" s="295" t="s">
        <v>61</v>
      </c>
      <c r="D51" s="295"/>
      <c r="E51" s="298"/>
      <c r="F51" s="298"/>
      <c r="G51" s="298">
        <f t="shared" si="10"/>
        <v>0</v>
      </c>
      <c r="H51" s="298"/>
      <c r="I51" s="298"/>
      <c r="J51" s="298"/>
      <c r="K51" s="298"/>
      <c r="L51" s="298"/>
      <c r="M51" s="298"/>
      <c r="N51" s="298"/>
      <c r="O51" s="298"/>
      <c r="P51" s="298"/>
      <c r="Q51" s="299"/>
    </row>
    <row r="52" spans="1:17" hidden="1" x14ac:dyDescent="0.25">
      <c r="A52" s="293">
        <v>5039</v>
      </c>
      <c r="B52" s="294">
        <v>717600</v>
      </c>
      <c r="C52" s="295" t="s">
        <v>62</v>
      </c>
      <c r="D52" s="295"/>
      <c r="E52" s="298"/>
      <c r="F52" s="298"/>
      <c r="G52" s="298">
        <f t="shared" si="10"/>
        <v>0</v>
      </c>
      <c r="H52" s="298"/>
      <c r="I52" s="298"/>
      <c r="J52" s="298"/>
      <c r="K52" s="298"/>
      <c r="L52" s="298"/>
      <c r="M52" s="298"/>
      <c r="N52" s="298"/>
      <c r="O52" s="298"/>
      <c r="P52" s="298"/>
      <c r="Q52" s="299"/>
    </row>
    <row r="53" spans="1:17" ht="77.25" hidden="1" x14ac:dyDescent="0.25">
      <c r="A53" s="502">
        <v>5040</v>
      </c>
      <c r="B53" s="494">
        <v>719000</v>
      </c>
      <c r="C53" s="287" t="s">
        <v>63</v>
      </c>
      <c r="D53" s="287"/>
      <c r="E53" s="291">
        <f>SUM(E54:E59)</f>
        <v>0</v>
      </c>
      <c r="F53" s="291"/>
      <c r="G53" s="291">
        <f t="shared" si="10"/>
        <v>0</v>
      </c>
      <c r="H53" s="291"/>
      <c r="I53" s="291">
        <f t="shared" ref="I53:Q53" si="12">SUM(I54:I59)</f>
        <v>0</v>
      </c>
      <c r="J53" s="291">
        <f t="shared" si="12"/>
        <v>0</v>
      </c>
      <c r="K53" s="291"/>
      <c r="L53" s="291">
        <f t="shared" si="12"/>
        <v>0</v>
      </c>
      <c r="M53" s="291"/>
      <c r="N53" s="291">
        <f t="shared" si="12"/>
        <v>0</v>
      </c>
      <c r="O53" s="291">
        <f t="shared" si="12"/>
        <v>0</v>
      </c>
      <c r="P53" s="291"/>
      <c r="Q53" s="292">
        <f t="shared" si="12"/>
        <v>0</v>
      </c>
    </row>
    <row r="54" spans="1:17" ht="39" hidden="1" x14ac:dyDescent="0.25">
      <c r="A54" s="293">
        <v>5041</v>
      </c>
      <c r="B54" s="294">
        <v>719100</v>
      </c>
      <c r="C54" s="295" t="s">
        <v>64</v>
      </c>
      <c r="D54" s="295"/>
      <c r="E54" s="298"/>
      <c r="F54" s="298"/>
      <c r="G54" s="298">
        <f t="shared" si="10"/>
        <v>0</v>
      </c>
      <c r="H54" s="298"/>
      <c r="I54" s="298"/>
      <c r="J54" s="298"/>
      <c r="K54" s="298"/>
      <c r="L54" s="298"/>
      <c r="M54" s="298"/>
      <c r="N54" s="298"/>
      <c r="O54" s="298"/>
      <c r="P54" s="298"/>
      <c r="Q54" s="299"/>
    </row>
    <row r="55" spans="1:17" ht="51.75" hidden="1" x14ac:dyDescent="0.25">
      <c r="A55" s="293">
        <v>5042</v>
      </c>
      <c r="B55" s="294">
        <v>719200</v>
      </c>
      <c r="C55" s="295" t="s">
        <v>65</v>
      </c>
      <c r="D55" s="295"/>
      <c r="E55" s="298"/>
      <c r="F55" s="298"/>
      <c r="G55" s="298">
        <f t="shared" si="10"/>
        <v>0</v>
      </c>
      <c r="H55" s="298"/>
      <c r="I55" s="298"/>
      <c r="J55" s="298"/>
      <c r="K55" s="298"/>
      <c r="L55" s="298"/>
      <c r="M55" s="298"/>
      <c r="N55" s="298"/>
      <c r="O55" s="298"/>
      <c r="P55" s="298"/>
      <c r="Q55" s="299"/>
    </row>
    <row r="56" spans="1:17" ht="39" hidden="1" x14ac:dyDescent="0.25">
      <c r="A56" s="293">
        <v>5043</v>
      </c>
      <c r="B56" s="294">
        <v>719300</v>
      </c>
      <c r="C56" s="295" t="s">
        <v>66</v>
      </c>
      <c r="D56" s="295"/>
      <c r="E56" s="298"/>
      <c r="F56" s="298"/>
      <c r="G56" s="298">
        <f t="shared" si="10"/>
        <v>0</v>
      </c>
      <c r="H56" s="298"/>
      <c r="I56" s="298"/>
      <c r="J56" s="298"/>
      <c r="K56" s="298"/>
      <c r="L56" s="298"/>
      <c r="M56" s="298"/>
      <c r="N56" s="298"/>
      <c r="O56" s="298"/>
      <c r="P56" s="298"/>
      <c r="Q56" s="299"/>
    </row>
    <row r="57" spans="1:17" ht="26.25" hidden="1" x14ac:dyDescent="0.25">
      <c r="A57" s="293">
        <v>5044</v>
      </c>
      <c r="B57" s="294">
        <v>719400</v>
      </c>
      <c r="C57" s="295" t="s">
        <v>67</v>
      </c>
      <c r="D57" s="295"/>
      <c r="E57" s="298"/>
      <c r="F57" s="298"/>
      <c r="G57" s="298">
        <f t="shared" si="10"/>
        <v>0</v>
      </c>
      <c r="H57" s="298"/>
      <c r="I57" s="298"/>
      <c r="J57" s="298"/>
      <c r="K57" s="298"/>
      <c r="L57" s="298"/>
      <c r="M57" s="298"/>
      <c r="N57" s="298"/>
      <c r="O57" s="298"/>
      <c r="P57" s="298"/>
      <c r="Q57" s="299"/>
    </row>
    <row r="58" spans="1:17" ht="39" hidden="1" x14ac:dyDescent="0.25">
      <c r="A58" s="293">
        <v>5045</v>
      </c>
      <c r="B58" s="294">
        <v>719500</v>
      </c>
      <c r="C58" s="295" t="s">
        <v>68</v>
      </c>
      <c r="D58" s="295"/>
      <c r="E58" s="298"/>
      <c r="F58" s="298"/>
      <c r="G58" s="298">
        <f t="shared" si="10"/>
        <v>0</v>
      </c>
      <c r="H58" s="298"/>
      <c r="I58" s="298"/>
      <c r="J58" s="298"/>
      <c r="K58" s="298"/>
      <c r="L58" s="298"/>
      <c r="M58" s="298"/>
      <c r="N58" s="298"/>
      <c r="O58" s="298"/>
      <c r="P58" s="298"/>
      <c r="Q58" s="299"/>
    </row>
    <row r="59" spans="1:17" ht="26.25" hidden="1" x14ac:dyDescent="0.25">
      <c r="A59" s="293">
        <v>5046</v>
      </c>
      <c r="B59" s="294">
        <v>719600</v>
      </c>
      <c r="C59" s="295" t="s">
        <v>69</v>
      </c>
      <c r="D59" s="295"/>
      <c r="E59" s="298"/>
      <c r="F59" s="298"/>
      <c r="G59" s="298">
        <f t="shared" si="10"/>
        <v>0</v>
      </c>
      <c r="H59" s="298"/>
      <c r="I59" s="298"/>
      <c r="J59" s="298"/>
      <c r="K59" s="298"/>
      <c r="L59" s="298"/>
      <c r="M59" s="298"/>
      <c r="N59" s="298"/>
      <c r="O59" s="298"/>
      <c r="P59" s="298"/>
      <c r="Q59" s="299"/>
    </row>
    <row r="60" spans="1:17" ht="26.25" hidden="1" x14ac:dyDescent="0.25">
      <c r="A60" s="502">
        <v>5047</v>
      </c>
      <c r="B60" s="494">
        <v>720000</v>
      </c>
      <c r="C60" s="287" t="s">
        <v>70</v>
      </c>
      <c r="D60" s="287"/>
      <c r="E60" s="288">
        <f>E61+E66</f>
        <v>0</v>
      </c>
      <c r="F60" s="288"/>
      <c r="G60" s="288">
        <f t="shared" si="10"/>
        <v>0</v>
      </c>
      <c r="H60" s="288"/>
      <c r="I60" s="288">
        <f t="shared" ref="I60:Q60" si="13">I61+I66</f>
        <v>0</v>
      </c>
      <c r="J60" s="288">
        <f t="shared" si="13"/>
        <v>0</v>
      </c>
      <c r="K60" s="288"/>
      <c r="L60" s="288">
        <f t="shared" si="13"/>
        <v>0</v>
      </c>
      <c r="M60" s="288"/>
      <c r="N60" s="288">
        <f t="shared" si="13"/>
        <v>0</v>
      </c>
      <c r="O60" s="288">
        <f t="shared" si="13"/>
        <v>0</v>
      </c>
      <c r="P60" s="288"/>
      <c r="Q60" s="289">
        <f t="shared" si="13"/>
        <v>0</v>
      </c>
    </row>
    <row r="61" spans="1:17" ht="26.25" hidden="1" x14ac:dyDescent="0.25">
      <c r="A61" s="502">
        <v>5048</v>
      </c>
      <c r="B61" s="494">
        <v>721000</v>
      </c>
      <c r="C61" s="287" t="s">
        <v>71</v>
      </c>
      <c r="D61" s="287"/>
      <c r="E61" s="288">
        <f>SUM(E62:E65)</f>
        <v>0</v>
      </c>
      <c r="F61" s="288"/>
      <c r="G61" s="288">
        <f t="shared" si="10"/>
        <v>0</v>
      </c>
      <c r="H61" s="288"/>
      <c r="I61" s="288">
        <f t="shared" ref="I61:Q61" si="14">SUM(I62:I65)</f>
        <v>0</v>
      </c>
      <c r="J61" s="288">
        <f t="shared" si="14"/>
        <v>0</v>
      </c>
      <c r="K61" s="288"/>
      <c r="L61" s="288">
        <f t="shared" si="14"/>
        <v>0</v>
      </c>
      <c r="M61" s="288"/>
      <c r="N61" s="288">
        <f t="shared" si="14"/>
        <v>0</v>
      </c>
      <c r="O61" s="288">
        <f t="shared" si="14"/>
        <v>0</v>
      </c>
      <c r="P61" s="288"/>
      <c r="Q61" s="289">
        <f t="shared" si="14"/>
        <v>0</v>
      </c>
    </row>
    <row r="62" spans="1:17" ht="26.25" hidden="1" x14ac:dyDescent="0.25">
      <c r="A62" s="293">
        <v>5049</v>
      </c>
      <c r="B62" s="294">
        <v>721100</v>
      </c>
      <c r="C62" s="295" t="s">
        <v>72</v>
      </c>
      <c r="D62" s="295"/>
      <c r="E62" s="277"/>
      <c r="F62" s="277"/>
      <c r="G62" s="311">
        <f t="shared" si="10"/>
        <v>0</v>
      </c>
      <c r="H62" s="311"/>
      <c r="I62" s="277"/>
      <c r="J62" s="277"/>
      <c r="K62" s="277"/>
      <c r="L62" s="277"/>
      <c r="M62" s="277"/>
      <c r="N62" s="277"/>
      <c r="O62" s="277"/>
      <c r="P62" s="277"/>
      <c r="Q62" s="312"/>
    </row>
    <row r="63" spans="1:17" ht="26.25" hidden="1" x14ac:dyDescent="0.25">
      <c r="A63" s="293">
        <v>5050</v>
      </c>
      <c r="B63" s="294">
        <v>721200</v>
      </c>
      <c r="C63" s="295" t="s">
        <v>73</v>
      </c>
      <c r="D63" s="295"/>
      <c r="E63" s="277"/>
      <c r="F63" s="277"/>
      <c r="G63" s="311">
        <f t="shared" si="10"/>
        <v>0</v>
      </c>
      <c r="H63" s="311"/>
      <c r="I63" s="277"/>
      <c r="J63" s="277"/>
      <c r="K63" s="277"/>
      <c r="L63" s="277"/>
      <c r="M63" s="277"/>
      <c r="N63" s="277"/>
      <c r="O63" s="277"/>
      <c r="P63" s="277"/>
      <c r="Q63" s="312"/>
    </row>
    <row r="64" spans="1:17" ht="51.75" hidden="1" x14ac:dyDescent="0.25">
      <c r="A64" s="293">
        <v>5051</v>
      </c>
      <c r="B64" s="294">
        <v>721300</v>
      </c>
      <c r="C64" s="295" t="s">
        <v>74</v>
      </c>
      <c r="D64" s="295"/>
      <c r="E64" s="277"/>
      <c r="F64" s="277"/>
      <c r="G64" s="311">
        <f t="shared" si="10"/>
        <v>0</v>
      </c>
      <c r="H64" s="311"/>
      <c r="I64" s="277"/>
      <c r="J64" s="277"/>
      <c r="K64" s="277"/>
      <c r="L64" s="277"/>
      <c r="M64" s="277"/>
      <c r="N64" s="277"/>
      <c r="O64" s="277"/>
      <c r="P64" s="277"/>
      <c r="Q64" s="312"/>
    </row>
    <row r="65" spans="1:17" ht="39" hidden="1" x14ac:dyDescent="0.25">
      <c r="A65" s="293">
        <v>5052</v>
      </c>
      <c r="B65" s="294">
        <v>721400</v>
      </c>
      <c r="C65" s="295" t="s">
        <v>75</v>
      </c>
      <c r="D65" s="295"/>
      <c r="E65" s="277"/>
      <c r="F65" s="277"/>
      <c r="G65" s="311">
        <f t="shared" si="10"/>
        <v>0</v>
      </c>
      <c r="H65" s="311"/>
      <c r="I65" s="277"/>
      <c r="J65" s="277"/>
      <c r="K65" s="277"/>
      <c r="L65" s="277"/>
      <c r="M65" s="277"/>
      <c r="N65" s="277"/>
      <c r="O65" s="277"/>
      <c r="P65" s="277"/>
      <c r="Q65" s="312"/>
    </row>
    <row r="66" spans="1:17" ht="26.25" hidden="1" x14ac:dyDescent="0.25">
      <c r="A66" s="502">
        <v>5053</v>
      </c>
      <c r="B66" s="494">
        <v>722000</v>
      </c>
      <c r="C66" s="287" t="s">
        <v>76</v>
      </c>
      <c r="D66" s="287"/>
      <c r="E66" s="288">
        <f>SUM(E67:E69)</f>
        <v>0</v>
      </c>
      <c r="F66" s="288"/>
      <c r="G66" s="288">
        <f t="shared" si="10"/>
        <v>0</v>
      </c>
      <c r="H66" s="288"/>
      <c r="I66" s="288">
        <f t="shared" ref="I66:Q66" si="15">SUM(I67:I69)</f>
        <v>0</v>
      </c>
      <c r="J66" s="288">
        <f t="shared" si="15"/>
        <v>0</v>
      </c>
      <c r="K66" s="288"/>
      <c r="L66" s="288">
        <f t="shared" si="15"/>
        <v>0</v>
      </c>
      <c r="M66" s="288"/>
      <c r="N66" s="288">
        <f t="shared" si="15"/>
        <v>0</v>
      </c>
      <c r="O66" s="288">
        <f t="shared" si="15"/>
        <v>0</v>
      </c>
      <c r="P66" s="288"/>
      <c r="Q66" s="289">
        <f t="shared" si="15"/>
        <v>0</v>
      </c>
    </row>
    <row r="67" spans="1:17" ht="26.25" hidden="1" x14ac:dyDescent="0.25">
      <c r="A67" s="293">
        <v>5054</v>
      </c>
      <c r="B67" s="294">
        <v>722100</v>
      </c>
      <c r="C67" s="295" t="s">
        <v>77</v>
      </c>
      <c r="D67" s="295"/>
      <c r="E67" s="277"/>
      <c r="F67" s="277"/>
      <c r="G67" s="311">
        <f t="shared" si="10"/>
        <v>0</v>
      </c>
      <c r="H67" s="311"/>
      <c r="I67" s="277"/>
      <c r="J67" s="277"/>
      <c r="K67" s="277"/>
      <c r="L67" s="277"/>
      <c r="M67" s="277"/>
      <c r="N67" s="277"/>
      <c r="O67" s="277"/>
      <c r="P67" s="277"/>
      <c r="Q67" s="312"/>
    </row>
    <row r="68" spans="1:17" ht="26.25" hidden="1" x14ac:dyDescent="0.25">
      <c r="A68" s="293">
        <v>5055</v>
      </c>
      <c r="B68" s="294">
        <v>722200</v>
      </c>
      <c r="C68" s="295" t="s">
        <v>78</v>
      </c>
      <c r="D68" s="295"/>
      <c r="E68" s="277"/>
      <c r="F68" s="277"/>
      <c r="G68" s="311">
        <f t="shared" si="10"/>
        <v>0</v>
      </c>
      <c r="H68" s="311"/>
      <c r="I68" s="277"/>
      <c r="J68" s="277"/>
      <c r="K68" s="277"/>
      <c r="L68" s="277"/>
      <c r="M68" s="277"/>
      <c r="N68" s="277"/>
      <c r="O68" s="277"/>
      <c r="P68" s="277"/>
      <c r="Q68" s="312"/>
    </row>
    <row r="69" spans="1:17" ht="26.25" hidden="1" x14ac:dyDescent="0.25">
      <c r="A69" s="293">
        <v>5056</v>
      </c>
      <c r="B69" s="294">
        <v>722300</v>
      </c>
      <c r="C69" s="295" t="s">
        <v>79</v>
      </c>
      <c r="D69" s="295"/>
      <c r="E69" s="277"/>
      <c r="F69" s="277"/>
      <c r="G69" s="311">
        <f t="shared" si="10"/>
        <v>0</v>
      </c>
      <c r="H69" s="311"/>
      <c r="I69" s="277"/>
      <c r="J69" s="277"/>
      <c r="K69" s="277"/>
      <c r="L69" s="277"/>
      <c r="M69" s="277"/>
      <c r="N69" s="277"/>
      <c r="O69" s="277"/>
      <c r="P69" s="277"/>
      <c r="Q69" s="312"/>
    </row>
    <row r="70" spans="1:17" hidden="1" x14ac:dyDescent="0.25">
      <c r="A70" s="663" t="s">
        <v>0</v>
      </c>
      <c r="B70" s="657" t="s">
        <v>1</v>
      </c>
      <c r="C70" s="656" t="s">
        <v>2</v>
      </c>
      <c r="D70" s="492"/>
      <c r="E70" s="658" t="s">
        <v>3</v>
      </c>
      <c r="F70" s="494"/>
      <c r="G70" s="658" t="s">
        <v>4</v>
      </c>
      <c r="H70" s="658"/>
      <c r="I70" s="658"/>
      <c r="J70" s="658"/>
      <c r="K70" s="658"/>
      <c r="L70" s="658"/>
      <c r="M70" s="658"/>
      <c r="N70" s="658"/>
      <c r="O70" s="658"/>
      <c r="P70" s="658"/>
      <c r="Q70" s="664"/>
    </row>
    <row r="71" spans="1:17" hidden="1" x14ac:dyDescent="0.25">
      <c r="A71" s="663"/>
      <c r="B71" s="657"/>
      <c r="C71" s="656"/>
      <c r="D71" s="492"/>
      <c r="E71" s="658"/>
      <c r="F71" s="494"/>
      <c r="G71" s="665" t="s">
        <v>5</v>
      </c>
      <c r="H71" s="497"/>
      <c r="I71" s="658" t="s">
        <v>6</v>
      </c>
      <c r="J71" s="658"/>
      <c r="K71" s="658"/>
      <c r="L71" s="658"/>
      <c r="M71" s="658"/>
      <c r="N71" s="658"/>
      <c r="O71" s="658" t="s">
        <v>7</v>
      </c>
      <c r="P71" s="494"/>
      <c r="Q71" s="664" t="s">
        <v>8</v>
      </c>
    </row>
    <row r="72" spans="1:17" ht="39" hidden="1" x14ac:dyDescent="0.25">
      <c r="A72" s="663"/>
      <c r="B72" s="657"/>
      <c r="C72" s="656"/>
      <c r="D72" s="492"/>
      <c r="E72" s="658"/>
      <c r="F72" s="494"/>
      <c r="G72" s="665"/>
      <c r="H72" s="497"/>
      <c r="I72" s="494" t="s">
        <v>9</v>
      </c>
      <c r="J72" s="494" t="s">
        <v>10</v>
      </c>
      <c r="K72" s="494"/>
      <c r="L72" s="494" t="s">
        <v>11</v>
      </c>
      <c r="M72" s="494"/>
      <c r="N72" s="494" t="s">
        <v>12</v>
      </c>
      <c r="O72" s="658"/>
      <c r="P72" s="494"/>
      <c r="Q72" s="664"/>
    </row>
    <row r="73" spans="1:17" ht="26.25" hidden="1" x14ac:dyDescent="0.25">
      <c r="A73" s="304" t="s">
        <v>18</v>
      </c>
      <c r="B73" s="493" t="s">
        <v>19</v>
      </c>
      <c r="C73" s="493" t="s">
        <v>20</v>
      </c>
      <c r="D73" s="493"/>
      <c r="E73" s="306" t="s">
        <v>21</v>
      </c>
      <c r="F73" s="306"/>
      <c r="G73" s="306" t="s">
        <v>22</v>
      </c>
      <c r="H73" s="306"/>
      <c r="I73" s="306" t="s">
        <v>23</v>
      </c>
      <c r="J73" s="306" t="s">
        <v>24</v>
      </c>
      <c r="K73" s="306"/>
      <c r="L73" s="306" t="s">
        <v>25</v>
      </c>
      <c r="M73" s="306"/>
      <c r="N73" s="306" t="s">
        <v>26</v>
      </c>
      <c r="O73" s="306" t="s">
        <v>27</v>
      </c>
      <c r="P73" s="306"/>
      <c r="Q73" s="307" t="s">
        <v>28</v>
      </c>
    </row>
    <row r="74" spans="1:17" ht="39" hidden="1" x14ac:dyDescent="0.25">
      <c r="A74" s="502">
        <v>5057</v>
      </c>
      <c r="B74" s="494">
        <v>730000</v>
      </c>
      <c r="C74" s="287" t="s">
        <v>80</v>
      </c>
      <c r="D74" s="287"/>
      <c r="E74" s="288">
        <f>E75+E78+E83</f>
        <v>0</v>
      </c>
      <c r="F74" s="288"/>
      <c r="G74" s="288">
        <f t="shared" si="10"/>
        <v>0</v>
      </c>
      <c r="H74" s="288"/>
      <c r="I74" s="288">
        <f t="shared" ref="I74:Q74" si="16">I75+I78+I83</f>
        <v>0</v>
      </c>
      <c r="J74" s="288">
        <f t="shared" si="16"/>
        <v>0</v>
      </c>
      <c r="K74" s="288"/>
      <c r="L74" s="288">
        <f t="shared" si="16"/>
        <v>0</v>
      </c>
      <c r="M74" s="288"/>
      <c r="N74" s="288">
        <f t="shared" si="16"/>
        <v>0</v>
      </c>
      <c r="O74" s="288">
        <f t="shared" si="16"/>
        <v>0</v>
      </c>
      <c r="P74" s="288"/>
      <c r="Q74" s="289">
        <f t="shared" si="16"/>
        <v>0</v>
      </c>
    </row>
    <row r="75" spans="1:17" ht="26.25" hidden="1" x14ac:dyDescent="0.25">
      <c r="A75" s="502">
        <v>5058</v>
      </c>
      <c r="B75" s="494">
        <v>731000</v>
      </c>
      <c r="C75" s="287" t="s">
        <v>81</v>
      </c>
      <c r="D75" s="287"/>
      <c r="E75" s="288">
        <f>E76+E77</f>
        <v>0</v>
      </c>
      <c r="F75" s="288"/>
      <c r="G75" s="288">
        <f t="shared" si="10"/>
        <v>0</v>
      </c>
      <c r="H75" s="288"/>
      <c r="I75" s="288">
        <f t="shared" ref="I75:Q75" si="17">I76+I77</f>
        <v>0</v>
      </c>
      <c r="J75" s="288">
        <f t="shared" si="17"/>
        <v>0</v>
      </c>
      <c r="K75" s="288"/>
      <c r="L75" s="288">
        <f t="shared" si="17"/>
        <v>0</v>
      </c>
      <c r="M75" s="288"/>
      <c r="N75" s="288">
        <f t="shared" si="17"/>
        <v>0</v>
      </c>
      <c r="O75" s="288">
        <f t="shared" si="17"/>
        <v>0</v>
      </c>
      <c r="P75" s="288"/>
      <c r="Q75" s="289">
        <f t="shared" si="17"/>
        <v>0</v>
      </c>
    </row>
    <row r="76" spans="1:17" ht="26.25" hidden="1" x14ac:dyDescent="0.25">
      <c r="A76" s="293">
        <v>5059</v>
      </c>
      <c r="B76" s="294">
        <v>731100</v>
      </c>
      <c r="C76" s="295" t="s">
        <v>82</v>
      </c>
      <c r="D76" s="295"/>
      <c r="E76" s="277"/>
      <c r="F76" s="277"/>
      <c r="G76" s="311">
        <f t="shared" si="10"/>
        <v>0</v>
      </c>
      <c r="H76" s="311"/>
      <c r="I76" s="277"/>
      <c r="J76" s="277"/>
      <c r="K76" s="277"/>
      <c r="L76" s="277"/>
      <c r="M76" s="277"/>
      <c r="N76" s="277"/>
      <c r="O76" s="277"/>
      <c r="P76" s="277"/>
      <c r="Q76" s="312"/>
    </row>
    <row r="77" spans="1:17" ht="26.25" hidden="1" x14ac:dyDescent="0.25">
      <c r="A77" s="293">
        <v>5060</v>
      </c>
      <c r="B77" s="294">
        <v>731200</v>
      </c>
      <c r="C77" s="295" t="s">
        <v>83</v>
      </c>
      <c r="D77" s="295"/>
      <c r="E77" s="277"/>
      <c r="F77" s="277"/>
      <c r="G77" s="311">
        <f t="shared" si="10"/>
        <v>0</v>
      </c>
      <c r="H77" s="311"/>
      <c r="I77" s="277"/>
      <c r="J77" s="277"/>
      <c r="K77" s="277"/>
      <c r="L77" s="277"/>
      <c r="M77" s="277"/>
      <c r="N77" s="277"/>
      <c r="O77" s="277"/>
      <c r="P77" s="277"/>
      <c r="Q77" s="312"/>
    </row>
    <row r="78" spans="1:17" ht="51.75" hidden="1" x14ac:dyDescent="0.25">
      <c r="A78" s="502">
        <v>5061</v>
      </c>
      <c r="B78" s="494">
        <v>732000</v>
      </c>
      <c r="C78" s="287" t="s">
        <v>84</v>
      </c>
      <c r="D78" s="287"/>
      <c r="E78" s="288">
        <f>E79+E80+E81+E82</f>
        <v>0</v>
      </c>
      <c r="F78" s="288"/>
      <c r="G78" s="288">
        <f t="shared" si="10"/>
        <v>0</v>
      </c>
      <c r="H78" s="288"/>
      <c r="I78" s="288">
        <f t="shared" ref="I78:Q78" si="18">I79+I80+I81+I82</f>
        <v>0</v>
      </c>
      <c r="J78" s="288">
        <f t="shared" si="18"/>
        <v>0</v>
      </c>
      <c r="K78" s="288"/>
      <c r="L78" s="288">
        <f t="shared" si="18"/>
        <v>0</v>
      </c>
      <c r="M78" s="288"/>
      <c r="N78" s="288">
        <f t="shared" si="18"/>
        <v>0</v>
      </c>
      <c r="O78" s="288">
        <f t="shared" si="18"/>
        <v>0</v>
      </c>
      <c r="P78" s="288"/>
      <c r="Q78" s="289">
        <f t="shared" si="18"/>
        <v>0</v>
      </c>
    </row>
    <row r="79" spans="1:17" ht="26.25" hidden="1" x14ac:dyDescent="0.25">
      <c r="A79" s="293">
        <v>5062</v>
      </c>
      <c r="B79" s="294">
        <v>732100</v>
      </c>
      <c r="C79" s="295" t="s">
        <v>85</v>
      </c>
      <c r="D79" s="295"/>
      <c r="E79" s="277"/>
      <c r="F79" s="277"/>
      <c r="G79" s="311">
        <f t="shared" si="10"/>
        <v>0</v>
      </c>
      <c r="H79" s="311"/>
      <c r="I79" s="277"/>
      <c r="J79" s="277"/>
      <c r="K79" s="277"/>
      <c r="L79" s="277"/>
      <c r="M79" s="277"/>
      <c r="N79" s="277"/>
      <c r="O79" s="277"/>
      <c r="P79" s="277"/>
      <c r="Q79" s="312"/>
    </row>
    <row r="80" spans="1:17" ht="26.25" hidden="1" x14ac:dyDescent="0.25">
      <c r="A80" s="293">
        <v>5063</v>
      </c>
      <c r="B80" s="294">
        <v>732200</v>
      </c>
      <c r="C80" s="295" t="s">
        <v>86</v>
      </c>
      <c r="D80" s="295"/>
      <c r="E80" s="277"/>
      <c r="F80" s="277"/>
      <c r="G80" s="311">
        <f t="shared" si="10"/>
        <v>0</v>
      </c>
      <c r="H80" s="311"/>
      <c r="I80" s="277"/>
      <c r="J80" s="277"/>
      <c r="K80" s="277"/>
      <c r="L80" s="277"/>
      <c r="M80" s="277"/>
      <c r="N80" s="277"/>
      <c r="O80" s="277"/>
      <c r="P80" s="277"/>
      <c r="Q80" s="312"/>
    </row>
    <row r="81" spans="1:17" hidden="1" x14ac:dyDescent="0.25">
      <c r="A81" s="293">
        <v>5064</v>
      </c>
      <c r="B81" s="294">
        <v>732300</v>
      </c>
      <c r="C81" s="295" t="s">
        <v>87</v>
      </c>
      <c r="D81" s="295"/>
      <c r="E81" s="277"/>
      <c r="F81" s="277"/>
      <c r="G81" s="311">
        <f t="shared" si="10"/>
        <v>0</v>
      </c>
      <c r="H81" s="311"/>
      <c r="I81" s="277"/>
      <c r="J81" s="277"/>
      <c r="K81" s="277"/>
      <c r="L81" s="277"/>
      <c r="M81" s="277"/>
      <c r="N81" s="277"/>
      <c r="O81" s="277"/>
      <c r="P81" s="277"/>
      <c r="Q81" s="312"/>
    </row>
    <row r="82" spans="1:17" hidden="1" x14ac:dyDescent="0.25">
      <c r="A82" s="293">
        <v>5065</v>
      </c>
      <c r="B82" s="294">
        <v>732400</v>
      </c>
      <c r="C82" s="295" t="s">
        <v>88</v>
      </c>
      <c r="D82" s="295"/>
      <c r="E82" s="277"/>
      <c r="F82" s="277"/>
      <c r="G82" s="311">
        <f t="shared" si="10"/>
        <v>0</v>
      </c>
      <c r="H82" s="311"/>
      <c r="I82" s="277"/>
      <c r="J82" s="277"/>
      <c r="K82" s="277"/>
      <c r="L82" s="277"/>
      <c r="M82" s="277"/>
      <c r="N82" s="277"/>
      <c r="O82" s="277"/>
      <c r="P82" s="277"/>
      <c r="Q82" s="312"/>
    </row>
    <row r="83" spans="1:17" ht="26.25" hidden="1" x14ac:dyDescent="0.25">
      <c r="A83" s="502">
        <v>5066</v>
      </c>
      <c r="B83" s="494">
        <v>733000</v>
      </c>
      <c r="C83" s="287" t="s">
        <v>89</v>
      </c>
      <c r="D83" s="287"/>
      <c r="E83" s="288">
        <f>E84+E85</f>
        <v>0</v>
      </c>
      <c r="F83" s="288"/>
      <c r="G83" s="288">
        <f t="shared" si="10"/>
        <v>0</v>
      </c>
      <c r="H83" s="288"/>
      <c r="I83" s="288">
        <f t="shared" ref="I83:Q83" si="19">I84+I85</f>
        <v>0</v>
      </c>
      <c r="J83" s="288">
        <f t="shared" si="19"/>
        <v>0</v>
      </c>
      <c r="K83" s="288"/>
      <c r="L83" s="288">
        <f t="shared" si="19"/>
        <v>0</v>
      </c>
      <c r="M83" s="288"/>
      <c r="N83" s="288">
        <f t="shared" si="19"/>
        <v>0</v>
      </c>
      <c r="O83" s="288">
        <f t="shared" si="19"/>
        <v>0</v>
      </c>
      <c r="P83" s="288"/>
      <c r="Q83" s="289">
        <f t="shared" si="19"/>
        <v>0</v>
      </c>
    </row>
    <row r="84" spans="1:17" ht="26.25" hidden="1" x14ac:dyDescent="0.25">
      <c r="A84" s="293">
        <v>5067</v>
      </c>
      <c r="B84" s="294">
        <v>733100</v>
      </c>
      <c r="C84" s="295" t="s">
        <v>90</v>
      </c>
      <c r="D84" s="295"/>
      <c r="E84" s="277"/>
      <c r="F84" s="277"/>
      <c r="G84" s="311">
        <f t="shared" ref="G84:G119" si="20">SUM(I84:Q84)</f>
        <v>0</v>
      </c>
      <c r="H84" s="311"/>
      <c r="I84" s="277"/>
      <c r="J84" s="277"/>
      <c r="K84" s="277"/>
      <c r="L84" s="277"/>
      <c r="M84" s="277"/>
      <c r="N84" s="277"/>
      <c r="O84" s="277"/>
      <c r="P84" s="277"/>
      <c r="Q84" s="312"/>
    </row>
    <row r="85" spans="1:17" ht="26.25" hidden="1" x14ac:dyDescent="0.25">
      <c r="A85" s="293">
        <v>5068</v>
      </c>
      <c r="B85" s="294">
        <v>733200</v>
      </c>
      <c r="C85" s="295" t="s">
        <v>91</v>
      </c>
      <c r="D85" s="295"/>
      <c r="E85" s="277"/>
      <c r="F85" s="277"/>
      <c r="G85" s="311">
        <f t="shared" si="20"/>
        <v>0</v>
      </c>
      <c r="H85" s="311"/>
      <c r="I85" s="277"/>
      <c r="J85" s="277"/>
      <c r="K85" s="277"/>
      <c r="L85" s="277"/>
      <c r="M85" s="277"/>
      <c r="N85" s="277"/>
      <c r="O85" s="277"/>
      <c r="P85" s="277"/>
      <c r="Q85" s="312"/>
    </row>
    <row r="86" spans="1:17" ht="26.25" x14ac:dyDescent="0.25">
      <c r="A86" s="502">
        <v>5069</v>
      </c>
      <c r="B86" s="494">
        <v>740000</v>
      </c>
      <c r="C86" s="287" t="s">
        <v>92</v>
      </c>
      <c r="D86" s="287"/>
      <c r="E86" s="288">
        <f>E87+E94+E99+E110+E113</f>
        <v>19095</v>
      </c>
      <c r="F86" s="288">
        <f>F87+F94+F99+F110+F113+F120</f>
        <v>15200</v>
      </c>
      <c r="G86" s="288">
        <f t="shared" ref="G86:Q86" si="21">G87+G94+G99+G110+G113</f>
        <v>14780</v>
      </c>
      <c r="H86" s="288">
        <f>H87+H94+H99+H110+H113</f>
        <v>1000</v>
      </c>
      <c r="I86" s="288">
        <f t="shared" si="21"/>
        <v>1165</v>
      </c>
      <c r="J86" s="288">
        <f t="shared" si="21"/>
        <v>0</v>
      </c>
      <c r="K86" s="288">
        <f t="shared" si="21"/>
        <v>0</v>
      </c>
      <c r="L86" s="288">
        <f t="shared" si="21"/>
        <v>0</v>
      </c>
      <c r="M86" s="288">
        <f>M87+M94+M120</f>
        <v>1500</v>
      </c>
      <c r="N86" s="288">
        <f t="shared" si="21"/>
        <v>1130</v>
      </c>
      <c r="O86" s="288">
        <f t="shared" si="21"/>
        <v>0</v>
      </c>
      <c r="P86" s="288">
        <f>P87+P94+P99+P110+P113+P120</f>
        <v>12700</v>
      </c>
      <c r="Q86" s="289">
        <f t="shared" si="21"/>
        <v>12485</v>
      </c>
    </row>
    <row r="87" spans="1:17" ht="26.25" x14ac:dyDescent="0.25">
      <c r="A87" s="502">
        <v>5070</v>
      </c>
      <c r="B87" s="494">
        <v>741000</v>
      </c>
      <c r="C87" s="287" t="s">
        <v>93</v>
      </c>
      <c r="D87" s="287"/>
      <c r="E87" s="288">
        <f>SUM(E88:E93)</f>
        <v>1130</v>
      </c>
      <c r="F87" s="288">
        <f t="shared" ref="F87:Q87" si="22">SUM(F88:F93)</f>
        <v>1500</v>
      </c>
      <c r="G87" s="288">
        <f>SUM(G88:G93)</f>
        <v>1130</v>
      </c>
      <c r="H87" s="288">
        <f t="shared" si="22"/>
        <v>0</v>
      </c>
      <c r="I87" s="288">
        <f t="shared" si="22"/>
        <v>0</v>
      </c>
      <c r="J87" s="288">
        <f t="shared" si="22"/>
        <v>0</v>
      </c>
      <c r="K87" s="288">
        <f t="shared" si="22"/>
        <v>0</v>
      </c>
      <c r="L87" s="288">
        <f t="shared" si="22"/>
        <v>0</v>
      </c>
      <c r="M87" s="288">
        <f t="shared" si="22"/>
        <v>1500</v>
      </c>
      <c r="N87" s="288">
        <f t="shared" si="22"/>
        <v>1130</v>
      </c>
      <c r="O87" s="288">
        <f t="shared" si="22"/>
        <v>0</v>
      </c>
      <c r="P87" s="288">
        <f t="shared" si="22"/>
        <v>0</v>
      </c>
      <c r="Q87" s="289">
        <f t="shared" si="22"/>
        <v>0</v>
      </c>
    </row>
    <row r="88" spans="1:17" hidden="1" x14ac:dyDescent="0.25">
      <c r="A88" s="293">
        <v>5071</v>
      </c>
      <c r="B88" s="294">
        <v>741100</v>
      </c>
      <c r="C88" s="295" t="s">
        <v>94</v>
      </c>
      <c r="D88" s="295"/>
      <c r="E88" s="277"/>
      <c r="F88" s="277"/>
      <c r="G88" s="311">
        <f t="shared" si="20"/>
        <v>0</v>
      </c>
      <c r="H88" s="311"/>
      <c r="I88" s="277"/>
      <c r="J88" s="277"/>
      <c r="K88" s="277"/>
      <c r="L88" s="277"/>
      <c r="M88" s="277"/>
      <c r="N88" s="277"/>
      <c r="O88" s="277"/>
      <c r="P88" s="277"/>
      <c r="Q88" s="312"/>
    </row>
    <row r="89" spans="1:17" hidden="1" x14ac:dyDescent="0.25">
      <c r="A89" s="293">
        <v>5072</v>
      </c>
      <c r="B89" s="294">
        <v>741200</v>
      </c>
      <c r="C89" s="295" t="s">
        <v>95</v>
      </c>
      <c r="D89" s="295"/>
      <c r="E89" s="277"/>
      <c r="F89" s="277"/>
      <c r="G89" s="311">
        <f t="shared" si="20"/>
        <v>0</v>
      </c>
      <c r="H89" s="311"/>
      <c r="I89" s="277"/>
      <c r="J89" s="277"/>
      <c r="K89" s="277"/>
      <c r="L89" s="277"/>
      <c r="M89" s="277"/>
      <c r="N89" s="277"/>
      <c r="O89" s="277"/>
      <c r="P89" s="277"/>
      <c r="Q89" s="312"/>
    </row>
    <row r="90" spans="1:17" ht="26.25" hidden="1" x14ac:dyDescent="0.25">
      <c r="A90" s="293">
        <v>5073</v>
      </c>
      <c r="B90" s="294">
        <v>741300</v>
      </c>
      <c r="C90" s="295" t="s">
        <v>96</v>
      </c>
      <c r="D90" s="295"/>
      <c r="E90" s="277"/>
      <c r="F90" s="277"/>
      <c r="G90" s="311">
        <f t="shared" si="20"/>
        <v>0</v>
      </c>
      <c r="H90" s="311"/>
      <c r="I90" s="277"/>
      <c r="J90" s="277"/>
      <c r="K90" s="277"/>
      <c r="L90" s="277"/>
      <c r="M90" s="277"/>
      <c r="N90" s="277"/>
      <c r="O90" s="277"/>
      <c r="P90" s="277"/>
      <c r="Q90" s="312"/>
    </row>
    <row r="91" spans="1:17" ht="26.25" x14ac:dyDescent="0.25">
      <c r="A91" s="293">
        <v>5074</v>
      </c>
      <c r="B91" s="294">
        <v>741400</v>
      </c>
      <c r="C91" s="295" t="s">
        <v>97</v>
      </c>
      <c r="D91" s="295"/>
      <c r="E91" s="290">
        <v>1130</v>
      </c>
      <c r="F91" s="278">
        <f>H91+K91+M91+P91</f>
        <v>1500</v>
      </c>
      <c r="G91" s="311">
        <f>SUM(I91:Q91)-K91-M91-P91</f>
        <v>1130</v>
      </c>
      <c r="H91" s="311"/>
      <c r="I91" s="278"/>
      <c r="J91" s="278"/>
      <c r="K91" s="278"/>
      <c r="L91" s="278"/>
      <c r="M91" s="278">
        <v>1500</v>
      </c>
      <c r="N91" s="278">
        <v>1130</v>
      </c>
      <c r="O91" s="278"/>
      <c r="P91" s="278"/>
      <c r="Q91" s="313"/>
    </row>
    <row r="92" spans="1:17" hidden="1" x14ac:dyDescent="0.25">
      <c r="A92" s="293">
        <v>5075</v>
      </c>
      <c r="B92" s="294">
        <v>741500</v>
      </c>
      <c r="C92" s="295" t="s">
        <v>98</v>
      </c>
      <c r="D92" s="295"/>
      <c r="E92" s="277"/>
      <c r="F92" s="290">
        <f t="shared" ref="F92:F138" si="23">H92+K92+M92+P92</f>
        <v>0</v>
      </c>
      <c r="G92" s="311">
        <f t="shared" si="20"/>
        <v>0</v>
      </c>
      <c r="H92" s="311"/>
      <c r="I92" s="277"/>
      <c r="J92" s="277"/>
      <c r="K92" s="277"/>
      <c r="L92" s="277"/>
      <c r="M92" s="277"/>
      <c r="N92" s="277"/>
      <c r="O92" s="277"/>
      <c r="P92" s="277"/>
      <c r="Q92" s="312"/>
    </row>
    <row r="93" spans="1:17" ht="26.25" hidden="1" x14ac:dyDescent="0.25">
      <c r="A93" s="293">
        <v>5076</v>
      </c>
      <c r="B93" s="294">
        <v>741600</v>
      </c>
      <c r="C93" s="295" t="s">
        <v>99</v>
      </c>
      <c r="D93" s="295"/>
      <c r="E93" s="277"/>
      <c r="F93" s="290">
        <f t="shared" si="23"/>
        <v>0</v>
      </c>
      <c r="G93" s="311">
        <f t="shared" si="20"/>
        <v>0</v>
      </c>
      <c r="H93" s="311"/>
      <c r="I93" s="277"/>
      <c r="J93" s="277"/>
      <c r="K93" s="277"/>
      <c r="L93" s="277"/>
      <c r="M93" s="277"/>
      <c r="N93" s="277"/>
      <c r="O93" s="277"/>
      <c r="P93" s="277"/>
      <c r="Q93" s="312"/>
    </row>
    <row r="94" spans="1:17" ht="39" x14ac:dyDescent="0.25">
      <c r="A94" s="502">
        <v>5077</v>
      </c>
      <c r="B94" s="494">
        <v>742000</v>
      </c>
      <c r="C94" s="287" t="s">
        <v>100</v>
      </c>
      <c r="D94" s="287"/>
      <c r="E94" s="288">
        <f>SUM(E95:E98)</f>
        <v>13865</v>
      </c>
      <c r="F94" s="290">
        <f>SUM(F95:F98)</f>
        <v>13700</v>
      </c>
      <c r="G94" s="288">
        <f t="shared" ref="G94:Q94" si="24">SUM(G95:G98)</f>
        <v>13236</v>
      </c>
      <c r="H94" s="288">
        <f t="shared" si="24"/>
        <v>1000</v>
      </c>
      <c r="I94" s="288">
        <f t="shared" si="24"/>
        <v>1165</v>
      </c>
      <c r="J94" s="288">
        <f t="shared" si="24"/>
        <v>0</v>
      </c>
      <c r="K94" s="288">
        <f t="shared" si="24"/>
        <v>0</v>
      </c>
      <c r="L94" s="288">
        <f t="shared" si="24"/>
        <v>0</v>
      </c>
      <c r="M94" s="288">
        <f t="shared" si="24"/>
        <v>0</v>
      </c>
      <c r="N94" s="288">
        <f t="shared" si="24"/>
        <v>0</v>
      </c>
      <c r="O94" s="288">
        <f t="shared" si="24"/>
        <v>0</v>
      </c>
      <c r="P94" s="288">
        <f t="shared" si="24"/>
        <v>12700</v>
      </c>
      <c r="Q94" s="289">
        <f t="shared" si="24"/>
        <v>12071</v>
      </c>
    </row>
    <row r="95" spans="1:17" ht="26.25" x14ac:dyDescent="0.25">
      <c r="A95" s="293">
        <v>5078</v>
      </c>
      <c r="B95" s="294">
        <v>742100</v>
      </c>
      <c r="C95" s="295" t="s">
        <v>508</v>
      </c>
      <c r="D95" s="295"/>
      <c r="E95" s="277">
        <v>5000</v>
      </c>
      <c r="F95" s="278">
        <f t="shared" si="23"/>
        <v>5000</v>
      </c>
      <c r="G95" s="311">
        <f>SUM(I95:Q95)-K95-M95-P95</f>
        <v>4891</v>
      </c>
      <c r="H95" s="311"/>
      <c r="I95" s="277"/>
      <c r="J95" s="277"/>
      <c r="K95" s="277"/>
      <c r="L95" s="277"/>
      <c r="M95" s="277"/>
      <c r="N95" s="277"/>
      <c r="O95" s="277"/>
      <c r="P95" s="277">
        <v>5000</v>
      </c>
      <c r="Q95" s="312">
        <v>4891</v>
      </c>
    </row>
    <row r="96" spans="1:17" hidden="1" x14ac:dyDescent="0.25">
      <c r="A96" s="293">
        <v>5079</v>
      </c>
      <c r="B96" s="294">
        <v>742200</v>
      </c>
      <c r="C96" s="295" t="s">
        <v>102</v>
      </c>
      <c r="D96" s="295"/>
      <c r="E96" s="277"/>
      <c r="F96" s="290">
        <f t="shared" si="23"/>
        <v>0</v>
      </c>
      <c r="G96" s="311">
        <f t="shared" ref="G96" si="25">SUM(I96:Q96)-H96-K96-M96-P96</f>
        <v>0</v>
      </c>
      <c r="H96" s="311"/>
      <c r="I96" s="277"/>
      <c r="J96" s="277"/>
      <c r="K96" s="277"/>
      <c r="L96" s="277"/>
      <c r="M96" s="277"/>
      <c r="N96" s="277"/>
      <c r="O96" s="277"/>
      <c r="P96" s="277"/>
      <c r="Q96" s="312"/>
    </row>
    <row r="97" spans="1:17" ht="39" x14ac:dyDescent="0.25">
      <c r="A97" s="293">
        <v>5080</v>
      </c>
      <c r="B97" s="294">
        <v>742300</v>
      </c>
      <c r="C97" s="295" t="s">
        <v>103</v>
      </c>
      <c r="D97" s="295"/>
      <c r="E97" s="277">
        <v>8865</v>
      </c>
      <c r="F97" s="278">
        <f t="shared" si="23"/>
        <v>8700</v>
      </c>
      <c r="G97" s="311">
        <f>SUM(I97:Q97)-K97-M97-P97</f>
        <v>8345</v>
      </c>
      <c r="H97" s="311">
        <v>1000</v>
      </c>
      <c r="I97" s="277">
        <v>1165</v>
      </c>
      <c r="J97" s="277"/>
      <c r="K97" s="277"/>
      <c r="L97" s="277"/>
      <c r="M97" s="277"/>
      <c r="N97" s="277"/>
      <c r="O97" s="277"/>
      <c r="P97" s="277">
        <v>7700</v>
      </c>
      <c r="Q97" s="312">
        <v>7180</v>
      </c>
    </row>
    <row r="98" spans="1:17" ht="26.25" hidden="1" x14ac:dyDescent="0.25">
      <c r="A98" s="293">
        <v>5081</v>
      </c>
      <c r="B98" s="294">
        <v>742400</v>
      </c>
      <c r="C98" s="295" t="s">
        <v>104</v>
      </c>
      <c r="D98" s="295"/>
      <c r="E98" s="277"/>
      <c r="F98" s="278">
        <f t="shared" si="23"/>
        <v>0</v>
      </c>
      <c r="G98" s="311">
        <f t="shared" si="20"/>
        <v>0</v>
      </c>
      <c r="H98" s="311"/>
      <c r="I98" s="277"/>
      <c r="J98" s="277"/>
      <c r="K98" s="277"/>
      <c r="L98" s="277"/>
      <c r="M98" s="277"/>
      <c r="N98" s="277"/>
      <c r="O98" s="277"/>
      <c r="P98" s="277"/>
      <c r="Q98" s="312"/>
    </row>
    <row r="99" spans="1:17" ht="39" hidden="1" x14ac:dyDescent="0.25">
      <c r="A99" s="502">
        <v>5082</v>
      </c>
      <c r="B99" s="494">
        <v>743000</v>
      </c>
      <c r="C99" s="287" t="s">
        <v>105</v>
      </c>
      <c r="D99" s="287"/>
      <c r="E99" s="288">
        <f>SUM(E104:E109)</f>
        <v>0</v>
      </c>
      <c r="F99" s="278">
        <f t="shared" si="23"/>
        <v>0</v>
      </c>
      <c r="G99" s="288">
        <f t="shared" si="20"/>
        <v>0</v>
      </c>
      <c r="H99" s="288"/>
      <c r="I99" s="288">
        <f t="shared" ref="I99:Q99" si="26">SUM(I104:I109)</f>
        <v>0</v>
      </c>
      <c r="J99" s="288">
        <f t="shared" si="26"/>
        <v>0</v>
      </c>
      <c r="K99" s="288"/>
      <c r="L99" s="288">
        <f t="shared" si="26"/>
        <v>0</v>
      </c>
      <c r="M99" s="288"/>
      <c r="N99" s="288">
        <f t="shared" si="26"/>
        <v>0</v>
      </c>
      <c r="O99" s="288">
        <f t="shared" si="26"/>
        <v>0</v>
      </c>
      <c r="P99" s="288"/>
      <c r="Q99" s="289">
        <f t="shared" si="26"/>
        <v>0</v>
      </c>
    </row>
    <row r="100" spans="1:17" hidden="1" x14ac:dyDescent="0.25">
      <c r="A100" s="663" t="s">
        <v>0</v>
      </c>
      <c r="B100" s="657" t="s">
        <v>1</v>
      </c>
      <c r="C100" s="656" t="s">
        <v>2</v>
      </c>
      <c r="D100" s="492"/>
      <c r="E100" s="658" t="s">
        <v>3</v>
      </c>
      <c r="F100" s="278">
        <f t="shared" si="23"/>
        <v>0</v>
      </c>
      <c r="G100" s="658" t="s">
        <v>4</v>
      </c>
      <c r="H100" s="658"/>
      <c r="I100" s="658"/>
      <c r="J100" s="658"/>
      <c r="K100" s="658"/>
      <c r="L100" s="658"/>
      <c r="M100" s="658"/>
      <c r="N100" s="658"/>
      <c r="O100" s="658"/>
      <c r="P100" s="658"/>
      <c r="Q100" s="664"/>
    </row>
    <row r="101" spans="1:17" hidden="1" x14ac:dyDescent="0.25">
      <c r="A101" s="663"/>
      <c r="B101" s="657"/>
      <c r="C101" s="656"/>
      <c r="D101" s="492"/>
      <c r="E101" s="658"/>
      <c r="F101" s="278">
        <f t="shared" si="23"/>
        <v>0</v>
      </c>
      <c r="G101" s="665" t="s">
        <v>5</v>
      </c>
      <c r="H101" s="497"/>
      <c r="I101" s="658" t="s">
        <v>6</v>
      </c>
      <c r="J101" s="658"/>
      <c r="K101" s="658"/>
      <c r="L101" s="658"/>
      <c r="M101" s="658"/>
      <c r="N101" s="658"/>
      <c r="O101" s="658" t="s">
        <v>7</v>
      </c>
      <c r="P101" s="494"/>
      <c r="Q101" s="664" t="s">
        <v>8</v>
      </c>
    </row>
    <row r="102" spans="1:17" ht="39" hidden="1" x14ac:dyDescent="0.25">
      <c r="A102" s="663"/>
      <c r="B102" s="657"/>
      <c r="C102" s="656"/>
      <c r="D102" s="492"/>
      <c r="E102" s="658"/>
      <c r="F102" s="278">
        <f t="shared" si="23"/>
        <v>0</v>
      </c>
      <c r="G102" s="665"/>
      <c r="H102" s="497"/>
      <c r="I102" s="494" t="s">
        <v>9</v>
      </c>
      <c r="J102" s="494" t="s">
        <v>10</v>
      </c>
      <c r="K102" s="494"/>
      <c r="L102" s="494" t="s">
        <v>11</v>
      </c>
      <c r="M102" s="494"/>
      <c r="N102" s="494" t="s">
        <v>12</v>
      </c>
      <c r="O102" s="658"/>
      <c r="P102" s="494"/>
      <c r="Q102" s="664"/>
    </row>
    <row r="103" spans="1:17" ht="26.25" hidden="1" x14ac:dyDescent="0.25">
      <c r="A103" s="304" t="s">
        <v>18</v>
      </c>
      <c r="B103" s="493" t="s">
        <v>19</v>
      </c>
      <c r="C103" s="493" t="s">
        <v>20</v>
      </c>
      <c r="D103" s="493"/>
      <c r="E103" s="306" t="s">
        <v>21</v>
      </c>
      <c r="F103" s="278">
        <f t="shared" si="23"/>
        <v>0</v>
      </c>
      <c r="G103" s="306" t="s">
        <v>22</v>
      </c>
      <c r="H103" s="306"/>
      <c r="I103" s="306" t="s">
        <v>23</v>
      </c>
      <c r="J103" s="306" t="s">
        <v>24</v>
      </c>
      <c r="K103" s="306"/>
      <c r="L103" s="306" t="s">
        <v>25</v>
      </c>
      <c r="M103" s="306"/>
      <c r="N103" s="306" t="s">
        <v>26</v>
      </c>
      <c r="O103" s="306" t="s">
        <v>27</v>
      </c>
      <c r="P103" s="306"/>
      <c r="Q103" s="307" t="s">
        <v>28</v>
      </c>
    </row>
    <row r="104" spans="1:17" ht="26.25" hidden="1" x14ac:dyDescent="0.25">
      <c r="A104" s="293">
        <v>5083</v>
      </c>
      <c r="B104" s="294">
        <v>743100</v>
      </c>
      <c r="C104" s="295" t="s">
        <v>106</v>
      </c>
      <c r="D104" s="295"/>
      <c r="E104" s="277"/>
      <c r="F104" s="278">
        <f t="shared" si="23"/>
        <v>0</v>
      </c>
      <c r="G104" s="311">
        <f t="shared" si="20"/>
        <v>0</v>
      </c>
      <c r="H104" s="311"/>
      <c r="I104" s="277"/>
      <c r="J104" s="277"/>
      <c r="K104" s="277"/>
      <c r="L104" s="277"/>
      <c r="M104" s="277"/>
      <c r="N104" s="277"/>
      <c r="O104" s="277"/>
      <c r="P104" s="277"/>
      <c r="Q104" s="312"/>
    </row>
    <row r="105" spans="1:17" ht="26.25" hidden="1" x14ac:dyDescent="0.25">
      <c r="A105" s="293">
        <v>5084</v>
      </c>
      <c r="B105" s="294">
        <v>743200</v>
      </c>
      <c r="C105" s="295" t="s">
        <v>107</v>
      </c>
      <c r="D105" s="295"/>
      <c r="E105" s="277"/>
      <c r="F105" s="278">
        <f t="shared" si="23"/>
        <v>0</v>
      </c>
      <c r="G105" s="311">
        <f t="shared" si="20"/>
        <v>0</v>
      </c>
      <c r="H105" s="311"/>
      <c r="I105" s="277"/>
      <c r="J105" s="277"/>
      <c r="K105" s="277"/>
      <c r="L105" s="277"/>
      <c r="M105" s="277"/>
      <c r="N105" s="277"/>
      <c r="O105" s="277"/>
      <c r="P105" s="277"/>
      <c r="Q105" s="312"/>
    </row>
    <row r="106" spans="1:17" ht="26.25" hidden="1" x14ac:dyDescent="0.25">
      <c r="A106" s="293">
        <v>5085</v>
      </c>
      <c r="B106" s="294">
        <v>743300</v>
      </c>
      <c r="C106" s="295" t="s">
        <v>108</v>
      </c>
      <c r="D106" s="295"/>
      <c r="E106" s="277"/>
      <c r="F106" s="278">
        <f t="shared" si="23"/>
        <v>0</v>
      </c>
      <c r="G106" s="311">
        <f t="shared" si="20"/>
        <v>0</v>
      </c>
      <c r="H106" s="311"/>
      <c r="I106" s="277"/>
      <c r="J106" s="277"/>
      <c r="K106" s="277"/>
      <c r="L106" s="277"/>
      <c r="M106" s="277"/>
      <c r="N106" s="277"/>
      <c r="O106" s="277"/>
      <c r="P106" s="277"/>
      <c r="Q106" s="312"/>
    </row>
    <row r="107" spans="1:17" hidden="1" x14ac:dyDescent="0.25">
      <c r="A107" s="293">
        <v>5086</v>
      </c>
      <c r="B107" s="294">
        <v>743400</v>
      </c>
      <c r="C107" s="295" t="s">
        <v>109</v>
      </c>
      <c r="D107" s="295"/>
      <c r="E107" s="277"/>
      <c r="F107" s="278">
        <f t="shared" si="23"/>
        <v>0</v>
      </c>
      <c r="G107" s="311">
        <f t="shared" si="20"/>
        <v>0</v>
      </c>
      <c r="H107" s="311"/>
      <c r="I107" s="277"/>
      <c r="J107" s="277"/>
      <c r="K107" s="277"/>
      <c r="L107" s="277"/>
      <c r="M107" s="277"/>
      <c r="N107" s="277"/>
      <c r="O107" s="277"/>
      <c r="P107" s="277"/>
      <c r="Q107" s="312"/>
    </row>
    <row r="108" spans="1:17" ht="26.25" hidden="1" x14ac:dyDescent="0.25">
      <c r="A108" s="293">
        <v>5087</v>
      </c>
      <c r="B108" s="294">
        <v>743500</v>
      </c>
      <c r="C108" s="295" t="s">
        <v>110</v>
      </c>
      <c r="D108" s="295"/>
      <c r="E108" s="277"/>
      <c r="F108" s="278">
        <f t="shared" si="23"/>
        <v>0</v>
      </c>
      <c r="G108" s="311">
        <f t="shared" si="20"/>
        <v>0</v>
      </c>
      <c r="H108" s="311"/>
      <c r="I108" s="277"/>
      <c r="J108" s="277"/>
      <c r="K108" s="277"/>
      <c r="L108" s="277"/>
      <c r="M108" s="277"/>
      <c r="N108" s="277"/>
      <c r="O108" s="277"/>
      <c r="P108" s="277"/>
      <c r="Q108" s="312"/>
    </row>
    <row r="109" spans="1:17" ht="39" hidden="1" x14ac:dyDescent="0.25">
      <c r="A109" s="293">
        <v>5088</v>
      </c>
      <c r="B109" s="294">
        <v>743900</v>
      </c>
      <c r="C109" s="295" t="s">
        <v>111</v>
      </c>
      <c r="D109" s="295"/>
      <c r="E109" s="277"/>
      <c r="F109" s="278">
        <f t="shared" si="23"/>
        <v>0</v>
      </c>
      <c r="G109" s="311">
        <f t="shared" si="20"/>
        <v>0</v>
      </c>
      <c r="H109" s="311"/>
      <c r="I109" s="277"/>
      <c r="J109" s="277"/>
      <c r="K109" s="277"/>
      <c r="L109" s="277"/>
      <c r="M109" s="277"/>
      <c r="N109" s="277"/>
      <c r="O109" s="277"/>
      <c r="P109" s="277"/>
      <c r="Q109" s="312"/>
    </row>
    <row r="110" spans="1:17" ht="39" hidden="1" x14ac:dyDescent="0.25">
      <c r="A110" s="502">
        <v>5089</v>
      </c>
      <c r="B110" s="494">
        <v>744000</v>
      </c>
      <c r="C110" s="287" t="s">
        <v>112</v>
      </c>
      <c r="D110" s="287"/>
      <c r="E110" s="288">
        <f>E111+E112</f>
        <v>4100</v>
      </c>
      <c r="F110" s="278">
        <f t="shared" si="23"/>
        <v>0</v>
      </c>
      <c r="G110" s="288">
        <f t="shared" ref="G110:Q110" si="27">G111+G112</f>
        <v>414</v>
      </c>
      <c r="H110" s="288">
        <f t="shared" si="27"/>
        <v>0</v>
      </c>
      <c r="I110" s="288">
        <f t="shared" si="27"/>
        <v>0</v>
      </c>
      <c r="J110" s="288">
        <f t="shared" si="27"/>
        <v>0</v>
      </c>
      <c r="K110" s="288">
        <f t="shared" si="27"/>
        <v>0</v>
      </c>
      <c r="L110" s="288">
        <f t="shared" si="27"/>
        <v>0</v>
      </c>
      <c r="M110" s="288">
        <f t="shared" si="27"/>
        <v>0</v>
      </c>
      <c r="N110" s="288">
        <f t="shared" si="27"/>
        <v>0</v>
      </c>
      <c r="O110" s="288">
        <f t="shared" si="27"/>
        <v>0</v>
      </c>
      <c r="P110" s="288">
        <f t="shared" si="27"/>
        <v>0</v>
      </c>
      <c r="Q110" s="289">
        <f t="shared" si="27"/>
        <v>414</v>
      </c>
    </row>
    <row r="111" spans="1:17" ht="26.25" hidden="1" x14ac:dyDescent="0.25">
      <c r="A111" s="293">
        <v>5090</v>
      </c>
      <c r="B111" s="294">
        <v>744100</v>
      </c>
      <c r="C111" s="295" t="s">
        <v>113</v>
      </c>
      <c r="D111" s="295"/>
      <c r="E111" s="277">
        <v>4100</v>
      </c>
      <c r="F111" s="278">
        <f t="shared" si="23"/>
        <v>0</v>
      </c>
      <c r="G111" s="311">
        <f t="shared" si="20"/>
        <v>414</v>
      </c>
      <c r="H111" s="311"/>
      <c r="I111" s="277"/>
      <c r="J111" s="277"/>
      <c r="K111" s="277"/>
      <c r="L111" s="277"/>
      <c r="M111" s="277"/>
      <c r="N111" s="277"/>
      <c r="O111" s="277"/>
      <c r="P111" s="277"/>
      <c r="Q111" s="312">
        <v>414</v>
      </c>
    </row>
    <row r="112" spans="1:17" ht="39" hidden="1" x14ac:dyDescent="0.25">
      <c r="A112" s="293">
        <v>5091</v>
      </c>
      <c r="B112" s="294">
        <v>744200</v>
      </c>
      <c r="C112" s="295" t="s">
        <v>114</v>
      </c>
      <c r="D112" s="295"/>
      <c r="E112" s="277"/>
      <c r="F112" s="278">
        <f t="shared" si="23"/>
        <v>0</v>
      </c>
      <c r="G112" s="311">
        <f t="shared" si="20"/>
        <v>0</v>
      </c>
      <c r="H112" s="311"/>
      <c r="I112" s="277"/>
      <c r="J112" s="277"/>
      <c r="K112" s="277"/>
      <c r="L112" s="277"/>
      <c r="M112" s="277"/>
      <c r="N112" s="277"/>
      <c r="O112" s="277"/>
      <c r="P112" s="277"/>
      <c r="Q112" s="312"/>
    </row>
    <row r="113" spans="1:22" ht="26.25" hidden="1" x14ac:dyDescent="0.25">
      <c r="A113" s="502">
        <v>5092</v>
      </c>
      <c r="B113" s="494">
        <v>745000</v>
      </c>
      <c r="C113" s="287" t="s">
        <v>115</v>
      </c>
      <c r="D113" s="287"/>
      <c r="E113" s="288">
        <f>E114</f>
        <v>0</v>
      </c>
      <c r="F113" s="278">
        <f t="shared" si="23"/>
        <v>0</v>
      </c>
      <c r="G113" s="288">
        <f t="shared" si="20"/>
        <v>0</v>
      </c>
      <c r="H113" s="288"/>
      <c r="I113" s="288">
        <f t="shared" ref="I113:Q113" si="28">I114</f>
        <v>0</v>
      </c>
      <c r="J113" s="288">
        <f t="shared" si="28"/>
        <v>0</v>
      </c>
      <c r="K113" s="288"/>
      <c r="L113" s="288">
        <f t="shared" si="28"/>
        <v>0</v>
      </c>
      <c r="M113" s="288"/>
      <c r="N113" s="288">
        <f t="shared" si="28"/>
        <v>0</v>
      </c>
      <c r="O113" s="288">
        <f t="shared" si="28"/>
        <v>0</v>
      </c>
      <c r="P113" s="288"/>
      <c r="Q113" s="289">
        <f t="shared" si="28"/>
        <v>0</v>
      </c>
    </row>
    <row r="114" spans="1:22" hidden="1" x14ac:dyDescent="0.25">
      <c r="A114" s="293">
        <v>5093</v>
      </c>
      <c r="B114" s="294">
        <v>745100</v>
      </c>
      <c r="C114" s="295" t="s">
        <v>116</v>
      </c>
      <c r="D114" s="295"/>
      <c r="E114" s="277"/>
      <c r="F114" s="278">
        <f t="shared" si="23"/>
        <v>0</v>
      </c>
      <c r="G114" s="311">
        <f t="shared" si="20"/>
        <v>0</v>
      </c>
      <c r="H114" s="311"/>
      <c r="I114" s="277"/>
      <c r="J114" s="277"/>
      <c r="K114" s="277"/>
      <c r="L114" s="277"/>
      <c r="M114" s="277"/>
      <c r="N114" s="277"/>
      <c r="O114" s="277"/>
      <c r="P114" s="277"/>
      <c r="Q114" s="312"/>
    </row>
    <row r="115" spans="1:22" ht="39" hidden="1" x14ac:dyDescent="0.25">
      <c r="A115" s="502">
        <v>5094</v>
      </c>
      <c r="B115" s="494">
        <v>770000</v>
      </c>
      <c r="C115" s="287" t="s">
        <v>117</v>
      </c>
      <c r="D115" s="287"/>
      <c r="E115" s="288">
        <f>E116+E118</f>
        <v>0</v>
      </c>
      <c r="F115" s="278">
        <f t="shared" si="23"/>
        <v>0</v>
      </c>
      <c r="G115" s="288">
        <f t="shared" si="20"/>
        <v>0</v>
      </c>
      <c r="H115" s="288"/>
      <c r="I115" s="288">
        <f t="shared" ref="I115:Q115" si="29">I116+I118</f>
        <v>0</v>
      </c>
      <c r="J115" s="288">
        <f t="shared" si="29"/>
        <v>0</v>
      </c>
      <c r="K115" s="288"/>
      <c r="L115" s="288">
        <f t="shared" si="29"/>
        <v>0</v>
      </c>
      <c r="M115" s="288"/>
      <c r="N115" s="288">
        <f t="shared" si="29"/>
        <v>0</v>
      </c>
      <c r="O115" s="288">
        <f t="shared" si="29"/>
        <v>0</v>
      </c>
      <c r="P115" s="288"/>
      <c r="Q115" s="289">
        <f t="shared" si="29"/>
        <v>0</v>
      </c>
    </row>
    <row r="116" spans="1:22" ht="39" hidden="1" x14ac:dyDescent="0.25">
      <c r="A116" s="502">
        <v>5095</v>
      </c>
      <c r="B116" s="494">
        <v>771000</v>
      </c>
      <c r="C116" s="287" t="s">
        <v>118</v>
      </c>
      <c r="D116" s="287"/>
      <c r="E116" s="288">
        <f>E117</f>
        <v>0</v>
      </c>
      <c r="F116" s="278">
        <f t="shared" si="23"/>
        <v>0</v>
      </c>
      <c r="G116" s="288">
        <f t="shared" si="20"/>
        <v>0</v>
      </c>
      <c r="H116" s="288"/>
      <c r="I116" s="288">
        <f t="shared" ref="I116:Q116" si="30">I117</f>
        <v>0</v>
      </c>
      <c r="J116" s="288">
        <f t="shared" si="30"/>
        <v>0</v>
      </c>
      <c r="K116" s="288"/>
      <c r="L116" s="288">
        <f t="shared" si="30"/>
        <v>0</v>
      </c>
      <c r="M116" s="288"/>
      <c r="N116" s="288">
        <f t="shared" si="30"/>
        <v>0</v>
      </c>
      <c r="O116" s="288">
        <f t="shared" si="30"/>
        <v>0</v>
      </c>
      <c r="P116" s="288"/>
      <c r="Q116" s="289">
        <f t="shared" si="30"/>
        <v>0</v>
      </c>
    </row>
    <row r="117" spans="1:22" ht="26.25" hidden="1" x14ac:dyDescent="0.25">
      <c r="A117" s="293">
        <v>5096</v>
      </c>
      <c r="B117" s="294">
        <v>771100</v>
      </c>
      <c r="C117" s="295" t="s">
        <v>119</v>
      </c>
      <c r="D117" s="295"/>
      <c r="E117" s="277"/>
      <c r="F117" s="278">
        <f t="shared" si="23"/>
        <v>0</v>
      </c>
      <c r="G117" s="311">
        <f t="shared" si="20"/>
        <v>0</v>
      </c>
      <c r="H117" s="311"/>
      <c r="I117" s="277"/>
      <c r="J117" s="277"/>
      <c r="K117" s="277"/>
      <c r="L117" s="277"/>
      <c r="M117" s="277"/>
      <c r="N117" s="277"/>
      <c r="O117" s="277"/>
      <c r="P117" s="277"/>
      <c r="Q117" s="312"/>
    </row>
    <row r="118" spans="1:22" ht="51.75" hidden="1" x14ac:dyDescent="0.25">
      <c r="A118" s="502">
        <v>5097</v>
      </c>
      <c r="B118" s="494">
        <v>772000</v>
      </c>
      <c r="C118" s="287" t="s">
        <v>120</v>
      </c>
      <c r="D118" s="287"/>
      <c r="E118" s="288">
        <f>E119</f>
        <v>0</v>
      </c>
      <c r="F118" s="278">
        <f t="shared" si="23"/>
        <v>0</v>
      </c>
      <c r="G118" s="288">
        <f t="shared" si="20"/>
        <v>0</v>
      </c>
      <c r="H118" s="288"/>
      <c r="I118" s="288">
        <f t="shared" ref="I118:Q118" si="31">I119</f>
        <v>0</v>
      </c>
      <c r="J118" s="288">
        <f t="shared" si="31"/>
        <v>0</v>
      </c>
      <c r="K118" s="288"/>
      <c r="L118" s="288">
        <f t="shared" si="31"/>
        <v>0</v>
      </c>
      <c r="M118" s="288"/>
      <c r="N118" s="288">
        <f t="shared" si="31"/>
        <v>0</v>
      </c>
      <c r="O118" s="288">
        <f t="shared" si="31"/>
        <v>0</v>
      </c>
      <c r="P118" s="288"/>
      <c r="Q118" s="289">
        <f t="shared" si="31"/>
        <v>0</v>
      </c>
    </row>
    <row r="119" spans="1:22" ht="39" hidden="1" x14ac:dyDescent="0.25">
      <c r="A119" s="293">
        <v>5098</v>
      </c>
      <c r="B119" s="294">
        <v>772100</v>
      </c>
      <c r="C119" s="295" t="s">
        <v>121</v>
      </c>
      <c r="D119" s="295"/>
      <c r="E119" s="277"/>
      <c r="F119" s="278">
        <f t="shared" si="23"/>
        <v>0</v>
      </c>
      <c r="G119" s="311">
        <f t="shared" si="20"/>
        <v>0</v>
      </c>
      <c r="H119" s="311"/>
      <c r="I119" s="277"/>
      <c r="J119" s="277"/>
      <c r="K119" s="277"/>
      <c r="L119" s="277"/>
      <c r="M119" s="277"/>
      <c r="N119" s="277"/>
      <c r="O119" s="277"/>
      <c r="P119" s="277"/>
      <c r="Q119" s="312"/>
    </row>
    <row r="120" spans="1:22" ht="39" x14ac:dyDescent="0.25">
      <c r="A120" s="502">
        <v>5089</v>
      </c>
      <c r="B120" s="494">
        <v>744000</v>
      </c>
      <c r="C120" s="287" t="s">
        <v>112</v>
      </c>
      <c r="D120" s="287"/>
      <c r="E120" s="288">
        <f>E121+E122</f>
        <v>1447862</v>
      </c>
      <c r="F120" s="314">
        <f t="shared" si="23"/>
        <v>0</v>
      </c>
      <c r="G120" s="288">
        <f t="shared" ref="G120:L120" si="32">G121+G122</f>
        <v>2994896</v>
      </c>
      <c r="H120" s="288">
        <f t="shared" si="32"/>
        <v>0</v>
      </c>
      <c r="I120" s="288">
        <f t="shared" si="32"/>
        <v>0</v>
      </c>
      <c r="J120" s="288">
        <f t="shared" si="32"/>
        <v>0</v>
      </c>
      <c r="K120" s="288">
        <f t="shared" si="32"/>
        <v>0</v>
      </c>
      <c r="L120" s="288">
        <f t="shared" si="32"/>
        <v>0</v>
      </c>
      <c r="M120" s="288"/>
      <c r="P120" s="288">
        <f>P121</f>
        <v>0</v>
      </c>
    </row>
    <row r="121" spans="1:22" ht="26.25" x14ac:dyDescent="0.25">
      <c r="A121" s="293">
        <v>5090</v>
      </c>
      <c r="B121" s="294">
        <v>744100</v>
      </c>
      <c r="C121" s="295" t="s">
        <v>113</v>
      </c>
      <c r="D121" s="295"/>
      <c r="E121" s="277">
        <v>4100</v>
      </c>
      <c r="F121" s="278">
        <f t="shared" si="23"/>
        <v>0</v>
      </c>
      <c r="G121" s="277"/>
      <c r="H121" s="277"/>
      <c r="I121" s="277"/>
      <c r="J121" s="277"/>
      <c r="K121" s="277"/>
      <c r="L121" s="277"/>
      <c r="M121" s="277"/>
      <c r="P121" s="315"/>
    </row>
    <row r="122" spans="1:22" ht="39" x14ac:dyDescent="0.25">
      <c r="A122" s="502">
        <v>5099</v>
      </c>
      <c r="B122" s="494">
        <v>780000</v>
      </c>
      <c r="C122" s="287" t="s">
        <v>122</v>
      </c>
      <c r="D122" s="287"/>
      <c r="E122" s="288">
        <f>E123</f>
        <v>1443762</v>
      </c>
      <c r="F122" s="290">
        <f t="shared" si="23"/>
        <v>1597834</v>
      </c>
      <c r="G122" s="288">
        <f t="shared" ref="G122:Q122" si="33">G123</f>
        <v>2994896</v>
      </c>
      <c r="H122" s="288">
        <f t="shared" si="33"/>
        <v>0</v>
      </c>
      <c r="I122" s="288">
        <f t="shared" si="33"/>
        <v>0</v>
      </c>
      <c r="J122" s="288">
        <f t="shared" si="33"/>
        <v>0</v>
      </c>
      <c r="K122" s="288">
        <f t="shared" si="33"/>
        <v>0</v>
      </c>
      <c r="L122" s="288">
        <f t="shared" si="33"/>
        <v>0</v>
      </c>
      <c r="M122" s="288">
        <f t="shared" si="33"/>
        <v>1597834</v>
      </c>
      <c r="N122" s="288">
        <f t="shared" si="33"/>
        <v>1397062</v>
      </c>
      <c r="O122" s="288">
        <f t="shared" si="33"/>
        <v>0</v>
      </c>
      <c r="P122" s="288">
        <f t="shared" si="33"/>
        <v>0</v>
      </c>
      <c r="Q122" s="289">
        <f t="shared" si="33"/>
        <v>0</v>
      </c>
    </row>
    <row r="123" spans="1:22" ht="39" x14ac:dyDescent="0.25">
      <c r="A123" s="502">
        <v>5100</v>
      </c>
      <c r="B123" s="494">
        <v>781000</v>
      </c>
      <c r="C123" s="287" t="s">
        <v>123</v>
      </c>
      <c r="D123" s="287"/>
      <c r="E123" s="288">
        <f>E124+E125</f>
        <v>1443762</v>
      </c>
      <c r="F123" s="290">
        <f t="shared" si="23"/>
        <v>1597834</v>
      </c>
      <c r="G123" s="288">
        <f t="shared" ref="G123:Q123" si="34">G124+G125</f>
        <v>2994896</v>
      </c>
      <c r="H123" s="288">
        <f t="shared" si="34"/>
        <v>0</v>
      </c>
      <c r="I123" s="288">
        <f t="shared" si="34"/>
        <v>0</v>
      </c>
      <c r="J123" s="288">
        <f t="shared" si="34"/>
        <v>0</v>
      </c>
      <c r="K123" s="288">
        <f t="shared" si="34"/>
        <v>0</v>
      </c>
      <c r="L123" s="288">
        <f t="shared" si="34"/>
        <v>0</v>
      </c>
      <c r="M123" s="288">
        <f t="shared" si="34"/>
        <v>1597834</v>
      </c>
      <c r="N123" s="288">
        <f t="shared" si="34"/>
        <v>1397062</v>
      </c>
      <c r="O123" s="288">
        <f t="shared" si="34"/>
        <v>0</v>
      </c>
      <c r="P123" s="288">
        <f t="shared" si="34"/>
        <v>0</v>
      </c>
      <c r="Q123" s="289">
        <f t="shared" si="34"/>
        <v>0</v>
      </c>
    </row>
    <row r="124" spans="1:22" ht="28.5" x14ac:dyDescent="0.4">
      <c r="A124" s="293">
        <v>5101</v>
      </c>
      <c r="B124" s="294">
        <v>781100</v>
      </c>
      <c r="C124" s="295" t="s">
        <v>124</v>
      </c>
      <c r="D124" s="295"/>
      <c r="E124" s="277">
        <v>1443762</v>
      </c>
      <c r="F124" s="290">
        <f t="shared" si="23"/>
        <v>1597834</v>
      </c>
      <c r="G124" s="311">
        <f>SUM(I124:Q124)</f>
        <v>2994896</v>
      </c>
      <c r="H124" s="311"/>
      <c r="I124" s="277"/>
      <c r="J124" s="277"/>
      <c r="K124" s="277"/>
      <c r="L124" s="277"/>
      <c r="M124" s="277">
        <v>1597834</v>
      </c>
      <c r="N124" s="277">
        <v>1397062</v>
      </c>
      <c r="O124" s="277"/>
      <c r="P124" s="277"/>
      <c r="Q124" s="312"/>
      <c r="V124" s="346" t="s">
        <v>538</v>
      </c>
    </row>
    <row r="125" spans="1:22" ht="26.25" hidden="1" x14ac:dyDescent="0.25">
      <c r="A125" s="293">
        <v>5102</v>
      </c>
      <c r="B125" s="294">
        <v>781300</v>
      </c>
      <c r="C125" s="295" t="s">
        <v>125</v>
      </c>
      <c r="D125" s="295"/>
      <c r="E125" s="277"/>
      <c r="F125" s="290">
        <f t="shared" si="23"/>
        <v>0</v>
      </c>
      <c r="G125" s="311">
        <f t="shared" ref="G125:G161" si="35">SUM(I125:Q125)</f>
        <v>0</v>
      </c>
      <c r="H125" s="311"/>
      <c r="I125" s="277"/>
      <c r="J125" s="277"/>
      <c r="K125" s="277"/>
      <c r="L125" s="277"/>
      <c r="M125" s="277"/>
      <c r="N125" s="277"/>
      <c r="O125" s="277"/>
      <c r="P125" s="277"/>
      <c r="Q125" s="312"/>
    </row>
    <row r="126" spans="1:22" x14ac:dyDescent="0.25">
      <c r="A126" s="502">
        <v>5103</v>
      </c>
      <c r="B126" s="494">
        <v>790000</v>
      </c>
      <c r="C126" s="287" t="s">
        <v>126</v>
      </c>
      <c r="D126" s="287"/>
      <c r="E126" s="288">
        <f>E127</f>
        <v>37481</v>
      </c>
      <c r="F126" s="290">
        <f t="shared" si="23"/>
        <v>26000</v>
      </c>
      <c r="G126" s="288">
        <f t="shared" ref="G126:Q126" si="36">G127</f>
        <v>18078</v>
      </c>
      <c r="H126" s="288">
        <f>H127</f>
        <v>25000</v>
      </c>
      <c r="I126" s="288">
        <f t="shared" si="36"/>
        <v>17573</v>
      </c>
      <c r="J126" s="288">
        <f t="shared" si="36"/>
        <v>0</v>
      </c>
      <c r="K126" s="288">
        <f t="shared" si="36"/>
        <v>1000</v>
      </c>
      <c r="L126" s="288">
        <f t="shared" si="36"/>
        <v>505</v>
      </c>
      <c r="M126" s="288">
        <f t="shared" si="36"/>
        <v>0</v>
      </c>
      <c r="N126" s="288">
        <f t="shared" si="36"/>
        <v>0</v>
      </c>
      <c r="O126" s="288">
        <f t="shared" si="36"/>
        <v>0</v>
      </c>
      <c r="P126" s="288">
        <f t="shared" si="36"/>
        <v>0</v>
      </c>
      <c r="Q126" s="289">
        <f t="shared" si="36"/>
        <v>0</v>
      </c>
    </row>
    <row r="127" spans="1:22" x14ac:dyDescent="0.25">
      <c r="A127" s="502">
        <v>5104</v>
      </c>
      <c r="B127" s="494">
        <v>791000</v>
      </c>
      <c r="C127" s="287" t="s">
        <v>127</v>
      </c>
      <c r="D127" s="287"/>
      <c r="E127" s="288">
        <f>E132</f>
        <v>37481</v>
      </c>
      <c r="F127" s="290">
        <f t="shared" si="23"/>
        <v>26000</v>
      </c>
      <c r="G127" s="288">
        <f t="shared" ref="G127:Q127" si="37">G132</f>
        <v>18078</v>
      </c>
      <c r="H127" s="288">
        <f t="shared" si="37"/>
        <v>25000</v>
      </c>
      <c r="I127" s="288">
        <f t="shared" si="37"/>
        <v>17573</v>
      </c>
      <c r="J127" s="288">
        <f t="shared" si="37"/>
        <v>0</v>
      </c>
      <c r="K127" s="288">
        <f t="shared" si="37"/>
        <v>1000</v>
      </c>
      <c r="L127" s="288">
        <f t="shared" si="37"/>
        <v>505</v>
      </c>
      <c r="M127" s="288">
        <f t="shared" si="37"/>
        <v>0</v>
      </c>
      <c r="N127" s="288">
        <f t="shared" si="37"/>
        <v>0</v>
      </c>
      <c r="O127" s="288">
        <f t="shared" si="37"/>
        <v>0</v>
      </c>
      <c r="P127" s="288">
        <f t="shared" si="37"/>
        <v>0</v>
      </c>
      <c r="Q127" s="289">
        <f t="shared" si="37"/>
        <v>0</v>
      </c>
    </row>
    <row r="128" spans="1:22" hidden="1" x14ac:dyDescent="0.25">
      <c r="A128" s="663" t="s">
        <v>0</v>
      </c>
      <c r="B128" s="657" t="s">
        <v>1</v>
      </c>
      <c r="C128" s="656" t="s">
        <v>2</v>
      </c>
      <c r="D128" s="492"/>
      <c r="E128" s="658" t="s">
        <v>3</v>
      </c>
      <c r="F128" s="290">
        <f t="shared" si="23"/>
        <v>0</v>
      </c>
      <c r="G128" s="658" t="s">
        <v>4</v>
      </c>
      <c r="H128" s="658"/>
      <c r="I128" s="658"/>
      <c r="J128" s="658"/>
      <c r="K128" s="658"/>
      <c r="L128" s="658"/>
      <c r="M128" s="658"/>
      <c r="N128" s="658"/>
      <c r="O128" s="658"/>
      <c r="P128" s="658"/>
      <c r="Q128" s="664"/>
    </row>
    <row r="129" spans="1:22" hidden="1" x14ac:dyDescent="0.25">
      <c r="A129" s="663"/>
      <c r="B129" s="657"/>
      <c r="C129" s="656"/>
      <c r="D129" s="492"/>
      <c r="E129" s="658"/>
      <c r="F129" s="290">
        <f t="shared" si="23"/>
        <v>0</v>
      </c>
      <c r="G129" s="665" t="s">
        <v>5</v>
      </c>
      <c r="H129" s="497"/>
      <c r="I129" s="658" t="s">
        <v>6</v>
      </c>
      <c r="J129" s="658"/>
      <c r="K129" s="658"/>
      <c r="L129" s="658"/>
      <c r="M129" s="658"/>
      <c r="N129" s="658"/>
      <c r="O129" s="658" t="s">
        <v>7</v>
      </c>
      <c r="P129" s="494"/>
      <c r="Q129" s="664" t="s">
        <v>8</v>
      </c>
    </row>
    <row r="130" spans="1:22" ht="39" hidden="1" x14ac:dyDescent="0.25">
      <c r="A130" s="663"/>
      <c r="B130" s="657"/>
      <c r="C130" s="656"/>
      <c r="D130" s="492"/>
      <c r="E130" s="658"/>
      <c r="F130" s="290">
        <f t="shared" si="23"/>
        <v>0</v>
      </c>
      <c r="G130" s="665"/>
      <c r="H130" s="497"/>
      <c r="I130" s="494" t="s">
        <v>9</v>
      </c>
      <c r="J130" s="494" t="s">
        <v>10</v>
      </c>
      <c r="K130" s="494"/>
      <c r="L130" s="494" t="s">
        <v>11</v>
      </c>
      <c r="M130" s="494"/>
      <c r="N130" s="494" t="s">
        <v>12</v>
      </c>
      <c r="O130" s="658"/>
      <c r="P130" s="494"/>
      <c r="Q130" s="664"/>
    </row>
    <row r="131" spans="1:22" ht="26.25" hidden="1" x14ac:dyDescent="0.25">
      <c r="A131" s="304" t="s">
        <v>18</v>
      </c>
      <c r="B131" s="493" t="s">
        <v>19</v>
      </c>
      <c r="C131" s="493" t="s">
        <v>20</v>
      </c>
      <c r="D131" s="493"/>
      <c r="E131" s="306" t="s">
        <v>21</v>
      </c>
      <c r="F131" s="290">
        <f t="shared" si="23"/>
        <v>0</v>
      </c>
      <c r="G131" s="306" t="s">
        <v>22</v>
      </c>
      <c r="H131" s="306"/>
      <c r="I131" s="306" t="s">
        <v>23</v>
      </c>
      <c r="J131" s="306" t="s">
        <v>24</v>
      </c>
      <c r="K131" s="306"/>
      <c r="L131" s="306" t="s">
        <v>25</v>
      </c>
      <c r="M131" s="306"/>
      <c r="N131" s="306" t="s">
        <v>26</v>
      </c>
      <c r="O131" s="306" t="s">
        <v>27</v>
      </c>
      <c r="P131" s="306"/>
      <c r="Q131" s="307" t="s">
        <v>28</v>
      </c>
    </row>
    <row r="132" spans="1:22" ht="26.25" x14ac:dyDescent="0.4">
      <c r="A132" s="293">
        <v>5105</v>
      </c>
      <c r="B132" s="294">
        <v>791100</v>
      </c>
      <c r="C132" s="295" t="s">
        <v>128</v>
      </c>
      <c r="D132" s="295"/>
      <c r="E132" s="277">
        <v>37481</v>
      </c>
      <c r="F132" s="278">
        <f t="shared" si="23"/>
        <v>26000</v>
      </c>
      <c r="G132" s="340">
        <f>SUM(I132:Q132)-K132-M132-P132</f>
        <v>18078</v>
      </c>
      <c r="H132" s="340">
        <v>25000</v>
      </c>
      <c r="I132" s="277">
        <v>17573</v>
      </c>
      <c r="J132" s="277"/>
      <c r="K132" s="277">
        <v>1000</v>
      </c>
      <c r="L132" s="277">
        <v>505</v>
      </c>
      <c r="M132" s="277"/>
      <c r="N132" s="277"/>
      <c r="O132" s="277"/>
      <c r="P132" s="277"/>
      <c r="Q132" s="312"/>
      <c r="V132" s="346" t="s">
        <v>538</v>
      </c>
    </row>
    <row r="133" spans="1:22" ht="39" x14ac:dyDescent="0.25">
      <c r="A133" s="502">
        <v>5106</v>
      </c>
      <c r="B133" s="494">
        <v>800000</v>
      </c>
      <c r="C133" s="287" t="s">
        <v>129</v>
      </c>
      <c r="D133" s="287"/>
      <c r="E133" s="288">
        <f>E134+E141+E148+E151</f>
        <v>200</v>
      </c>
      <c r="F133" s="290">
        <f t="shared" si="23"/>
        <v>200</v>
      </c>
      <c r="G133" s="288">
        <f t="shared" ref="G133:Q133" si="38">G134+G141+G148+G151</f>
        <v>184</v>
      </c>
      <c r="H133" s="288">
        <f t="shared" si="38"/>
        <v>0</v>
      </c>
      <c r="I133" s="288">
        <f t="shared" si="38"/>
        <v>0</v>
      </c>
      <c r="J133" s="288">
        <f t="shared" si="38"/>
        <v>0</v>
      </c>
      <c r="K133" s="288">
        <f t="shared" si="38"/>
        <v>0</v>
      </c>
      <c r="L133" s="288">
        <f t="shared" si="38"/>
        <v>0</v>
      </c>
      <c r="M133" s="288">
        <f t="shared" si="38"/>
        <v>0</v>
      </c>
      <c r="N133" s="288">
        <f t="shared" si="38"/>
        <v>0</v>
      </c>
      <c r="O133" s="288">
        <f t="shared" si="38"/>
        <v>0</v>
      </c>
      <c r="P133" s="288">
        <f t="shared" si="38"/>
        <v>200</v>
      </c>
      <c r="Q133" s="289">
        <f t="shared" si="38"/>
        <v>184</v>
      </c>
    </row>
    <row r="134" spans="1:22" ht="39" x14ac:dyDescent="0.25">
      <c r="A134" s="502">
        <v>5107</v>
      </c>
      <c r="B134" s="494">
        <v>810000</v>
      </c>
      <c r="C134" s="287" t="s">
        <v>130</v>
      </c>
      <c r="D134" s="287"/>
      <c r="E134" s="288">
        <f>E135+E137+E139</f>
        <v>200</v>
      </c>
      <c r="F134" s="290">
        <f t="shared" si="23"/>
        <v>200</v>
      </c>
      <c r="G134" s="288">
        <f t="shared" ref="G134:Q134" si="39">G135+G137+G139</f>
        <v>184</v>
      </c>
      <c r="H134" s="288">
        <f t="shared" si="39"/>
        <v>0</v>
      </c>
      <c r="I134" s="288">
        <f t="shared" si="39"/>
        <v>0</v>
      </c>
      <c r="J134" s="288">
        <f t="shared" si="39"/>
        <v>0</v>
      </c>
      <c r="K134" s="288">
        <f>K135+K137+K139</f>
        <v>0</v>
      </c>
      <c r="L134" s="288">
        <f t="shared" si="39"/>
        <v>0</v>
      </c>
      <c r="M134" s="288">
        <f t="shared" si="39"/>
        <v>0</v>
      </c>
      <c r="N134" s="288">
        <f t="shared" si="39"/>
        <v>0</v>
      </c>
      <c r="O134" s="288">
        <f t="shared" si="39"/>
        <v>0</v>
      </c>
      <c r="P134" s="288">
        <f t="shared" si="39"/>
        <v>200</v>
      </c>
      <c r="Q134" s="289">
        <f t="shared" si="39"/>
        <v>184</v>
      </c>
    </row>
    <row r="135" spans="1:22" ht="26.25" hidden="1" x14ac:dyDescent="0.25">
      <c r="A135" s="502">
        <v>5108</v>
      </c>
      <c r="B135" s="494">
        <v>811000</v>
      </c>
      <c r="C135" s="287" t="s">
        <v>131</v>
      </c>
      <c r="D135" s="287"/>
      <c r="E135" s="288">
        <f>E136</f>
        <v>0</v>
      </c>
      <c r="F135" s="290">
        <f t="shared" si="23"/>
        <v>0</v>
      </c>
      <c r="G135" s="288">
        <f t="shared" si="35"/>
        <v>0</v>
      </c>
      <c r="H135" s="288"/>
      <c r="I135" s="288">
        <f t="shared" ref="I135:Q135" si="40">I136</f>
        <v>0</v>
      </c>
      <c r="J135" s="288">
        <f t="shared" si="40"/>
        <v>0</v>
      </c>
      <c r="K135" s="288"/>
      <c r="L135" s="288">
        <f t="shared" si="40"/>
        <v>0</v>
      </c>
      <c r="M135" s="288"/>
      <c r="N135" s="288">
        <f t="shared" si="40"/>
        <v>0</v>
      </c>
      <c r="O135" s="288">
        <f t="shared" si="40"/>
        <v>0</v>
      </c>
      <c r="P135" s="288"/>
      <c r="Q135" s="289">
        <f t="shared" si="40"/>
        <v>0</v>
      </c>
    </row>
    <row r="136" spans="1:22" ht="26.25" hidden="1" x14ac:dyDescent="0.25">
      <c r="A136" s="293">
        <v>5109</v>
      </c>
      <c r="B136" s="294">
        <v>811100</v>
      </c>
      <c r="C136" s="295" t="s">
        <v>132</v>
      </c>
      <c r="D136" s="295"/>
      <c r="E136" s="277"/>
      <c r="F136" s="290">
        <f t="shared" si="23"/>
        <v>0</v>
      </c>
      <c r="G136" s="311">
        <f t="shared" si="35"/>
        <v>0</v>
      </c>
      <c r="H136" s="311"/>
      <c r="I136" s="277"/>
      <c r="J136" s="277"/>
      <c r="K136" s="277"/>
      <c r="L136" s="277"/>
      <c r="M136" s="277"/>
      <c r="N136" s="277"/>
      <c r="O136" s="277"/>
      <c r="P136" s="277"/>
      <c r="Q136" s="312"/>
    </row>
    <row r="137" spans="1:22" ht="26.25" x14ac:dyDescent="0.25">
      <c r="A137" s="502">
        <v>5110</v>
      </c>
      <c r="B137" s="494">
        <v>812000</v>
      </c>
      <c r="C137" s="287" t="s">
        <v>133</v>
      </c>
      <c r="D137" s="287"/>
      <c r="E137" s="288">
        <f>E138</f>
        <v>200</v>
      </c>
      <c r="F137" s="290">
        <f t="shared" si="23"/>
        <v>200</v>
      </c>
      <c r="G137" s="288">
        <f t="shared" ref="G137:Q137" si="41">G138</f>
        <v>184</v>
      </c>
      <c r="H137" s="288">
        <f t="shared" si="41"/>
        <v>0</v>
      </c>
      <c r="I137" s="288">
        <f t="shared" si="41"/>
        <v>0</v>
      </c>
      <c r="J137" s="288">
        <f t="shared" si="41"/>
        <v>0</v>
      </c>
      <c r="K137" s="288">
        <f t="shared" si="41"/>
        <v>0</v>
      </c>
      <c r="L137" s="288">
        <f t="shared" si="41"/>
        <v>0</v>
      </c>
      <c r="M137" s="288">
        <f t="shared" si="41"/>
        <v>0</v>
      </c>
      <c r="N137" s="288">
        <f t="shared" si="41"/>
        <v>0</v>
      </c>
      <c r="O137" s="288">
        <f t="shared" si="41"/>
        <v>0</v>
      </c>
      <c r="P137" s="288">
        <f t="shared" si="41"/>
        <v>200</v>
      </c>
      <c r="Q137" s="289">
        <f t="shared" si="41"/>
        <v>184</v>
      </c>
    </row>
    <row r="138" spans="1:22" ht="26.25" x14ac:dyDescent="0.25">
      <c r="A138" s="293">
        <v>5111</v>
      </c>
      <c r="B138" s="294">
        <v>812100</v>
      </c>
      <c r="C138" s="295" t="s">
        <v>134</v>
      </c>
      <c r="D138" s="295"/>
      <c r="E138" s="277">
        <v>200</v>
      </c>
      <c r="F138" s="278">
        <f t="shared" si="23"/>
        <v>200</v>
      </c>
      <c r="G138" s="311">
        <f>SUM(I138:Q138)-K138-M138-P138</f>
        <v>184</v>
      </c>
      <c r="H138" s="311"/>
      <c r="I138" s="277"/>
      <c r="J138" s="277"/>
      <c r="K138" s="277"/>
      <c r="L138" s="277"/>
      <c r="M138" s="277"/>
      <c r="N138" s="277"/>
      <c r="O138" s="277"/>
      <c r="P138" s="277">
        <v>200</v>
      </c>
      <c r="Q138" s="312">
        <v>184</v>
      </c>
    </row>
    <row r="139" spans="1:22" ht="39" hidden="1" x14ac:dyDescent="0.25">
      <c r="A139" s="502">
        <v>5112</v>
      </c>
      <c r="B139" s="494">
        <v>813000</v>
      </c>
      <c r="C139" s="287" t="s">
        <v>135</v>
      </c>
      <c r="D139" s="287"/>
      <c r="E139" s="288">
        <f>E140</f>
        <v>0</v>
      </c>
      <c r="F139" s="288"/>
      <c r="G139" s="288">
        <f t="shared" si="35"/>
        <v>0</v>
      </c>
      <c r="H139" s="288"/>
      <c r="I139" s="288">
        <f t="shared" ref="I139:Q139" si="42">I140</f>
        <v>0</v>
      </c>
      <c r="J139" s="288">
        <f t="shared" si="42"/>
        <v>0</v>
      </c>
      <c r="K139" s="288"/>
      <c r="L139" s="288">
        <f t="shared" si="42"/>
        <v>0</v>
      </c>
      <c r="M139" s="288"/>
      <c r="N139" s="288">
        <f t="shared" si="42"/>
        <v>0</v>
      </c>
      <c r="O139" s="288">
        <f t="shared" si="42"/>
        <v>0</v>
      </c>
      <c r="P139" s="288"/>
      <c r="Q139" s="289">
        <f t="shared" si="42"/>
        <v>0</v>
      </c>
    </row>
    <row r="140" spans="1:22" ht="26.25" hidden="1" x14ac:dyDescent="0.25">
      <c r="A140" s="293">
        <v>5113</v>
      </c>
      <c r="B140" s="294">
        <v>813100</v>
      </c>
      <c r="C140" s="295" t="s">
        <v>136</v>
      </c>
      <c r="D140" s="295"/>
      <c r="E140" s="277"/>
      <c r="F140" s="277"/>
      <c r="G140" s="311">
        <f t="shared" si="35"/>
        <v>0</v>
      </c>
      <c r="H140" s="311"/>
      <c r="I140" s="277"/>
      <c r="J140" s="277"/>
      <c r="K140" s="277"/>
      <c r="L140" s="277"/>
      <c r="M140" s="277"/>
      <c r="N140" s="277"/>
      <c r="O140" s="277"/>
      <c r="P140" s="277"/>
      <c r="Q140" s="312"/>
    </row>
    <row r="141" spans="1:22" ht="26.25" hidden="1" x14ac:dyDescent="0.25">
      <c r="A141" s="502">
        <v>5114</v>
      </c>
      <c r="B141" s="494">
        <v>820000</v>
      </c>
      <c r="C141" s="287" t="s">
        <v>137</v>
      </c>
      <c r="D141" s="287"/>
      <c r="E141" s="288">
        <f>E142+E144+E146</f>
        <v>0</v>
      </c>
      <c r="F141" s="288"/>
      <c r="G141" s="288">
        <f t="shared" si="35"/>
        <v>0</v>
      </c>
      <c r="H141" s="288"/>
      <c r="I141" s="288">
        <f t="shared" ref="I141:Q141" si="43">I142+I144+I146</f>
        <v>0</v>
      </c>
      <c r="J141" s="288">
        <f t="shared" si="43"/>
        <v>0</v>
      </c>
      <c r="K141" s="288"/>
      <c r="L141" s="288">
        <f t="shared" si="43"/>
        <v>0</v>
      </c>
      <c r="M141" s="288"/>
      <c r="N141" s="288">
        <f t="shared" si="43"/>
        <v>0</v>
      </c>
      <c r="O141" s="288">
        <f t="shared" si="43"/>
        <v>0</v>
      </c>
      <c r="P141" s="288"/>
      <c r="Q141" s="289">
        <f t="shared" si="43"/>
        <v>0</v>
      </c>
    </row>
    <row r="142" spans="1:22" ht="26.25" hidden="1" x14ac:dyDescent="0.25">
      <c r="A142" s="502">
        <v>5115</v>
      </c>
      <c r="B142" s="494">
        <v>821000</v>
      </c>
      <c r="C142" s="287" t="s">
        <v>138</v>
      </c>
      <c r="D142" s="287"/>
      <c r="E142" s="288">
        <f>E143</f>
        <v>0</v>
      </c>
      <c r="F142" s="288"/>
      <c r="G142" s="288">
        <f t="shared" si="35"/>
        <v>0</v>
      </c>
      <c r="H142" s="288"/>
      <c r="I142" s="288">
        <f t="shared" ref="I142:Q142" si="44">I143</f>
        <v>0</v>
      </c>
      <c r="J142" s="288">
        <f t="shared" si="44"/>
        <v>0</v>
      </c>
      <c r="K142" s="288"/>
      <c r="L142" s="288">
        <f t="shared" si="44"/>
        <v>0</v>
      </c>
      <c r="M142" s="288"/>
      <c r="N142" s="288">
        <f t="shared" si="44"/>
        <v>0</v>
      </c>
      <c r="O142" s="288">
        <f t="shared" si="44"/>
        <v>0</v>
      </c>
      <c r="P142" s="288"/>
      <c r="Q142" s="289">
        <f t="shared" si="44"/>
        <v>0</v>
      </c>
    </row>
    <row r="143" spans="1:22" ht="26.25" hidden="1" x14ac:dyDescent="0.25">
      <c r="A143" s="293">
        <v>5116</v>
      </c>
      <c r="B143" s="294">
        <v>821100</v>
      </c>
      <c r="C143" s="295" t="s">
        <v>139</v>
      </c>
      <c r="D143" s="295"/>
      <c r="E143" s="277"/>
      <c r="F143" s="277"/>
      <c r="G143" s="311">
        <f t="shared" si="35"/>
        <v>0</v>
      </c>
      <c r="H143" s="311"/>
      <c r="I143" s="277"/>
      <c r="J143" s="277"/>
      <c r="K143" s="277"/>
      <c r="L143" s="277"/>
      <c r="M143" s="277"/>
      <c r="N143" s="277"/>
      <c r="O143" s="277"/>
      <c r="P143" s="277"/>
      <c r="Q143" s="312"/>
    </row>
    <row r="144" spans="1:22" ht="39" hidden="1" x14ac:dyDescent="0.25">
      <c r="A144" s="502">
        <v>5117</v>
      </c>
      <c r="B144" s="494">
        <v>822000</v>
      </c>
      <c r="C144" s="287" t="s">
        <v>140</v>
      </c>
      <c r="D144" s="287"/>
      <c r="E144" s="288">
        <f>E145</f>
        <v>0</v>
      </c>
      <c r="F144" s="288"/>
      <c r="G144" s="288">
        <f t="shared" si="35"/>
        <v>0</v>
      </c>
      <c r="H144" s="288"/>
      <c r="I144" s="288">
        <f t="shared" ref="I144:Q144" si="45">I145</f>
        <v>0</v>
      </c>
      <c r="J144" s="288">
        <f t="shared" si="45"/>
        <v>0</v>
      </c>
      <c r="K144" s="288"/>
      <c r="L144" s="288">
        <f t="shared" si="45"/>
        <v>0</v>
      </c>
      <c r="M144" s="288"/>
      <c r="N144" s="288">
        <f t="shared" si="45"/>
        <v>0</v>
      </c>
      <c r="O144" s="288">
        <f t="shared" si="45"/>
        <v>0</v>
      </c>
      <c r="P144" s="288"/>
      <c r="Q144" s="289">
        <f t="shared" si="45"/>
        <v>0</v>
      </c>
    </row>
    <row r="145" spans="1:17" ht="26.25" hidden="1" x14ac:dyDescent="0.25">
      <c r="A145" s="293">
        <v>5118</v>
      </c>
      <c r="B145" s="294">
        <v>822100</v>
      </c>
      <c r="C145" s="295" t="s">
        <v>141</v>
      </c>
      <c r="D145" s="295"/>
      <c r="E145" s="277"/>
      <c r="F145" s="277"/>
      <c r="G145" s="311">
        <f t="shared" si="35"/>
        <v>0</v>
      </c>
      <c r="H145" s="311"/>
      <c r="I145" s="277"/>
      <c r="J145" s="277"/>
      <c r="K145" s="277"/>
      <c r="L145" s="277"/>
      <c r="M145" s="277"/>
      <c r="N145" s="277"/>
      <c r="O145" s="277"/>
      <c r="P145" s="277"/>
      <c r="Q145" s="312"/>
    </row>
    <row r="146" spans="1:17" ht="39" hidden="1" x14ac:dyDescent="0.25">
      <c r="A146" s="502">
        <v>5119</v>
      </c>
      <c r="B146" s="494">
        <v>823000</v>
      </c>
      <c r="C146" s="287" t="s">
        <v>142</v>
      </c>
      <c r="D146" s="287"/>
      <c r="E146" s="288">
        <f>E147</f>
        <v>0</v>
      </c>
      <c r="F146" s="288"/>
      <c r="G146" s="288">
        <f t="shared" si="35"/>
        <v>0</v>
      </c>
      <c r="H146" s="288"/>
      <c r="I146" s="288">
        <f t="shared" ref="I146:Q146" si="46">I147</f>
        <v>0</v>
      </c>
      <c r="J146" s="288">
        <f t="shared" si="46"/>
        <v>0</v>
      </c>
      <c r="K146" s="288"/>
      <c r="L146" s="288">
        <f t="shared" si="46"/>
        <v>0</v>
      </c>
      <c r="M146" s="288"/>
      <c r="N146" s="288">
        <f t="shared" si="46"/>
        <v>0</v>
      </c>
      <c r="O146" s="288">
        <f t="shared" si="46"/>
        <v>0</v>
      </c>
      <c r="P146" s="288"/>
      <c r="Q146" s="289">
        <f t="shared" si="46"/>
        <v>0</v>
      </c>
    </row>
    <row r="147" spans="1:17" ht="26.25" hidden="1" x14ac:dyDescent="0.25">
      <c r="A147" s="293">
        <v>5120</v>
      </c>
      <c r="B147" s="294">
        <v>823100</v>
      </c>
      <c r="C147" s="295" t="s">
        <v>143</v>
      </c>
      <c r="D147" s="295"/>
      <c r="E147" s="277"/>
      <c r="F147" s="277"/>
      <c r="G147" s="311">
        <f t="shared" si="35"/>
        <v>0</v>
      </c>
      <c r="H147" s="311"/>
      <c r="I147" s="277"/>
      <c r="J147" s="277"/>
      <c r="K147" s="277"/>
      <c r="L147" s="277"/>
      <c r="M147" s="277"/>
      <c r="N147" s="277"/>
      <c r="O147" s="277"/>
      <c r="P147" s="277"/>
      <c r="Q147" s="312"/>
    </row>
    <row r="148" spans="1:17" ht="26.25" hidden="1" x14ac:dyDescent="0.25">
      <c r="A148" s="502">
        <v>5121</v>
      </c>
      <c r="B148" s="494">
        <v>830000</v>
      </c>
      <c r="C148" s="287" t="s">
        <v>144</v>
      </c>
      <c r="D148" s="287"/>
      <c r="E148" s="288">
        <f>E149</f>
        <v>0</v>
      </c>
      <c r="F148" s="288"/>
      <c r="G148" s="288">
        <f t="shared" si="35"/>
        <v>0</v>
      </c>
      <c r="H148" s="288"/>
      <c r="I148" s="288">
        <f t="shared" ref="I148:Q149" si="47">I149</f>
        <v>0</v>
      </c>
      <c r="J148" s="288">
        <f t="shared" si="47"/>
        <v>0</v>
      </c>
      <c r="K148" s="288"/>
      <c r="L148" s="288">
        <f t="shared" si="47"/>
        <v>0</v>
      </c>
      <c r="M148" s="288"/>
      <c r="N148" s="288">
        <f t="shared" si="47"/>
        <v>0</v>
      </c>
      <c r="O148" s="288">
        <f t="shared" si="47"/>
        <v>0</v>
      </c>
      <c r="P148" s="288"/>
      <c r="Q148" s="289">
        <f t="shared" si="47"/>
        <v>0</v>
      </c>
    </row>
    <row r="149" spans="1:17" ht="26.25" hidden="1" x14ac:dyDescent="0.25">
      <c r="A149" s="502">
        <v>5122</v>
      </c>
      <c r="B149" s="494">
        <v>831000</v>
      </c>
      <c r="C149" s="287" t="s">
        <v>145</v>
      </c>
      <c r="D149" s="287"/>
      <c r="E149" s="288">
        <f>E150</f>
        <v>0</v>
      </c>
      <c r="F149" s="288"/>
      <c r="G149" s="288">
        <f t="shared" si="35"/>
        <v>0</v>
      </c>
      <c r="H149" s="288"/>
      <c r="I149" s="288">
        <f t="shared" si="47"/>
        <v>0</v>
      </c>
      <c r="J149" s="288">
        <f t="shared" si="47"/>
        <v>0</v>
      </c>
      <c r="K149" s="288"/>
      <c r="L149" s="288">
        <f t="shared" si="47"/>
        <v>0</v>
      </c>
      <c r="M149" s="288"/>
      <c r="N149" s="288">
        <f t="shared" si="47"/>
        <v>0</v>
      </c>
      <c r="O149" s="288">
        <f t="shared" si="47"/>
        <v>0</v>
      </c>
      <c r="P149" s="288"/>
      <c r="Q149" s="289">
        <f t="shared" si="47"/>
        <v>0</v>
      </c>
    </row>
    <row r="150" spans="1:17" ht="26.25" hidden="1" x14ac:dyDescent="0.25">
      <c r="A150" s="293">
        <v>5123</v>
      </c>
      <c r="B150" s="294">
        <v>831100</v>
      </c>
      <c r="C150" s="295" t="s">
        <v>146</v>
      </c>
      <c r="D150" s="295"/>
      <c r="E150" s="277"/>
      <c r="F150" s="277"/>
      <c r="G150" s="311">
        <f t="shared" si="35"/>
        <v>0</v>
      </c>
      <c r="H150" s="311"/>
      <c r="I150" s="277"/>
      <c r="J150" s="277"/>
      <c r="K150" s="277"/>
      <c r="L150" s="277"/>
      <c r="M150" s="277"/>
      <c r="N150" s="277"/>
      <c r="O150" s="277"/>
      <c r="P150" s="277"/>
      <c r="Q150" s="312"/>
    </row>
    <row r="151" spans="1:17" ht="39" hidden="1" x14ac:dyDescent="0.25">
      <c r="A151" s="502">
        <v>5124</v>
      </c>
      <c r="B151" s="494">
        <v>840000</v>
      </c>
      <c r="C151" s="287" t="s">
        <v>147</v>
      </c>
      <c r="D151" s="287"/>
      <c r="E151" s="288">
        <f>E152+E154+E160</f>
        <v>0</v>
      </c>
      <c r="F151" s="288"/>
      <c r="G151" s="288">
        <f t="shared" si="35"/>
        <v>0</v>
      </c>
      <c r="H151" s="288"/>
      <c r="I151" s="288">
        <f t="shared" ref="I151:Q151" si="48">I152+I154+I160</f>
        <v>0</v>
      </c>
      <c r="J151" s="288">
        <f t="shared" si="48"/>
        <v>0</v>
      </c>
      <c r="K151" s="288"/>
      <c r="L151" s="288">
        <f t="shared" si="48"/>
        <v>0</v>
      </c>
      <c r="M151" s="288"/>
      <c r="N151" s="288">
        <f t="shared" si="48"/>
        <v>0</v>
      </c>
      <c r="O151" s="288">
        <f t="shared" si="48"/>
        <v>0</v>
      </c>
      <c r="P151" s="288"/>
      <c r="Q151" s="289">
        <f t="shared" si="48"/>
        <v>0</v>
      </c>
    </row>
    <row r="152" spans="1:17" ht="26.25" hidden="1" x14ac:dyDescent="0.25">
      <c r="A152" s="502">
        <v>5125</v>
      </c>
      <c r="B152" s="494">
        <v>841000</v>
      </c>
      <c r="C152" s="287" t="s">
        <v>148</v>
      </c>
      <c r="D152" s="287"/>
      <c r="E152" s="288">
        <f>E153</f>
        <v>0</v>
      </c>
      <c r="F152" s="288"/>
      <c r="G152" s="288">
        <f t="shared" si="35"/>
        <v>0</v>
      </c>
      <c r="H152" s="288"/>
      <c r="I152" s="288">
        <f t="shared" ref="I152:Q152" si="49">I153</f>
        <v>0</v>
      </c>
      <c r="J152" s="288">
        <f t="shared" si="49"/>
        <v>0</v>
      </c>
      <c r="K152" s="288"/>
      <c r="L152" s="288">
        <f t="shared" si="49"/>
        <v>0</v>
      </c>
      <c r="M152" s="288"/>
      <c r="N152" s="288">
        <f t="shared" si="49"/>
        <v>0</v>
      </c>
      <c r="O152" s="288">
        <f t="shared" si="49"/>
        <v>0</v>
      </c>
      <c r="P152" s="288"/>
      <c r="Q152" s="289">
        <f t="shared" si="49"/>
        <v>0</v>
      </c>
    </row>
    <row r="153" spans="1:17" hidden="1" x14ac:dyDescent="0.25">
      <c r="A153" s="293">
        <v>5126</v>
      </c>
      <c r="B153" s="294">
        <v>841100</v>
      </c>
      <c r="C153" s="295" t="s">
        <v>149</v>
      </c>
      <c r="D153" s="295"/>
      <c r="E153" s="277"/>
      <c r="F153" s="277"/>
      <c r="G153" s="311">
        <f t="shared" si="35"/>
        <v>0</v>
      </c>
      <c r="H153" s="311"/>
      <c r="I153" s="277"/>
      <c r="J153" s="277"/>
      <c r="K153" s="277"/>
      <c r="L153" s="277"/>
      <c r="M153" s="277"/>
      <c r="N153" s="277"/>
      <c r="O153" s="277"/>
      <c r="P153" s="277"/>
      <c r="Q153" s="312"/>
    </row>
    <row r="154" spans="1:17" ht="26.25" hidden="1" x14ac:dyDescent="0.25">
      <c r="A154" s="502">
        <v>5127</v>
      </c>
      <c r="B154" s="494">
        <v>842000</v>
      </c>
      <c r="C154" s="287" t="s">
        <v>150</v>
      </c>
      <c r="D154" s="287"/>
      <c r="E154" s="288">
        <f>E159</f>
        <v>0</v>
      </c>
      <c r="F154" s="288"/>
      <c r="G154" s="288">
        <f t="shared" si="35"/>
        <v>0</v>
      </c>
      <c r="H154" s="288"/>
      <c r="I154" s="288">
        <f t="shared" ref="I154:Q154" si="50">I159</f>
        <v>0</v>
      </c>
      <c r="J154" s="288">
        <f t="shared" si="50"/>
        <v>0</v>
      </c>
      <c r="K154" s="288"/>
      <c r="L154" s="288">
        <f t="shared" si="50"/>
        <v>0</v>
      </c>
      <c r="M154" s="288"/>
      <c r="N154" s="288">
        <f t="shared" si="50"/>
        <v>0</v>
      </c>
      <c r="O154" s="288">
        <f t="shared" si="50"/>
        <v>0</v>
      </c>
      <c r="P154" s="288"/>
      <c r="Q154" s="289">
        <f t="shared" si="50"/>
        <v>0</v>
      </c>
    </row>
    <row r="155" spans="1:17" hidden="1" x14ac:dyDescent="0.25">
      <c r="A155" s="663" t="s">
        <v>0</v>
      </c>
      <c r="B155" s="657" t="s">
        <v>1</v>
      </c>
      <c r="C155" s="656" t="s">
        <v>2</v>
      </c>
      <c r="D155" s="492"/>
      <c r="E155" s="658" t="s">
        <v>3</v>
      </c>
      <c r="F155" s="494"/>
      <c r="G155" s="658" t="s">
        <v>4</v>
      </c>
      <c r="H155" s="658"/>
      <c r="I155" s="658"/>
      <c r="J155" s="658"/>
      <c r="K155" s="658"/>
      <c r="L155" s="658"/>
      <c r="M155" s="658"/>
      <c r="N155" s="658"/>
      <c r="O155" s="658"/>
      <c r="P155" s="658"/>
      <c r="Q155" s="664"/>
    </row>
    <row r="156" spans="1:17" hidden="1" x14ac:dyDescent="0.25">
      <c r="A156" s="663"/>
      <c r="B156" s="657"/>
      <c r="C156" s="656"/>
      <c r="D156" s="492"/>
      <c r="E156" s="658"/>
      <c r="F156" s="494"/>
      <c r="G156" s="665" t="s">
        <v>5</v>
      </c>
      <c r="H156" s="497"/>
      <c r="I156" s="658" t="s">
        <v>6</v>
      </c>
      <c r="J156" s="658"/>
      <c r="K156" s="658"/>
      <c r="L156" s="658"/>
      <c r="M156" s="658"/>
      <c r="N156" s="658"/>
      <c r="O156" s="658" t="s">
        <v>7</v>
      </c>
      <c r="P156" s="494"/>
      <c r="Q156" s="664" t="s">
        <v>8</v>
      </c>
    </row>
    <row r="157" spans="1:17" ht="39" hidden="1" x14ac:dyDescent="0.25">
      <c r="A157" s="663"/>
      <c r="B157" s="657"/>
      <c r="C157" s="656"/>
      <c r="D157" s="492"/>
      <c r="E157" s="658"/>
      <c r="F157" s="494"/>
      <c r="G157" s="665"/>
      <c r="H157" s="497"/>
      <c r="I157" s="494" t="s">
        <v>9</v>
      </c>
      <c r="J157" s="494" t="s">
        <v>10</v>
      </c>
      <c r="K157" s="494"/>
      <c r="L157" s="494" t="s">
        <v>11</v>
      </c>
      <c r="M157" s="494"/>
      <c r="N157" s="494" t="s">
        <v>12</v>
      </c>
      <c r="O157" s="658"/>
      <c r="P157" s="494"/>
      <c r="Q157" s="664"/>
    </row>
    <row r="158" spans="1:17" ht="26.25" hidden="1" x14ac:dyDescent="0.25">
      <c r="A158" s="304" t="s">
        <v>18</v>
      </c>
      <c r="B158" s="493" t="s">
        <v>19</v>
      </c>
      <c r="C158" s="493" t="s">
        <v>20</v>
      </c>
      <c r="D158" s="493"/>
      <c r="E158" s="306" t="s">
        <v>21</v>
      </c>
      <c r="F158" s="306"/>
      <c r="G158" s="306" t="s">
        <v>22</v>
      </c>
      <c r="H158" s="306"/>
      <c r="I158" s="306" t="s">
        <v>23</v>
      </c>
      <c r="J158" s="306" t="s">
        <v>24</v>
      </c>
      <c r="K158" s="306"/>
      <c r="L158" s="306" t="s">
        <v>25</v>
      </c>
      <c r="M158" s="306"/>
      <c r="N158" s="306" t="s">
        <v>26</v>
      </c>
      <c r="O158" s="306" t="s">
        <v>27</v>
      </c>
      <c r="P158" s="306"/>
      <c r="Q158" s="307" t="s">
        <v>28</v>
      </c>
    </row>
    <row r="159" spans="1:17" ht="26.25" hidden="1" x14ac:dyDescent="0.25">
      <c r="A159" s="293">
        <v>5128</v>
      </c>
      <c r="B159" s="294">
        <v>842100</v>
      </c>
      <c r="C159" s="295" t="s">
        <v>151</v>
      </c>
      <c r="D159" s="295"/>
      <c r="E159" s="277"/>
      <c r="F159" s="277"/>
      <c r="G159" s="311">
        <f t="shared" si="35"/>
        <v>0</v>
      </c>
      <c r="H159" s="311"/>
      <c r="I159" s="277"/>
      <c r="J159" s="277"/>
      <c r="K159" s="277"/>
      <c r="L159" s="277"/>
      <c r="M159" s="277"/>
      <c r="N159" s="277"/>
      <c r="O159" s="277"/>
      <c r="P159" s="277"/>
      <c r="Q159" s="312"/>
    </row>
    <row r="160" spans="1:17" ht="26.25" hidden="1" x14ac:dyDescent="0.25">
      <c r="A160" s="502">
        <v>5129</v>
      </c>
      <c r="B160" s="494">
        <v>843000</v>
      </c>
      <c r="C160" s="287" t="s">
        <v>152</v>
      </c>
      <c r="D160" s="287"/>
      <c r="E160" s="288">
        <f>E161</f>
        <v>0</v>
      </c>
      <c r="F160" s="288"/>
      <c r="G160" s="288">
        <f t="shared" si="35"/>
        <v>0</v>
      </c>
      <c r="H160" s="288"/>
      <c r="I160" s="288">
        <f t="shared" ref="I160:Q160" si="51">I161</f>
        <v>0</v>
      </c>
      <c r="J160" s="288">
        <f t="shared" si="51"/>
        <v>0</v>
      </c>
      <c r="K160" s="288"/>
      <c r="L160" s="288">
        <f t="shared" si="51"/>
        <v>0</v>
      </c>
      <c r="M160" s="288"/>
      <c r="N160" s="288">
        <f t="shared" si="51"/>
        <v>0</v>
      </c>
      <c r="O160" s="288">
        <f t="shared" si="51"/>
        <v>0</v>
      </c>
      <c r="P160" s="288"/>
      <c r="Q160" s="289">
        <f t="shared" si="51"/>
        <v>0</v>
      </c>
    </row>
    <row r="161" spans="1:17" hidden="1" x14ac:dyDescent="0.25">
      <c r="A161" s="293">
        <v>5130</v>
      </c>
      <c r="B161" s="294">
        <v>843100</v>
      </c>
      <c r="C161" s="295" t="s">
        <v>153</v>
      </c>
      <c r="D161" s="295"/>
      <c r="E161" s="277"/>
      <c r="F161" s="277"/>
      <c r="G161" s="311">
        <f t="shared" si="35"/>
        <v>0</v>
      </c>
      <c r="H161" s="311"/>
      <c r="I161" s="277"/>
      <c r="J161" s="277"/>
      <c r="K161" s="277"/>
      <c r="L161" s="277"/>
      <c r="M161" s="277"/>
      <c r="N161" s="277"/>
      <c r="O161" s="277"/>
      <c r="P161" s="277"/>
      <c r="Q161" s="312"/>
    </row>
    <row r="162" spans="1:17" ht="51.75" hidden="1" x14ac:dyDescent="0.25">
      <c r="A162" s="502">
        <v>5131</v>
      </c>
      <c r="B162" s="494">
        <v>900000</v>
      </c>
      <c r="C162" s="287" t="s">
        <v>154</v>
      </c>
      <c r="D162" s="287"/>
      <c r="E162" s="288">
        <f>E163+E186</f>
        <v>0</v>
      </c>
      <c r="F162" s="288"/>
      <c r="G162" s="288">
        <f t="shared" ref="G162:G197" si="52">SUM(I162:Q162)</f>
        <v>0</v>
      </c>
      <c r="H162" s="288"/>
      <c r="I162" s="288">
        <f t="shared" ref="I162:Q162" si="53">I163+I186</f>
        <v>0</v>
      </c>
      <c r="J162" s="288">
        <f t="shared" si="53"/>
        <v>0</v>
      </c>
      <c r="K162" s="288"/>
      <c r="L162" s="288">
        <f t="shared" si="53"/>
        <v>0</v>
      </c>
      <c r="M162" s="288"/>
      <c r="N162" s="288">
        <f t="shared" si="53"/>
        <v>0</v>
      </c>
      <c r="O162" s="288">
        <f t="shared" si="53"/>
        <v>0</v>
      </c>
      <c r="P162" s="288"/>
      <c r="Q162" s="289">
        <f t="shared" si="53"/>
        <v>0</v>
      </c>
    </row>
    <row r="163" spans="1:17" ht="26.25" hidden="1" x14ac:dyDescent="0.25">
      <c r="A163" s="502">
        <v>5132</v>
      </c>
      <c r="B163" s="494">
        <v>910000</v>
      </c>
      <c r="C163" s="287" t="s">
        <v>155</v>
      </c>
      <c r="D163" s="287"/>
      <c r="E163" s="288">
        <f>E164+E174</f>
        <v>0</v>
      </c>
      <c r="F163" s="288"/>
      <c r="G163" s="288">
        <f t="shared" si="52"/>
        <v>0</v>
      </c>
      <c r="H163" s="288"/>
      <c r="I163" s="288">
        <f t="shared" ref="I163:Q163" si="54">I164+I174</f>
        <v>0</v>
      </c>
      <c r="J163" s="288">
        <f t="shared" si="54"/>
        <v>0</v>
      </c>
      <c r="K163" s="288"/>
      <c r="L163" s="288">
        <f t="shared" si="54"/>
        <v>0</v>
      </c>
      <c r="M163" s="288"/>
      <c r="N163" s="288">
        <f t="shared" si="54"/>
        <v>0</v>
      </c>
      <c r="O163" s="288">
        <f t="shared" si="54"/>
        <v>0</v>
      </c>
      <c r="P163" s="288"/>
      <c r="Q163" s="289">
        <f t="shared" si="54"/>
        <v>0</v>
      </c>
    </row>
    <row r="164" spans="1:17" ht="39" hidden="1" x14ac:dyDescent="0.25">
      <c r="A164" s="502">
        <v>5133</v>
      </c>
      <c r="B164" s="494">
        <v>911000</v>
      </c>
      <c r="C164" s="287" t="s">
        <v>156</v>
      </c>
      <c r="D164" s="287"/>
      <c r="E164" s="288">
        <f>SUM(E165:E173)</f>
        <v>0</v>
      </c>
      <c r="F164" s="288"/>
      <c r="G164" s="288">
        <f t="shared" si="52"/>
        <v>0</v>
      </c>
      <c r="H164" s="288"/>
      <c r="I164" s="288">
        <f t="shared" ref="I164:Q164" si="55">SUM(I165:I173)</f>
        <v>0</v>
      </c>
      <c r="J164" s="288">
        <f t="shared" si="55"/>
        <v>0</v>
      </c>
      <c r="K164" s="288"/>
      <c r="L164" s="288">
        <f t="shared" si="55"/>
        <v>0</v>
      </c>
      <c r="M164" s="288"/>
      <c r="N164" s="288">
        <f t="shared" si="55"/>
        <v>0</v>
      </c>
      <c r="O164" s="288">
        <f t="shared" si="55"/>
        <v>0</v>
      </c>
      <c r="P164" s="288"/>
      <c r="Q164" s="289">
        <f t="shared" si="55"/>
        <v>0</v>
      </c>
    </row>
    <row r="165" spans="1:17" ht="39" hidden="1" x14ac:dyDescent="0.25">
      <c r="A165" s="293">
        <v>5134</v>
      </c>
      <c r="B165" s="294">
        <v>911100</v>
      </c>
      <c r="C165" s="295" t="s">
        <v>157</v>
      </c>
      <c r="D165" s="295"/>
      <c r="E165" s="277"/>
      <c r="F165" s="277"/>
      <c r="G165" s="311">
        <f t="shared" si="52"/>
        <v>0</v>
      </c>
      <c r="H165" s="311"/>
      <c r="I165" s="277"/>
      <c r="J165" s="277"/>
      <c r="K165" s="277"/>
      <c r="L165" s="277"/>
      <c r="M165" s="277"/>
      <c r="N165" s="277"/>
      <c r="O165" s="277"/>
      <c r="P165" s="277"/>
      <c r="Q165" s="312"/>
    </row>
    <row r="166" spans="1:17" ht="26.25" hidden="1" x14ac:dyDescent="0.25">
      <c r="A166" s="293">
        <v>5135</v>
      </c>
      <c r="B166" s="294">
        <v>911200</v>
      </c>
      <c r="C166" s="295" t="s">
        <v>158</v>
      </c>
      <c r="D166" s="295"/>
      <c r="E166" s="277"/>
      <c r="F166" s="277"/>
      <c r="G166" s="311">
        <f t="shared" si="52"/>
        <v>0</v>
      </c>
      <c r="H166" s="311"/>
      <c r="I166" s="277"/>
      <c r="J166" s="277"/>
      <c r="K166" s="277"/>
      <c r="L166" s="277"/>
      <c r="M166" s="277"/>
      <c r="N166" s="277"/>
      <c r="O166" s="277"/>
      <c r="P166" s="277"/>
      <c r="Q166" s="312"/>
    </row>
    <row r="167" spans="1:17" ht="39" hidden="1" x14ac:dyDescent="0.25">
      <c r="A167" s="293">
        <v>5136</v>
      </c>
      <c r="B167" s="294">
        <v>911300</v>
      </c>
      <c r="C167" s="295" t="s">
        <v>159</v>
      </c>
      <c r="D167" s="295"/>
      <c r="E167" s="277"/>
      <c r="F167" s="277"/>
      <c r="G167" s="311">
        <f t="shared" si="52"/>
        <v>0</v>
      </c>
      <c r="H167" s="311"/>
      <c r="I167" s="277"/>
      <c r="J167" s="277"/>
      <c r="K167" s="277"/>
      <c r="L167" s="277"/>
      <c r="M167" s="277"/>
      <c r="N167" s="277"/>
      <c r="O167" s="277"/>
      <c r="P167" s="277"/>
      <c r="Q167" s="312"/>
    </row>
    <row r="168" spans="1:17" ht="26.25" hidden="1" x14ac:dyDescent="0.25">
      <c r="A168" s="293">
        <v>5137</v>
      </c>
      <c r="B168" s="294">
        <v>911400</v>
      </c>
      <c r="C168" s="295" t="s">
        <v>160</v>
      </c>
      <c r="D168" s="295"/>
      <c r="E168" s="277"/>
      <c r="F168" s="277"/>
      <c r="G168" s="311">
        <f t="shared" si="52"/>
        <v>0</v>
      </c>
      <c r="H168" s="311"/>
      <c r="I168" s="277"/>
      <c r="J168" s="277"/>
      <c r="K168" s="277"/>
      <c r="L168" s="277"/>
      <c r="M168" s="277"/>
      <c r="N168" s="277"/>
      <c r="O168" s="277"/>
      <c r="P168" s="277"/>
      <c r="Q168" s="312"/>
    </row>
    <row r="169" spans="1:17" ht="26.25" hidden="1" x14ac:dyDescent="0.25">
      <c r="A169" s="293">
        <v>5138</v>
      </c>
      <c r="B169" s="294">
        <v>911500</v>
      </c>
      <c r="C169" s="295" t="s">
        <v>161</v>
      </c>
      <c r="D169" s="295"/>
      <c r="E169" s="277"/>
      <c r="F169" s="277"/>
      <c r="G169" s="311">
        <f t="shared" si="52"/>
        <v>0</v>
      </c>
      <c r="H169" s="311"/>
      <c r="I169" s="277"/>
      <c r="J169" s="277"/>
      <c r="K169" s="277"/>
      <c r="L169" s="277"/>
      <c r="M169" s="277"/>
      <c r="N169" s="277"/>
      <c r="O169" s="277"/>
      <c r="P169" s="277"/>
      <c r="Q169" s="312"/>
    </row>
    <row r="170" spans="1:17" ht="26.25" hidden="1" x14ac:dyDescent="0.25">
      <c r="A170" s="293">
        <v>5139</v>
      </c>
      <c r="B170" s="294">
        <v>911600</v>
      </c>
      <c r="C170" s="295" t="s">
        <v>162</v>
      </c>
      <c r="D170" s="295"/>
      <c r="E170" s="277"/>
      <c r="F170" s="277"/>
      <c r="G170" s="311">
        <f t="shared" si="52"/>
        <v>0</v>
      </c>
      <c r="H170" s="311"/>
      <c r="I170" s="277"/>
      <c r="J170" s="277"/>
      <c r="K170" s="277"/>
      <c r="L170" s="277"/>
      <c r="M170" s="277"/>
      <c r="N170" s="277"/>
      <c r="O170" s="277"/>
      <c r="P170" s="277"/>
      <c r="Q170" s="312"/>
    </row>
    <row r="171" spans="1:17" ht="26.25" hidden="1" x14ac:dyDescent="0.25">
      <c r="A171" s="293">
        <v>5140</v>
      </c>
      <c r="B171" s="294">
        <v>911700</v>
      </c>
      <c r="C171" s="295" t="s">
        <v>163</v>
      </c>
      <c r="D171" s="295"/>
      <c r="E171" s="277"/>
      <c r="F171" s="277"/>
      <c r="G171" s="311">
        <f t="shared" si="52"/>
        <v>0</v>
      </c>
      <c r="H171" s="311"/>
      <c r="I171" s="277"/>
      <c r="J171" s="277"/>
      <c r="K171" s="277"/>
      <c r="L171" s="277"/>
      <c r="M171" s="277"/>
      <c r="N171" s="277"/>
      <c r="O171" s="277"/>
      <c r="P171" s="277"/>
      <c r="Q171" s="312"/>
    </row>
    <row r="172" spans="1:17" hidden="1" x14ac:dyDescent="0.25">
      <c r="A172" s="293">
        <v>5141</v>
      </c>
      <c r="B172" s="294">
        <v>911800</v>
      </c>
      <c r="C172" s="295" t="s">
        <v>164</v>
      </c>
      <c r="D172" s="295"/>
      <c r="E172" s="277"/>
      <c r="F172" s="277"/>
      <c r="G172" s="311">
        <f t="shared" si="52"/>
        <v>0</v>
      </c>
      <c r="H172" s="311"/>
      <c r="I172" s="277"/>
      <c r="J172" s="277"/>
      <c r="K172" s="277"/>
      <c r="L172" s="277"/>
      <c r="M172" s="277"/>
      <c r="N172" s="277"/>
      <c r="O172" s="277"/>
      <c r="P172" s="277"/>
      <c r="Q172" s="312"/>
    </row>
    <row r="173" spans="1:17" hidden="1" x14ac:dyDescent="0.25">
      <c r="A173" s="293">
        <v>5142</v>
      </c>
      <c r="B173" s="294">
        <v>911900</v>
      </c>
      <c r="C173" s="295" t="s">
        <v>165</v>
      </c>
      <c r="D173" s="295"/>
      <c r="E173" s="277"/>
      <c r="F173" s="277"/>
      <c r="G173" s="311">
        <f t="shared" si="52"/>
        <v>0</v>
      </c>
      <c r="H173" s="311"/>
      <c r="I173" s="277"/>
      <c r="J173" s="277"/>
      <c r="K173" s="277"/>
      <c r="L173" s="277"/>
      <c r="M173" s="277"/>
      <c r="N173" s="277"/>
      <c r="O173" s="277"/>
      <c r="P173" s="277"/>
      <c r="Q173" s="312"/>
    </row>
    <row r="174" spans="1:17" ht="39" hidden="1" x14ac:dyDescent="0.25">
      <c r="A174" s="502">
        <v>5143</v>
      </c>
      <c r="B174" s="494">
        <v>912000</v>
      </c>
      <c r="C174" s="287" t="s">
        <v>166</v>
      </c>
      <c r="D174" s="287"/>
      <c r="E174" s="288">
        <f>SUM(E175:E185)</f>
        <v>0</v>
      </c>
      <c r="F174" s="288"/>
      <c r="G174" s="288">
        <f t="shared" si="52"/>
        <v>0</v>
      </c>
      <c r="H174" s="288"/>
      <c r="I174" s="288">
        <f t="shared" ref="I174:Q174" si="56">SUM(I175:I185)</f>
        <v>0</v>
      </c>
      <c r="J174" s="288">
        <f t="shared" si="56"/>
        <v>0</v>
      </c>
      <c r="K174" s="288"/>
      <c r="L174" s="288">
        <f t="shared" si="56"/>
        <v>0</v>
      </c>
      <c r="M174" s="288"/>
      <c r="N174" s="288">
        <f t="shared" si="56"/>
        <v>0</v>
      </c>
      <c r="O174" s="288">
        <f t="shared" si="56"/>
        <v>0</v>
      </c>
      <c r="P174" s="288"/>
      <c r="Q174" s="289">
        <f t="shared" si="56"/>
        <v>0</v>
      </c>
    </row>
    <row r="175" spans="1:17" ht="51.75" hidden="1" x14ac:dyDescent="0.25">
      <c r="A175" s="293">
        <v>5144</v>
      </c>
      <c r="B175" s="294">
        <v>912100</v>
      </c>
      <c r="C175" s="295" t="s">
        <v>167</v>
      </c>
      <c r="D175" s="295"/>
      <c r="E175" s="277"/>
      <c r="F175" s="277"/>
      <c r="G175" s="311">
        <f t="shared" si="52"/>
        <v>0</v>
      </c>
      <c r="H175" s="311"/>
      <c r="I175" s="277"/>
      <c r="J175" s="277"/>
      <c r="K175" s="277"/>
      <c r="L175" s="277"/>
      <c r="M175" s="277"/>
      <c r="N175" s="277"/>
      <c r="O175" s="277"/>
      <c r="P175" s="277"/>
      <c r="Q175" s="312"/>
    </row>
    <row r="176" spans="1:17" ht="26.25" hidden="1" x14ac:dyDescent="0.25">
      <c r="A176" s="293">
        <v>5145</v>
      </c>
      <c r="B176" s="294">
        <v>912200</v>
      </c>
      <c r="C176" s="295" t="s">
        <v>168</v>
      </c>
      <c r="D176" s="295"/>
      <c r="E176" s="277"/>
      <c r="F176" s="277"/>
      <c r="G176" s="311">
        <f t="shared" si="52"/>
        <v>0</v>
      </c>
      <c r="H176" s="311"/>
      <c r="I176" s="277"/>
      <c r="J176" s="277"/>
      <c r="K176" s="277"/>
      <c r="L176" s="277"/>
      <c r="M176" s="277"/>
      <c r="N176" s="277"/>
      <c r="O176" s="277"/>
      <c r="P176" s="277"/>
      <c r="Q176" s="312"/>
    </row>
    <row r="177" spans="1:17" ht="26.25" hidden="1" x14ac:dyDescent="0.25">
      <c r="A177" s="293">
        <v>5146</v>
      </c>
      <c r="B177" s="294">
        <v>912300</v>
      </c>
      <c r="C177" s="295" t="s">
        <v>169</v>
      </c>
      <c r="D177" s="295"/>
      <c r="E177" s="277"/>
      <c r="F177" s="277"/>
      <c r="G177" s="311">
        <f t="shared" si="52"/>
        <v>0</v>
      </c>
      <c r="H177" s="311"/>
      <c r="I177" s="277"/>
      <c r="J177" s="277"/>
      <c r="K177" s="277"/>
      <c r="L177" s="277"/>
      <c r="M177" s="277"/>
      <c r="N177" s="277"/>
      <c r="O177" s="277"/>
      <c r="P177" s="277"/>
      <c r="Q177" s="312"/>
    </row>
    <row r="178" spans="1:17" ht="26.25" hidden="1" x14ac:dyDescent="0.25">
      <c r="A178" s="293">
        <v>5147</v>
      </c>
      <c r="B178" s="294">
        <v>912400</v>
      </c>
      <c r="C178" s="295" t="s">
        <v>170</v>
      </c>
      <c r="D178" s="295"/>
      <c r="E178" s="277"/>
      <c r="F178" s="277"/>
      <c r="G178" s="311">
        <f t="shared" si="52"/>
        <v>0</v>
      </c>
      <c r="H178" s="311"/>
      <c r="I178" s="277"/>
      <c r="J178" s="277"/>
      <c r="K178" s="277"/>
      <c r="L178" s="277"/>
      <c r="M178" s="277"/>
      <c r="N178" s="277"/>
      <c r="O178" s="277"/>
      <c r="P178" s="277"/>
      <c r="Q178" s="312"/>
    </row>
    <row r="179" spans="1:17" ht="26.25" hidden="1" x14ac:dyDescent="0.25">
      <c r="A179" s="293">
        <v>5148</v>
      </c>
      <c r="B179" s="294">
        <v>912500</v>
      </c>
      <c r="C179" s="295" t="s">
        <v>171</v>
      </c>
      <c r="D179" s="295"/>
      <c r="E179" s="277"/>
      <c r="F179" s="277"/>
      <c r="G179" s="311">
        <f t="shared" si="52"/>
        <v>0</v>
      </c>
      <c r="H179" s="311"/>
      <c r="I179" s="277"/>
      <c r="J179" s="277"/>
      <c r="K179" s="277"/>
      <c r="L179" s="277"/>
      <c r="M179" s="277"/>
      <c r="N179" s="277"/>
      <c r="O179" s="277"/>
      <c r="P179" s="277"/>
      <c r="Q179" s="312"/>
    </row>
    <row r="180" spans="1:17" ht="26.25" hidden="1" x14ac:dyDescent="0.25">
      <c r="A180" s="293">
        <v>5149</v>
      </c>
      <c r="B180" s="294">
        <v>912600</v>
      </c>
      <c r="C180" s="295" t="s">
        <v>172</v>
      </c>
      <c r="D180" s="295"/>
      <c r="E180" s="277"/>
      <c r="F180" s="277"/>
      <c r="G180" s="311">
        <f t="shared" si="52"/>
        <v>0</v>
      </c>
      <c r="H180" s="311"/>
      <c r="I180" s="277"/>
      <c r="J180" s="277"/>
      <c r="K180" s="277"/>
      <c r="L180" s="277"/>
      <c r="M180" s="277"/>
      <c r="N180" s="277"/>
      <c r="O180" s="277"/>
      <c r="P180" s="277"/>
      <c r="Q180" s="312"/>
    </row>
    <row r="181" spans="1:17" hidden="1" x14ac:dyDescent="0.25">
      <c r="A181" s="663" t="s">
        <v>0</v>
      </c>
      <c r="B181" s="657" t="s">
        <v>1</v>
      </c>
      <c r="C181" s="656" t="s">
        <v>2</v>
      </c>
      <c r="D181" s="492"/>
      <c r="E181" s="658" t="s">
        <v>3</v>
      </c>
      <c r="F181" s="494"/>
      <c r="G181" s="658" t="s">
        <v>4</v>
      </c>
      <c r="H181" s="658"/>
      <c r="I181" s="658"/>
      <c r="J181" s="658"/>
      <c r="K181" s="658"/>
      <c r="L181" s="658"/>
      <c r="M181" s="658"/>
      <c r="N181" s="658"/>
      <c r="O181" s="658"/>
      <c r="P181" s="658"/>
      <c r="Q181" s="664"/>
    </row>
    <row r="182" spans="1:17" hidden="1" x14ac:dyDescent="0.25">
      <c r="A182" s="663"/>
      <c r="B182" s="657"/>
      <c r="C182" s="656"/>
      <c r="D182" s="492"/>
      <c r="E182" s="658"/>
      <c r="F182" s="494"/>
      <c r="G182" s="665" t="s">
        <v>5</v>
      </c>
      <c r="H182" s="497"/>
      <c r="I182" s="658" t="s">
        <v>6</v>
      </c>
      <c r="J182" s="658"/>
      <c r="K182" s="658"/>
      <c r="L182" s="658"/>
      <c r="M182" s="658"/>
      <c r="N182" s="658"/>
      <c r="O182" s="658" t="s">
        <v>7</v>
      </c>
      <c r="P182" s="494"/>
      <c r="Q182" s="664" t="s">
        <v>8</v>
      </c>
    </row>
    <row r="183" spans="1:17" ht="39" hidden="1" x14ac:dyDescent="0.25">
      <c r="A183" s="663"/>
      <c r="B183" s="657"/>
      <c r="C183" s="656"/>
      <c r="D183" s="492"/>
      <c r="E183" s="658"/>
      <c r="F183" s="494"/>
      <c r="G183" s="665"/>
      <c r="H183" s="497"/>
      <c r="I183" s="494" t="s">
        <v>9</v>
      </c>
      <c r="J183" s="494" t="s">
        <v>10</v>
      </c>
      <c r="K183" s="494"/>
      <c r="L183" s="494" t="s">
        <v>11</v>
      </c>
      <c r="M183" s="494"/>
      <c r="N183" s="494" t="s">
        <v>12</v>
      </c>
      <c r="O183" s="658"/>
      <c r="P183" s="494"/>
      <c r="Q183" s="664"/>
    </row>
    <row r="184" spans="1:17" ht="26.25" hidden="1" x14ac:dyDescent="0.25">
      <c r="A184" s="304" t="s">
        <v>18</v>
      </c>
      <c r="B184" s="493" t="s">
        <v>19</v>
      </c>
      <c r="C184" s="493" t="s">
        <v>20</v>
      </c>
      <c r="D184" s="493"/>
      <c r="E184" s="306" t="s">
        <v>21</v>
      </c>
      <c r="F184" s="306"/>
      <c r="G184" s="306" t="s">
        <v>22</v>
      </c>
      <c r="H184" s="306"/>
      <c r="I184" s="306" t="s">
        <v>23</v>
      </c>
      <c r="J184" s="306" t="s">
        <v>24</v>
      </c>
      <c r="K184" s="306"/>
      <c r="L184" s="306" t="s">
        <v>25</v>
      </c>
      <c r="M184" s="306"/>
      <c r="N184" s="306" t="s">
        <v>26</v>
      </c>
      <c r="O184" s="306" t="s">
        <v>27</v>
      </c>
      <c r="P184" s="306"/>
      <c r="Q184" s="307" t="s">
        <v>28</v>
      </c>
    </row>
    <row r="185" spans="1:17" hidden="1" x14ac:dyDescent="0.25">
      <c r="A185" s="293">
        <v>5150</v>
      </c>
      <c r="B185" s="294">
        <v>912900</v>
      </c>
      <c r="C185" s="295" t="s">
        <v>173</v>
      </c>
      <c r="D185" s="295"/>
      <c r="E185" s="277"/>
      <c r="F185" s="277"/>
      <c r="G185" s="311">
        <f t="shared" si="52"/>
        <v>0</v>
      </c>
      <c r="H185" s="311"/>
      <c r="I185" s="277"/>
      <c r="J185" s="277"/>
      <c r="K185" s="277"/>
      <c r="L185" s="277"/>
      <c r="M185" s="277"/>
      <c r="N185" s="277"/>
      <c r="O185" s="277"/>
      <c r="P185" s="277"/>
      <c r="Q185" s="312"/>
    </row>
    <row r="186" spans="1:17" ht="39" hidden="1" x14ac:dyDescent="0.25">
      <c r="A186" s="502">
        <v>5151</v>
      </c>
      <c r="B186" s="494">
        <v>920000</v>
      </c>
      <c r="C186" s="287" t="s">
        <v>174</v>
      </c>
      <c r="D186" s="287"/>
      <c r="E186" s="288">
        <f>E187+E197</f>
        <v>0</v>
      </c>
      <c r="F186" s="288"/>
      <c r="G186" s="288">
        <f t="shared" si="52"/>
        <v>0</v>
      </c>
      <c r="H186" s="288"/>
      <c r="I186" s="288">
        <f t="shared" ref="I186:Q186" si="57">I187+I197</f>
        <v>0</v>
      </c>
      <c r="J186" s="288">
        <f t="shared" si="57"/>
        <v>0</v>
      </c>
      <c r="K186" s="288"/>
      <c r="L186" s="288">
        <f t="shared" si="57"/>
        <v>0</v>
      </c>
      <c r="M186" s="288"/>
      <c r="N186" s="288">
        <f t="shared" si="57"/>
        <v>0</v>
      </c>
      <c r="O186" s="288">
        <f t="shared" si="57"/>
        <v>0</v>
      </c>
      <c r="P186" s="288"/>
      <c r="Q186" s="289">
        <f t="shared" si="57"/>
        <v>0</v>
      </c>
    </row>
    <row r="187" spans="1:17" ht="39" hidden="1" x14ac:dyDescent="0.25">
      <c r="A187" s="502">
        <v>5152</v>
      </c>
      <c r="B187" s="494">
        <v>921000</v>
      </c>
      <c r="C187" s="287" t="s">
        <v>175</v>
      </c>
      <c r="D187" s="287"/>
      <c r="E187" s="288">
        <f>SUM(E188:E196)</f>
        <v>0</v>
      </c>
      <c r="F187" s="288"/>
      <c r="G187" s="288">
        <f t="shared" si="52"/>
        <v>0</v>
      </c>
      <c r="H187" s="288"/>
      <c r="I187" s="288">
        <f t="shared" ref="I187:Q187" si="58">SUM(I188:I196)</f>
        <v>0</v>
      </c>
      <c r="J187" s="288">
        <f t="shared" si="58"/>
        <v>0</v>
      </c>
      <c r="K187" s="288"/>
      <c r="L187" s="288">
        <f t="shared" si="58"/>
        <v>0</v>
      </c>
      <c r="M187" s="288"/>
      <c r="N187" s="288">
        <f t="shared" si="58"/>
        <v>0</v>
      </c>
      <c r="O187" s="288">
        <f t="shared" si="58"/>
        <v>0</v>
      </c>
      <c r="P187" s="288"/>
      <c r="Q187" s="289">
        <f t="shared" si="58"/>
        <v>0</v>
      </c>
    </row>
    <row r="188" spans="1:17" ht="39" hidden="1" x14ac:dyDescent="0.25">
      <c r="A188" s="293">
        <v>5153</v>
      </c>
      <c r="B188" s="294">
        <v>921100</v>
      </c>
      <c r="C188" s="295" t="s">
        <v>176</v>
      </c>
      <c r="D188" s="295"/>
      <c r="E188" s="277"/>
      <c r="F188" s="277"/>
      <c r="G188" s="311">
        <f t="shared" si="52"/>
        <v>0</v>
      </c>
      <c r="H188" s="311"/>
      <c r="I188" s="277"/>
      <c r="J188" s="277"/>
      <c r="K188" s="277"/>
      <c r="L188" s="277"/>
      <c r="M188" s="277"/>
      <c r="N188" s="277"/>
      <c r="O188" s="277"/>
      <c r="P188" s="277"/>
      <c r="Q188" s="312"/>
    </row>
    <row r="189" spans="1:17" ht="26.25" hidden="1" x14ac:dyDescent="0.25">
      <c r="A189" s="293">
        <v>5154</v>
      </c>
      <c r="B189" s="294">
        <v>921200</v>
      </c>
      <c r="C189" s="295" t="s">
        <v>177</v>
      </c>
      <c r="D189" s="295"/>
      <c r="E189" s="277"/>
      <c r="F189" s="277"/>
      <c r="G189" s="311">
        <f t="shared" si="52"/>
        <v>0</v>
      </c>
      <c r="H189" s="311"/>
      <c r="I189" s="277"/>
      <c r="J189" s="277"/>
      <c r="K189" s="277"/>
      <c r="L189" s="277"/>
      <c r="M189" s="277"/>
      <c r="N189" s="277"/>
      <c r="O189" s="277"/>
      <c r="P189" s="277"/>
      <c r="Q189" s="312"/>
    </row>
    <row r="190" spans="1:17" ht="39" hidden="1" x14ac:dyDescent="0.25">
      <c r="A190" s="293">
        <v>5155</v>
      </c>
      <c r="B190" s="294">
        <v>921300</v>
      </c>
      <c r="C190" s="295" t="s">
        <v>178</v>
      </c>
      <c r="D190" s="295"/>
      <c r="E190" s="277"/>
      <c r="F190" s="277"/>
      <c r="G190" s="311">
        <f t="shared" si="52"/>
        <v>0</v>
      </c>
      <c r="H190" s="311"/>
      <c r="I190" s="277"/>
      <c r="J190" s="277"/>
      <c r="K190" s="277"/>
      <c r="L190" s="277"/>
      <c r="M190" s="277"/>
      <c r="N190" s="277"/>
      <c r="O190" s="277"/>
      <c r="P190" s="277"/>
      <c r="Q190" s="312"/>
    </row>
    <row r="191" spans="1:17" ht="26.25" hidden="1" x14ac:dyDescent="0.25">
      <c r="A191" s="293">
        <v>5156</v>
      </c>
      <c r="B191" s="294">
        <v>921400</v>
      </c>
      <c r="C191" s="295" t="s">
        <v>179</v>
      </c>
      <c r="D191" s="295"/>
      <c r="E191" s="277"/>
      <c r="F191" s="277"/>
      <c r="G191" s="311">
        <f t="shared" si="52"/>
        <v>0</v>
      </c>
      <c r="H191" s="311"/>
      <c r="I191" s="277"/>
      <c r="J191" s="277"/>
      <c r="K191" s="277"/>
      <c r="L191" s="277"/>
      <c r="M191" s="277"/>
      <c r="N191" s="277"/>
      <c r="O191" s="277"/>
      <c r="P191" s="277"/>
      <c r="Q191" s="312"/>
    </row>
    <row r="192" spans="1:17" ht="39" hidden="1" x14ac:dyDescent="0.25">
      <c r="A192" s="293">
        <v>5157</v>
      </c>
      <c r="B192" s="294">
        <v>921500</v>
      </c>
      <c r="C192" s="295" t="s">
        <v>180</v>
      </c>
      <c r="D192" s="295"/>
      <c r="E192" s="277"/>
      <c r="F192" s="277"/>
      <c r="G192" s="311">
        <f t="shared" si="52"/>
        <v>0</v>
      </c>
      <c r="H192" s="311"/>
      <c r="I192" s="277"/>
      <c r="J192" s="277"/>
      <c r="K192" s="277"/>
      <c r="L192" s="277"/>
      <c r="M192" s="277"/>
      <c r="N192" s="277"/>
      <c r="O192" s="277"/>
      <c r="P192" s="277"/>
      <c r="Q192" s="312"/>
    </row>
    <row r="193" spans="1:17" ht="39" hidden="1" x14ac:dyDescent="0.25">
      <c r="A193" s="293">
        <v>5158</v>
      </c>
      <c r="B193" s="294">
        <v>921600</v>
      </c>
      <c r="C193" s="295" t="s">
        <v>181</v>
      </c>
      <c r="D193" s="295"/>
      <c r="E193" s="277"/>
      <c r="F193" s="277"/>
      <c r="G193" s="311">
        <f t="shared" si="52"/>
        <v>0</v>
      </c>
      <c r="H193" s="311"/>
      <c r="I193" s="277"/>
      <c r="J193" s="277"/>
      <c r="K193" s="277"/>
      <c r="L193" s="277"/>
      <c r="M193" s="277"/>
      <c r="N193" s="277"/>
      <c r="O193" s="277"/>
      <c r="P193" s="277"/>
      <c r="Q193" s="312"/>
    </row>
    <row r="194" spans="1:17" ht="39" hidden="1" x14ac:dyDescent="0.25">
      <c r="A194" s="293">
        <v>5159</v>
      </c>
      <c r="B194" s="294">
        <v>921700</v>
      </c>
      <c r="C194" s="295" t="s">
        <v>182</v>
      </c>
      <c r="D194" s="295"/>
      <c r="E194" s="277"/>
      <c r="F194" s="277"/>
      <c r="G194" s="311">
        <f t="shared" si="52"/>
        <v>0</v>
      </c>
      <c r="H194" s="311"/>
      <c r="I194" s="277"/>
      <c r="J194" s="277"/>
      <c r="K194" s="277"/>
      <c r="L194" s="277"/>
      <c r="M194" s="277"/>
      <c r="N194" s="277"/>
      <c r="O194" s="277"/>
      <c r="P194" s="277"/>
      <c r="Q194" s="312"/>
    </row>
    <row r="195" spans="1:17" ht="39" hidden="1" x14ac:dyDescent="0.25">
      <c r="A195" s="293">
        <v>5160</v>
      </c>
      <c r="B195" s="294">
        <v>921800</v>
      </c>
      <c r="C195" s="295" t="s">
        <v>183</v>
      </c>
      <c r="D195" s="295"/>
      <c r="E195" s="277"/>
      <c r="F195" s="277"/>
      <c r="G195" s="311">
        <f t="shared" si="52"/>
        <v>0</v>
      </c>
      <c r="H195" s="311"/>
      <c r="I195" s="277"/>
      <c r="J195" s="277"/>
      <c r="K195" s="277"/>
      <c r="L195" s="277"/>
      <c r="M195" s="277"/>
      <c r="N195" s="277"/>
      <c r="O195" s="277"/>
      <c r="P195" s="277"/>
      <c r="Q195" s="312"/>
    </row>
    <row r="196" spans="1:17" ht="26.25" hidden="1" x14ac:dyDescent="0.25">
      <c r="A196" s="293">
        <v>5161</v>
      </c>
      <c r="B196" s="294">
        <v>921900</v>
      </c>
      <c r="C196" s="295" t="s">
        <v>184</v>
      </c>
      <c r="D196" s="295"/>
      <c r="E196" s="277"/>
      <c r="F196" s="277"/>
      <c r="G196" s="311">
        <f t="shared" si="52"/>
        <v>0</v>
      </c>
      <c r="H196" s="311"/>
      <c r="I196" s="277"/>
      <c r="J196" s="277"/>
      <c r="K196" s="277"/>
      <c r="L196" s="277"/>
      <c r="M196" s="277"/>
      <c r="N196" s="277"/>
      <c r="O196" s="277"/>
      <c r="P196" s="277"/>
      <c r="Q196" s="312"/>
    </row>
    <row r="197" spans="1:17" ht="39" hidden="1" x14ac:dyDescent="0.25">
      <c r="A197" s="502">
        <v>5162</v>
      </c>
      <c r="B197" s="494">
        <v>922000</v>
      </c>
      <c r="C197" s="287" t="s">
        <v>185</v>
      </c>
      <c r="D197" s="287"/>
      <c r="E197" s="288">
        <f>SUM(E198:E209)</f>
        <v>0</v>
      </c>
      <c r="F197" s="288"/>
      <c r="G197" s="288">
        <f t="shared" si="52"/>
        <v>0</v>
      </c>
      <c r="H197" s="288"/>
      <c r="I197" s="288">
        <f t="shared" ref="I197:Q197" si="59">SUM(I198:I209)</f>
        <v>0</v>
      </c>
      <c r="J197" s="288">
        <f t="shared" si="59"/>
        <v>0</v>
      </c>
      <c r="K197" s="288"/>
      <c r="L197" s="288">
        <f t="shared" si="59"/>
        <v>0</v>
      </c>
      <c r="M197" s="288"/>
      <c r="N197" s="288">
        <f t="shared" si="59"/>
        <v>0</v>
      </c>
      <c r="O197" s="288">
        <f t="shared" si="59"/>
        <v>0</v>
      </c>
      <c r="P197" s="288"/>
      <c r="Q197" s="289">
        <f t="shared" si="59"/>
        <v>0</v>
      </c>
    </row>
    <row r="198" spans="1:17" ht="39" hidden="1" x14ac:dyDescent="0.25">
      <c r="A198" s="293">
        <v>5163</v>
      </c>
      <c r="B198" s="294">
        <v>922100</v>
      </c>
      <c r="C198" s="295" t="s">
        <v>186</v>
      </c>
      <c r="D198" s="295"/>
      <c r="E198" s="277"/>
      <c r="F198" s="277"/>
      <c r="G198" s="311">
        <f t="shared" ref="G198:G209" si="60">SUM(I198:Q198)</f>
        <v>0</v>
      </c>
      <c r="H198" s="311"/>
      <c r="I198" s="277"/>
      <c r="J198" s="277"/>
      <c r="K198" s="277"/>
      <c r="L198" s="277"/>
      <c r="M198" s="277"/>
      <c r="N198" s="277"/>
      <c r="O198" s="277"/>
      <c r="P198" s="277"/>
      <c r="Q198" s="312"/>
    </row>
    <row r="199" spans="1:17" ht="26.25" hidden="1" x14ac:dyDescent="0.25">
      <c r="A199" s="293">
        <v>5164</v>
      </c>
      <c r="B199" s="294">
        <v>922200</v>
      </c>
      <c r="C199" s="295" t="s">
        <v>187</v>
      </c>
      <c r="D199" s="295"/>
      <c r="E199" s="277"/>
      <c r="F199" s="277"/>
      <c r="G199" s="311">
        <f t="shared" si="60"/>
        <v>0</v>
      </c>
      <c r="H199" s="311"/>
      <c r="I199" s="277"/>
      <c r="J199" s="277"/>
      <c r="K199" s="277"/>
      <c r="L199" s="277"/>
      <c r="M199" s="277"/>
      <c r="N199" s="277"/>
      <c r="O199" s="277"/>
      <c r="P199" s="277"/>
      <c r="Q199" s="312"/>
    </row>
    <row r="200" spans="1:17" ht="39" hidden="1" x14ac:dyDescent="0.25">
      <c r="A200" s="293">
        <v>5165</v>
      </c>
      <c r="B200" s="294">
        <v>922300</v>
      </c>
      <c r="C200" s="295" t="s">
        <v>188</v>
      </c>
      <c r="D200" s="295"/>
      <c r="E200" s="277"/>
      <c r="F200" s="277"/>
      <c r="G200" s="311">
        <f t="shared" si="60"/>
        <v>0</v>
      </c>
      <c r="H200" s="311"/>
      <c r="I200" s="277"/>
      <c r="J200" s="277"/>
      <c r="K200" s="277"/>
      <c r="L200" s="277"/>
      <c r="M200" s="277"/>
      <c r="N200" s="277"/>
      <c r="O200" s="277"/>
      <c r="P200" s="277"/>
      <c r="Q200" s="312"/>
    </row>
    <row r="201" spans="1:17" ht="39" hidden="1" x14ac:dyDescent="0.25">
      <c r="A201" s="293">
        <v>5166</v>
      </c>
      <c r="B201" s="294">
        <v>922400</v>
      </c>
      <c r="C201" s="295" t="s">
        <v>189</v>
      </c>
      <c r="D201" s="295"/>
      <c r="E201" s="277"/>
      <c r="F201" s="277"/>
      <c r="G201" s="311">
        <f t="shared" si="60"/>
        <v>0</v>
      </c>
      <c r="H201" s="311"/>
      <c r="I201" s="277"/>
      <c r="J201" s="277"/>
      <c r="K201" s="277"/>
      <c r="L201" s="277"/>
      <c r="M201" s="277"/>
      <c r="N201" s="277"/>
      <c r="O201" s="277"/>
      <c r="P201" s="277"/>
      <c r="Q201" s="312"/>
    </row>
    <row r="202" spans="1:17" ht="39" hidden="1" x14ac:dyDescent="0.25">
      <c r="A202" s="293">
        <v>5167</v>
      </c>
      <c r="B202" s="294">
        <v>922500</v>
      </c>
      <c r="C202" s="295" t="s">
        <v>190</v>
      </c>
      <c r="D202" s="295"/>
      <c r="E202" s="277"/>
      <c r="F202" s="277"/>
      <c r="G202" s="311">
        <f t="shared" si="60"/>
        <v>0</v>
      </c>
      <c r="H202" s="311"/>
      <c r="I202" s="277"/>
      <c r="J202" s="277"/>
      <c r="K202" s="277"/>
      <c r="L202" s="277"/>
      <c r="M202" s="277"/>
      <c r="N202" s="277"/>
      <c r="O202" s="277"/>
      <c r="P202" s="277"/>
      <c r="Q202" s="312"/>
    </row>
    <row r="203" spans="1:17" hidden="1" x14ac:dyDescent="0.25">
      <c r="A203" s="663" t="s">
        <v>0</v>
      </c>
      <c r="B203" s="657" t="s">
        <v>1</v>
      </c>
      <c r="C203" s="656" t="s">
        <v>2</v>
      </c>
      <c r="D203" s="492"/>
      <c r="E203" s="658" t="s">
        <v>3</v>
      </c>
      <c r="F203" s="494"/>
      <c r="G203" s="658" t="s">
        <v>4</v>
      </c>
      <c r="H203" s="658"/>
      <c r="I203" s="658"/>
      <c r="J203" s="658"/>
      <c r="K203" s="658"/>
      <c r="L203" s="658"/>
      <c r="M203" s="658"/>
      <c r="N203" s="658"/>
      <c r="O203" s="658"/>
      <c r="P203" s="658"/>
      <c r="Q203" s="664"/>
    </row>
    <row r="204" spans="1:17" hidden="1" x14ac:dyDescent="0.25">
      <c r="A204" s="663"/>
      <c r="B204" s="657"/>
      <c r="C204" s="656"/>
      <c r="D204" s="492"/>
      <c r="E204" s="658"/>
      <c r="F204" s="494"/>
      <c r="G204" s="665" t="s">
        <v>5</v>
      </c>
      <c r="H204" s="497"/>
      <c r="I204" s="658" t="s">
        <v>6</v>
      </c>
      <c r="J204" s="658"/>
      <c r="K204" s="658"/>
      <c r="L204" s="658"/>
      <c r="M204" s="658"/>
      <c r="N204" s="658"/>
      <c r="O204" s="658" t="s">
        <v>7</v>
      </c>
      <c r="P204" s="494"/>
      <c r="Q204" s="664" t="s">
        <v>8</v>
      </c>
    </row>
    <row r="205" spans="1:17" ht="39" hidden="1" x14ac:dyDescent="0.25">
      <c r="A205" s="663"/>
      <c r="B205" s="657"/>
      <c r="C205" s="656"/>
      <c r="D205" s="492"/>
      <c r="E205" s="658"/>
      <c r="F205" s="494"/>
      <c r="G205" s="665"/>
      <c r="H205" s="497"/>
      <c r="I205" s="494" t="s">
        <v>9</v>
      </c>
      <c r="J205" s="494" t="s">
        <v>10</v>
      </c>
      <c r="K205" s="494"/>
      <c r="L205" s="494" t="s">
        <v>11</v>
      </c>
      <c r="M205" s="494"/>
      <c r="N205" s="494" t="s">
        <v>12</v>
      </c>
      <c r="O205" s="658"/>
      <c r="P205" s="494"/>
      <c r="Q205" s="664"/>
    </row>
    <row r="206" spans="1:17" ht="26.25" hidden="1" x14ac:dyDescent="0.25">
      <c r="A206" s="304" t="s">
        <v>18</v>
      </c>
      <c r="B206" s="493" t="s">
        <v>19</v>
      </c>
      <c r="C206" s="493" t="s">
        <v>20</v>
      </c>
      <c r="D206" s="493"/>
      <c r="E206" s="306" t="s">
        <v>21</v>
      </c>
      <c r="F206" s="306"/>
      <c r="G206" s="306" t="s">
        <v>22</v>
      </c>
      <c r="H206" s="306"/>
      <c r="I206" s="306" t="s">
        <v>23</v>
      </c>
      <c r="J206" s="306" t="s">
        <v>24</v>
      </c>
      <c r="K206" s="306"/>
      <c r="L206" s="306" t="s">
        <v>25</v>
      </c>
      <c r="M206" s="306"/>
      <c r="N206" s="306" t="s">
        <v>26</v>
      </c>
      <c r="O206" s="306" t="s">
        <v>27</v>
      </c>
      <c r="P206" s="306"/>
      <c r="Q206" s="307" t="s">
        <v>28</v>
      </c>
    </row>
    <row r="207" spans="1:17" ht="39" hidden="1" x14ac:dyDescent="0.25">
      <c r="A207" s="293">
        <v>5168</v>
      </c>
      <c r="B207" s="294">
        <v>922600</v>
      </c>
      <c r="C207" s="295" t="s">
        <v>191</v>
      </c>
      <c r="D207" s="295"/>
      <c r="E207" s="277"/>
      <c r="F207" s="277"/>
      <c r="G207" s="311">
        <f t="shared" si="60"/>
        <v>0</v>
      </c>
      <c r="H207" s="311"/>
      <c r="I207" s="277"/>
      <c r="J207" s="277"/>
      <c r="K207" s="277"/>
      <c r="L207" s="277"/>
      <c r="M207" s="277"/>
      <c r="N207" s="277"/>
      <c r="O207" s="277"/>
      <c r="P207" s="277"/>
      <c r="Q207" s="312"/>
    </row>
    <row r="208" spans="1:17" ht="26.25" hidden="1" x14ac:dyDescent="0.25">
      <c r="A208" s="293">
        <v>5169</v>
      </c>
      <c r="B208" s="294">
        <v>922700</v>
      </c>
      <c r="C208" s="295" t="s">
        <v>192</v>
      </c>
      <c r="D208" s="295"/>
      <c r="E208" s="277"/>
      <c r="F208" s="277"/>
      <c r="G208" s="311">
        <f t="shared" si="60"/>
        <v>0</v>
      </c>
      <c r="H208" s="311"/>
      <c r="I208" s="277"/>
      <c r="J208" s="277"/>
      <c r="K208" s="277"/>
      <c r="L208" s="277"/>
      <c r="M208" s="277"/>
      <c r="N208" s="277"/>
      <c r="O208" s="277"/>
      <c r="P208" s="277"/>
      <c r="Q208" s="312"/>
    </row>
    <row r="209" spans="1:18" ht="26.25" hidden="1" x14ac:dyDescent="0.25">
      <c r="A209" s="293">
        <v>5170</v>
      </c>
      <c r="B209" s="294">
        <v>922800</v>
      </c>
      <c r="C209" s="295" t="s">
        <v>193</v>
      </c>
      <c r="D209" s="295"/>
      <c r="E209" s="277"/>
      <c r="F209" s="277"/>
      <c r="G209" s="311">
        <f t="shared" si="60"/>
        <v>0</v>
      </c>
      <c r="H209" s="311"/>
      <c r="I209" s="277"/>
      <c r="J209" s="277"/>
      <c r="K209" s="277"/>
      <c r="L209" s="277"/>
      <c r="M209" s="277"/>
      <c r="N209" s="277"/>
      <c r="O209" s="277"/>
      <c r="P209" s="277"/>
      <c r="Q209" s="312"/>
    </row>
    <row r="210" spans="1:18" ht="27" thickBot="1" x14ac:dyDescent="0.3">
      <c r="A210" s="316">
        <v>5171</v>
      </c>
      <c r="B210" s="317"/>
      <c r="C210" s="318" t="s">
        <v>194</v>
      </c>
      <c r="D210" s="318"/>
      <c r="E210" s="319">
        <f>E6+E162</f>
        <v>1500538</v>
      </c>
      <c r="F210" s="319">
        <f t="shared" ref="F210:Q210" si="61">F6+F162</f>
        <v>1639234</v>
      </c>
      <c r="G210" s="319">
        <f t="shared" si="61"/>
        <v>3027938</v>
      </c>
      <c r="H210" s="319">
        <f t="shared" si="61"/>
        <v>26000</v>
      </c>
      <c r="I210" s="319">
        <f t="shared" si="61"/>
        <v>18738</v>
      </c>
      <c r="J210" s="319">
        <f t="shared" si="61"/>
        <v>0</v>
      </c>
      <c r="K210" s="319">
        <f t="shared" si="61"/>
        <v>1000</v>
      </c>
      <c r="L210" s="319">
        <f t="shared" si="61"/>
        <v>505</v>
      </c>
      <c r="M210" s="319">
        <f t="shared" si="61"/>
        <v>1599334</v>
      </c>
      <c r="N210" s="319">
        <f t="shared" si="61"/>
        <v>1398192</v>
      </c>
      <c r="O210" s="319">
        <f t="shared" si="61"/>
        <v>0</v>
      </c>
      <c r="P210" s="319">
        <f t="shared" si="61"/>
        <v>12900</v>
      </c>
      <c r="Q210" s="320">
        <f t="shared" si="61"/>
        <v>12669</v>
      </c>
    </row>
    <row r="211" spans="1:18" ht="25.5" customHeight="1" x14ac:dyDescent="0.25">
      <c r="A211" s="321"/>
      <c r="B211" s="322"/>
      <c r="C211" s="323"/>
      <c r="D211" s="323"/>
      <c r="E211" s="324"/>
      <c r="F211" s="324"/>
      <c r="G211" s="324"/>
      <c r="H211" s="324"/>
      <c r="I211" s="324"/>
      <c r="J211" s="324"/>
      <c r="K211" s="324"/>
      <c r="L211" s="324"/>
      <c r="M211" s="324"/>
      <c r="N211" s="324"/>
      <c r="O211" s="324"/>
      <c r="P211" s="324"/>
      <c r="Q211" s="324"/>
    </row>
    <row r="212" spans="1:18" ht="3" hidden="1" customHeight="1" x14ac:dyDescent="0.25">
      <c r="A212" s="325"/>
      <c r="B212" s="280"/>
      <c r="C212" s="280"/>
      <c r="D212" s="280"/>
      <c r="E212" s="280"/>
      <c r="F212" s="280"/>
      <c r="G212" s="280"/>
      <c r="H212" s="280"/>
      <c r="I212" s="280"/>
      <c r="J212" s="280"/>
      <c r="K212" s="280"/>
      <c r="L212" s="280"/>
      <c r="M212" s="280"/>
      <c r="N212" s="280"/>
      <c r="O212" s="280"/>
      <c r="P212" s="280"/>
      <c r="Q212" s="280"/>
    </row>
    <row r="213" spans="1:18" ht="19.5" customHeight="1" x14ac:dyDescent="0.25">
      <c r="A213" s="279" t="s">
        <v>195</v>
      </c>
      <c r="B213" s="280"/>
      <c r="C213" s="280"/>
      <c r="D213" s="280"/>
      <c r="E213" s="280"/>
      <c r="F213" s="280"/>
      <c r="G213" s="280"/>
      <c r="H213" s="280"/>
      <c r="I213" s="280"/>
      <c r="J213" s="280"/>
      <c r="K213" s="280"/>
      <c r="L213" s="280"/>
      <c r="M213" s="280"/>
      <c r="N213" s="280"/>
      <c r="O213" s="280"/>
      <c r="P213" s="280"/>
      <c r="Q213" s="280"/>
    </row>
    <row r="214" spans="1:18" ht="3.75" hidden="1" customHeight="1" x14ac:dyDescent="0.25">
      <c r="A214" s="325"/>
      <c r="B214" s="280"/>
      <c r="C214" s="280"/>
      <c r="D214" s="280"/>
      <c r="E214" s="280"/>
      <c r="F214" s="280"/>
      <c r="G214" s="280"/>
      <c r="H214" s="280"/>
      <c r="I214" s="280"/>
      <c r="J214" s="280"/>
      <c r="K214" s="280"/>
      <c r="L214" s="280"/>
      <c r="M214" s="280"/>
      <c r="N214" s="280"/>
      <c r="O214" s="280" t="s">
        <v>196</v>
      </c>
      <c r="P214" s="280"/>
      <c r="Q214" s="280"/>
    </row>
    <row r="215" spans="1:18" ht="15" customHeight="1" x14ac:dyDescent="0.25">
      <c r="A215" s="658" t="s">
        <v>0</v>
      </c>
      <c r="B215" s="658" t="s">
        <v>1</v>
      </c>
      <c r="C215" s="658" t="s">
        <v>2</v>
      </c>
      <c r="D215" s="658"/>
      <c r="E215" s="658" t="s">
        <v>197</v>
      </c>
      <c r="F215" s="660" t="s">
        <v>512</v>
      </c>
      <c r="G215" s="661"/>
      <c r="H215" s="661"/>
      <c r="I215" s="661"/>
      <c r="J215" s="661"/>
      <c r="K215" s="661"/>
      <c r="L215" s="661"/>
      <c r="M215" s="661"/>
      <c r="N215" s="661"/>
      <c r="O215" s="661"/>
      <c r="P215" s="661"/>
      <c r="Q215" s="662"/>
    </row>
    <row r="216" spans="1:18" ht="15" customHeight="1" x14ac:dyDescent="0.25">
      <c r="A216" s="659"/>
      <c r="B216" s="659"/>
      <c r="C216" s="659"/>
      <c r="D216" s="658"/>
      <c r="E216" s="659"/>
      <c r="F216" s="658" t="s">
        <v>511</v>
      </c>
      <c r="G216" s="658" t="s">
        <v>199</v>
      </c>
      <c r="H216" s="660" t="s">
        <v>200</v>
      </c>
      <c r="I216" s="661"/>
      <c r="J216" s="661"/>
      <c r="K216" s="661"/>
      <c r="L216" s="661"/>
      <c r="M216" s="661"/>
      <c r="N216" s="662"/>
      <c r="O216" s="658" t="s">
        <v>7</v>
      </c>
      <c r="P216" s="658" t="s">
        <v>8</v>
      </c>
      <c r="Q216" s="658" t="s">
        <v>8</v>
      </c>
    </row>
    <row r="217" spans="1:18" ht="39" x14ac:dyDescent="0.25">
      <c r="A217" s="659"/>
      <c r="B217" s="659"/>
      <c r="C217" s="659"/>
      <c r="D217" s="658"/>
      <c r="E217" s="659"/>
      <c r="F217" s="659"/>
      <c r="G217" s="659"/>
      <c r="H217" s="494" t="s">
        <v>201</v>
      </c>
      <c r="I217" s="494" t="s">
        <v>201</v>
      </c>
      <c r="J217" s="494" t="s">
        <v>10</v>
      </c>
      <c r="K217" s="494" t="s">
        <v>11</v>
      </c>
      <c r="L217" s="494" t="s">
        <v>11</v>
      </c>
      <c r="M217" s="494" t="s">
        <v>12</v>
      </c>
      <c r="N217" s="494" t="s">
        <v>12</v>
      </c>
      <c r="O217" s="659"/>
      <c r="P217" s="659"/>
      <c r="Q217" s="659"/>
    </row>
    <row r="218" spans="1:18" x14ac:dyDescent="0.25">
      <c r="A218" s="494">
        <v>1</v>
      </c>
      <c r="B218" s="494">
        <v>2</v>
      </c>
      <c r="C218" s="494">
        <v>3</v>
      </c>
      <c r="D218" s="494"/>
      <c r="E218" s="494">
        <v>4</v>
      </c>
      <c r="F218" s="494">
        <v>4</v>
      </c>
      <c r="G218" s="494">
        <v>5</v>
      </c>
      <c r="H218" s="494">
        <v>5</v>
      </c>
      <c r="I218" s="494">
        <v>6</v>
      </c>
      <c r="J218" s="494">
        <v>7</v>
      </c>
      <c r="K218" s="494">
        <v>6</v>
      </c>
      <c r="L218" s="494">
        <v>8</v>
      </c>
      <c r="M218" s="494">
        <v>7</v>
      </c>
      <c r="N218" s="494">
        <v>9</v>
      </c>
      <c r="O218" s="494">
        <v>10</v>
      </c>
      <c r="P218" s="494">
        <v>8</v>
      </c>
      <c r="Q218" s="494">
        <v>11</v>
      </c>
    </row>
    <row r="219" spans="1:18" ht="39" x14ac:dyDescent="0.25">
      <c r="A219" s="498">
        <v>5172</v>
      </c>
      <c r="B219" s="494"/>
      <c r="C219" s="287" t="s">
        <v>202</v>
      </c>
      <c r="D219" s="287"/>
      <c r="E219" s="288">
        <f t="shared" ref="E219:Q219" si="62">E220+E434</f>
        <v>1500538</v>
      </c>
      <c r="F219" s="288">
        <f t="shared" si="62"/>
        <v>1639545</v>
      </c>
      <c r="G219" s="288">
        <f t="shared" si="62"/>
        <v>1138166</v>
      </c>
      <c r="H219" s="288">
        <f t="shared" si="62"/>
        <v>26000</v>
      </c>
      <c r="I219" s="288">
        <f t="shared" si="62"/>
        <v>1577</v>
      </c>
      <c r="J219" s="288">
        <f t="shared" si="62"/>
        <v>0</v>
      </c>
      <c r="K219" s="288">
        <f t="shared" si="62"/>
        <v>1000</v>
      </c>
      <c r="L219" s="288">
        <f t="shared" si="62"/>
        <v>1273</v>
      </c>
      <c r="M219" s="288">
        <f t="shared" si="62"/>
        <v>1599334</v>
      </c>
      <c r="N219" s="288">
        <f t="shared" si="62"/>
        <v>1125638</v>
      </c>
      <c r="O219" s="288">
        <f t="shared" si="62"/>
        <v>0</v>
      </c>
      <c r="P219" s="288">
        <f t="shared" si="62"/>
        <v>13211</v>
      </c>
      <c r="Q219" s="288">
        <f t="shared" si="62"/>
        <v>9668</v>
      </c>
      <c r="R219" s="326">
        <f>H219+K219+M219+P219</f>
        <v>1639545</v>
      </c>
    </row>
    <row r="220" spans="1:18" ht="39" x14ac:dyDescent="0.25">
      <c r="A220" s="498">
        <v>5173</v>
      </c>
      <c r="B220" s="494">
        <v>400000</v>
      </c>
      <c r="C220" s="287" t="s">
        <v>203</v>
      </c>
      <c r="D220" s="287"/>
      <c r="E220" s="288">
        <f>E221+E247+E314+E333+E361+E374+E394+E413</f>
        <v>1464986</v>
      </c>
      <c r="F220" s="288">
        <f>F221+F247+F333+F374+F413</f>
        <v>1612316</v>
      </c>
      <c r="G220" s="288">
        <f t="shared" ref="G220:Q220" si="63">G221+G247+G314+G333+G361+G374+G394+G413</f>
        <v>1134903</v>
      </c>
      <c r="H220" s="288">
        <f t="shared" si="63"/>
        <v>1000</v>
      </c>
      <c r="I220" s="288">
        <f t="shared" si="63"/>
        <v>127</v>
      </c>
      <c r="J220" s="288">
        <f t="shared" si="63"/>
        <v>0</v>
      </c>
      <c r="K220" s="288">
        <f t="shared" si="63"/>
        <v>0</v>
      </c>
      <c r="L220" s="288">
        <f t="shared" si="63"/>
        <v>1273</v>
      </c>
      <c r="M220" s="288">
        <f t="shared" si="63"/>
        <v>1599334</v>
      </c>
      <c r="N220" s="288">
        <f t="shared" si="63"/>
        <v>1125638</v>
      </c>
      <c r="O220" s="288">
        <f t="shared" si="63"/>
        <v>0</v>
      </c>
      <c r="P220" s="288">
        <f t="shared" si="63"/>
        <v>11982</v>
      </c>
      <c r="Q220" s="288">
        <f t="shared" si="63"/>
        <v>7855</v>
      </c>
      <c r="R220" s="326">
        <f>F220+F434</f>
        <v>1639545</v>
      </c>
    </row>
    <row r="221" spans="1:18" ht="39" x14ac:dyDescent="0.25">
      <c r="A221" s="498">
        <v>5174</v>
      </c>
      <c r="B221" s="494">
        <v>410000</v>
      </c>
      <c r="C221" s="287" t="s">
        <v>204</v>
      </c>
      <c r="D221" s="287"/>
      <c r="E221" s="288">
        <f>E222+E224+E228+E230+E239+E241+E243+E245</f>
        <v>1029655</v>
      </c>
      <c r="F221" s="288">
        <f t="shared" ref="F221:Q221" si="64">F222+F224+F228+F230+F239+F241+F243+F245</f>
        <v>1216506</v>
      </c>
      <c r="G221" s="288">
        <f t="shared" si="64"/>
        <v>1027665</v>
      </c>
      <c r="H221" s="288">
        <f t="shared" si="64"/>
        <v>0</v>
      </c>
      <c r="I221" s="288">
        <f t="shared" si="64"/>
        <v>0</v>
      </c>
      <c r="J221" s="288">
        <f t="shared" si="64"/>
        <v>0</v>
      </c>
      <c r="K221" s="288">
        <f t="shared" si="64"/>
        <v>0</v>
      </c>
      <c r="L221" s="288">
        <f t="shared" si="64"/>
        <v>0</v>
      </c>
      <c r="M221" s="288">
        <f t="shared" si="64"/>
        <v>1212877</v>
      </c>
      <c r="N221" s="288">
        <f t="shared" si="64"/>
        <v>1025065</v>
      </c>
      <c r="O221" s="288">
        <f t="shared" si="64"/>
        <v>0</v>
      </c>
      <c r="P221" s="288">
        <f t="shared" si="64"/>
        <v>3629</v>
      </c>
      <c r="Q221" s="288">
        <f t="shared" si="64"/>
        <v>2600</v>
      </c>
    </row>
    <row r="222" spans="1:18" ht="26.25" x14ac:dyDescent="0.25">
      <c r="A222" s="498">
        <v>5175</v>
      </c>
      <c r="B222" s="494">
        <v>411000</v>
      </c>
      <c r="C222" s="287" t="s">
        <v>205</v>
      </c>
      <c r="D222" s="287"/>
      <c r="E222" s="288">
        <f>E223</f>
        <v>851785</v>
      </c>
      <c r="F222" s="288">
        <f t="shared" ref="F222:Q222" si="65">F223</f>
        <v>1010985</v>
      </c>
      <c r="G222" s="288">
        <f t="shared" si="65"/>
        <v>851785</v>
      </c>
      <c r="H222" s="288">
        <f t="shared" si="65"/>
        <v>0</v>
      </c>
      <c r="I222" s="288">
        <f t="shared" si="65"/>
        <v>0</v>
      </c>
      <c r="J222" s="288">
        <f t="shared" si="65"/>
        <v>0</v>
      </c>
      <c r="K222" s="288">
        <f t="shared" si="65"/>
        <v>0</v>
      </c>
      <c r="L222" s="288">
        <f t="shared" si="65"/>
        <v>0</v>
      </c>
      <c r="M222" s="288">
        <f t="shared" si="65"/>
        <v>1008061</v>
      </c>
      <c r="N222" s="288">
        <f t="shared" si="65"/>
        <v>849796</v>
      </c>
      <c r="O222" s="288">
        <f t="shared" si="65"/>
        <v>0</v>
      </c>
      <c r="P222" s="288">
        <f t="shared" si="65"/>
        <v>2924</v>
      </c>
      <c r="Q222" s="288">
        <f t="shared" si="65"/>
        <v>1989</v>
      </c>
    </row>
    <row r="223" spans="1:18" ht="26.25" x14ac:dyDescent="0.25">
      <c r="A223" s="327">
        <v>5176</v>
      </c>
      <c r="B223" s="294">
        <v>411100</v>
      </c>
      <c r="C223" s="295" t="s">
        <v>206</v>
      </c>
      <c r="D223" s="295"/>
      <c r="E223" s="277">
        <f>851823-26-11-1</f>
        <v>851785</v>
      </c>
      <c r="F223" s="277">
        <f>H223+K223+M223+P223</f>
        <v>1010985</v>
      </c>
      <c r="G223" s="311">
        <f>SUM(I223:Q223)-K223-M223-P223</f>
        <v>851785</v>
      </c>
      <c r="H223" s="311"/>
      <c r="I223" s="277"/>
      <c r="J223" s="277"/>
      <c r="K223" s="277"/>
      <c r="L223" s="277"/>
      <c r="M223" s="277">
        <v>1008061</v>
      </c>
      <c r="N223" s="277">
        <f>851785-1989</f>
        <v>849796</v>
      </c>
      <c r="O223" s="277"/>
      <c r="P223" s="277">
        <v>2924</v>
      </c>
      <c r="Q223" s="277">
        <v>1989</v>
      </c>
      <c r="R223" s="326">
        <f>M223+P223</f>
        <v>1010985</v>
      </c>
    </row>
    <row r="224" spans="1:18" ht="39" x14ac:dyDescent="0.25">
      <c r="A224" s="498">
        <v>5177</v>
      </c>
      <c r="B224" s="494">
        <v>412000</v>
      </c>
      <c r="C224" s="287" t="s">
        <v>207</v>
      </c>
      <c r="D224" s="287"/>
      <c r="E224" s="288">
        <f>SUM(E225:E227)</f>
        <v>141866</v>
      </c>
      <c r="F224" s="288">
        <f t="shared" ref="F224:Q224" si="66">SUM(F225:F227)</f>
        <v>153194</v>
      </c>
      <c r="G224" s="288">
        <f t="shared" si="66"/>
        <v>141866</v>
      </c>
      <c r="H224" s="288">
        <f t="shared" si="66"/>
        <v>0</v>
      </c>
      <c r="I224" s="288">
        <f t="shared" si="66"/>
        <v>0</v>
      </c>
      <c r="J224" s="288">
        <f t="shared" si="66"/>
        <v>0</v>
      </c>
      <c r="K224" s="288">
        <f t="shared" si="66"/>
        <v>0</v>
      </c>
      <c r="L224" s="288">
        <f t="shared" si="66"/>
        <v>0</v>
      </c>
      <c r="M224" s="288">
        <f t="shared" si="66"/>
        <v>152721</v>
      </c>
      <c r="N224" s="288">
        <f t="shared" si="66"/>
        <v>141535</v>
      </c>
      <c r="O224" s="288">
        <f t="shared" si="66"/>
        <v>0</v>
      </c>
      <c r="P224" s="288">
        <f t="shared" si="66"/>
        <v>473</v>
      </c>
      <c r="Q224" s="288">
        <f t="shared" si="66"/>
        <v>331</v>
      </c>
    </row>
    <row r="225" spans="1:22" ht="26.25" x14ac:dyDescent="0.25">
      <c r="A225" s="327">
        <v>5178</v>
      </c>
      <c r="B225" s="294">
        <v>412100</v>
      </c>
      <c r="C225" s="295" t="s">
        <v>208</v>
      </c>
      <c r="D225" s="295"/>
      <c r="E225" s="277">
        <f>97960+26</f>
        <v>97986</v>
      </c>
      <c r="F225" s="277">
        <f>H225+K225+M225+P225</f>
        <v>101128</v>
      </c>
      <c r="G225" s="311">
        <f>SUM(I225:Q225)-K225-M225-P225</f>
        <v>97986</v>
      </c>
      <c r="H225" s="311"/>
      <c r="I225" s="277"/>
      <c r="J225" s="277"/>
      <c r="K225" s="277"/>
      <c r="L225" s="277"/>
      <c r="M225" s="277">
        <v>100806</v>
      </c>
      <c r="N225" s="277">
        <f>97986-229</f>
        <v>97757</v>
      </c>
      <c r="O225" s="277"/>
      <c r="P225" s="277">
        <v>322</v>
      </c>
      <c r="Q225" s="277">
        <v>229</v>
      </c>
    </row>
    <row r="226" spans="1:22" ht="26.25" x14ac:dyDescent="0.25">
      <c r="A226" s="327">
        <v>5179</v>
      </c>
      <c r="B226" s="294">
        <v>412200</v>
      </c>
      <c r="C226" s="295" t="s">
        <v>209</v>
      </c>
      <c r="D226" s="295"/>
      <c r="E226" s="277">
        <f>43869+11</f>
        <v>43880</v>
      </c>
      <c r="F226" s="277">
        <f>H226+K226+M226+P226</f>
        <v>52066</v>
      </c>
      <c r="G226" s="311">
        <f>SUM(I226:Q226)-K226-M226-P226</f>
        <v>43880</v>
      </c>
      <c r="H226" s="311"/>
      <c r="I226" s="277"/>
      <c r="J226" s="277"/>
      <c r="K226" s="277"/>
      <c r="L226" s="277"/>
      <c r="M226" s="277">
        <v>51915</v>
      </c>
      <c r="N226" s="277">
        <f>43880-102</f>
        <v>43778</v>
      </c>
      <c r="O226" s="277"/>
      <c r="P226" s="277">
        <v>151</v>
      </c>
      <c r="Q226" s="277">
        <v>102</v>
      </c>
    </row>
    <row r="227" spans="1:22" hidden="1" x14ac:dyDescent="0.25">
      <c r="A227" s="327">
        <v>5180</v>
      </c>
      <c r="B227" s="294">
        <v>412300</v>
      </c>
      <c r="C227" s="295" t="s">
        <v>210</v>
      </c>
      <c r="D227" s="295"/>
      <c r="E227" s="277"/>
      <c r="F227" s="277"/>
      <c r="G227" s="311">
        <f t="shared" ref="G227:G288" si="67">SUM(I227:Q227)</f>
        <v>0</v>
      </c>
      <c r="H227" s="311"/>
      <c r="I227" s="277"/>
      <c r="J227" s="277"/>
      <c r="K227" s="277"/>
      <c r="L227" s="277"/>
      <c r="M227" s="277"/>
      <c r="N227" s="277"/>
      <c r="O227" s="277"/>
      <c r="P227" s="277"/>
      <c r="Q227" s="277"/>
    </row>
    <row r="228" spans="1:22" hidden="1" x14ac:dyDescent="0.25">
      <c r="A228" s="498">
        <v>5181</v>
      </c>
      <c r="B228" s="494">
        <v>413000</v>
      </c>
      <c r="C228" s="287" t="s">
        <v>211</v>
      </c>
      <c r="D228" s="287"/>
      <c r="E228" s="288">
        <f>E229</f>
        <v>0</v>
      </c>
      <c r="F228" s="288"/>
      <c r="G228" s="288">
        <f t="shared" si="67"/>
        <v>0</v>
      </c>
      <c r="H228" s="288"/>
      <c r="I228" s="288">
        <f t="shared" ref="I228:Q228" si="68">I229</f>
        <v>0</v>
      </c>
      <c r="J228" s="288">
        <f t="shared" si="68"/>
        <v>0</v>
      </c>
      <c r="K228" s="288"/>
      <c r="L228" s="288">
        <f t="shared" si="68"/>
        <v>0</v>
      </c>
      <c r="M228" s="288"/>
      <c r="N228" s="288">
        <f t="shared" si="68"/>
        <v>0</v>
      </c>
      <c r="O228" s="288">
        <f t="shared" si="68"/>
        <v>0</v>
      </c>
      <c r="P228" s="288"/>
      <c r="Q228" s="288">
        <f t="shared" si="68"/>
        <v>0</v>
      </c>
    </row>
    <row r="229" spans="1:22" hidden="1" x14ac:dyDescent="0.25">
      <c r="A229" s="327">
        <v>5182</v>
      </c>
      <c r="B229" s="294">
        <v>413100</v>
      </c>
      <c r="C229" s="295" t="s">
        <v>212</v>
      </c>
      <c r="D229" s="295"/>
      <c r="E229" s="277"/>
      <c r="F229" s="277"/>
      <c r="G229" s="311">
        <f t="shared" si="67"/>
        <v>0</v>
      </c>
      <c r="H229" s="311"/>
      <c r="I229" s="277"/>
      <c r="J229" s="277"/>
      <c r="K229" s="277"/>
      <c r="L229" s="277"/>
      <c r="M229" s="277"/>
      <c r="N229" s="277"/>
      <c r="O229" s="277"/>
      <c r="P229" s="277"/>
      <c r="Q229" s="277"/>
    </row>
    <row r="230" spans="1:22" ht="39" x14ac:dyDescent="0.25">
      <c r="A230" s="498">
        <v>5183</v>
      </c>
      <c r="B230" s="494">
        <v>414000</v>
      </c>
      <c r="C230" s="287" t="s">
        <v>213</v>
      </c>
      <c r="D230" s="287"/>
      <c r="E230" s="288">
        <f>SUM(E231:E238)</f>
        <v>6722</v>
      </c>
      <c r="F230" s="288">
        <f t="shared" ref="F230:Q230" si="69">SUM(F231:F238)</f>
        <v>9632</v>
      </c>
      <c r="G230" s="288">
        <f t="shared" si="69"/>
        <v>5239</v>
      </c>
      <c r="H230" s="288">
        <f t="shared" si="69"/>
        <v>0</v>
      </c>
      <c r="I230" s="288">
        <f t="shared" si="69"/>
        <v>0</v>
      </c>
      <c r="J230" s="288">
        <f t="shared" si="69"/>
        <v>0</v>
      </c>
      <c r="K230" s="288">
        <f t="shared" si="69"/>
        <v>0</v>
      </c>
      <c r="L230" s="288">
        <f t="shared" si="69"/>
        <v>0</v>
      </c>
      <c r="M230" s="288">
        <f t="shared" si="69"/>
        <v>9400</v>
      </c>
      <c r="N230" s="288">
        <f t="shared" si="69"/>
        <v>4959</v>
      </c>
      <c r="O230" s="288">
        <f t="shared" si="69"/>
        <v>0</v>
      </c>
      <c r="P230" s="288">
        <f t="shared" si="69"/>
        <v>232</v>
      </c>
      <c r="Q230" s="288">
        <f t="shared" si="69"/>
        <v>280</v>
      </c>
    </row>
    <row r="231" spans="1:22" ht="39" hidden="1" x14ac:dyDescent="0.25">
      <c r="A231" s="327">
        <v>5184</v>
      </c>
      <c r="B231" s="294">
        <v>414100</v>
      </c>
      <c r="C231" s="295" t="s">
        <v>214</v>
      </c>
      <c r="D231" s="295"/>
      <c r="E231" s="277"/>
      <c r="F231" s="277"/>
      <c r="G231" s="311">
        <f t="shared" si="67"/>
        <v>0</v>
      </c>
      <c r="H231" s="311"/>
      <c r="I231" s="277"/>
      <c r="J231" s="277"/>
      <c r="K231" s="277"/>
      <c r="L231" s="277"/>
      <c r="M231" s="277"/>
      <c r="N231" s="277"/>
      <c r="O231" s="277"/>
      <c r="P231" s="277"/>
      <c r="Q231" s="277"/>
    </row>
    <row r="232" spans="1:22" ht="26.25" hidden="1" x14ac:dyDescent="0.25">
      <c r="A232" s="327">
        <v>5185</v>
      </c>
      <c r="B232" s="294">
        <v>414200</v>
      </c>
      <c r="C232" s="295" t="s">
        <v>215</v>
      </c>
      <c r="D232" s="295"/>
      <c r="E232" s="277"/>
      <c r="F232" s="277"/>
      <c r="G232" s="311">
        <f t="shared" si="67"/>
        <v>0</v>
      </c>
      <c r="H232" s="311"/>
      <c r="I232" s="277"/>
      <c r="J232" s="277"/>
      <c r="K232" s="277"/>
      <c r="L232" s="277"/>
      <c r="M232" s="277"/>
      <c r="N232" s="277"/>
      <c r="O232" s="277"/>
      <c r="P232" s="277"/>
      <c r="Q232" s="277"/>
    </row>
    <row r="233" spans="1:22" x14ac:dyDescent="0.25">
      <c r="A233" s="327">
        <v>5186</v>
      </c>
      <c r="B233" s="294">
        <v>414300</v>
      </c>
      <c r="C233" s="295" t="s">
        <v>216</v>
      </c>
      <c r="D233" s="295"/>
      <c r="E233" s="277">
        <v>5351</v>
      </c>
      <c r="F233" s="277">
        <f>H233+K233+M233+P233</f>
        <v>8432</v>
      </c>
      <c r="G233" s="311">
        <f>SUM(I233:Q233)-K233-M233-P233</f>
        <v>3934</v>
      </c>
      <c r="H233" s="311"/>
      <c r="I233" s="277"/>
      <c r="J233" s="277"/>
      <c r="K233" s="277"/>
      <c r="L233" s="277"/>
      <c r="M233" s="277">
        <v>8200</v>
      </c>
      <c r="N233" s="277">
        <v>3654</v>
      </c>
      <c r="O233" s="277"/>
      <c r="P233" s="277">
        <v>232</v>
      </c>
      <c r="Q233" s="277">
        <v>280</v>
      </c>
    </row>
    <row r="234" spans="1:22" ht="15" hidden="1" customHeight="1" x14ac:dyDescent="0.25">
      <c r="A234" s="656" t="s">
        <v>0</v>
      </c>
      <c r="B234" s="657" t="s">
        <v>1</v>
      </c>
      <c r="C234" s="656" t="s">
        <v>2</v>
      </c>
      <c r="D234" s="492"/>
      <c r="E234" s="656" t="s">
        <v>217</v>
      </c>
      <c r="F234" s="492"/>
      <c r="G234" s="658" t="s">
        <v>198</v>
      </c>
      <c r="H234" s="658"/>
      <c r="I234" s="659"/>
      <c r="J234" s="659"/>
      <c r="K234" s="659"/>
      <c r="L234" s="659"/>
      <c r="M234" s="659"/>
      <c r="N234" s="659"/>
      <c r="O234" s="659"/>
      <c r="P234" s="659"/>
      <c r="Q234" s="659"/>
    </row>
    <row r="235" spans="1:22" ht="15" hidden="1" customHeight="1" x14ac:dyDescent="0.25">
      <c r="A235" s="656"/>
      <c r="B235" s="657"/>
      <c r="C235" s="656"/>
      <c r="D235" s="492"/>
      <c r="E235" s="656"/>
      <c r="F235" s="492"/>
      <c r="G235" s="658" t="s">
        <v>199</v>
      </c>
      <c r="H235" s="494"/>
      <c r="I235" s="658" t="s">
        <v>200</v>
      </c>
      <c r="J235" s="659"/>
      <c r="K235" s="659"/>
      <c r="L235" s="659"/>
      <c r="M235" s="659"/>
      <c r="N235" s="659"/>
      <c r="O235" s="658" t="s">
        <v>7</v>
      </c>
      <c r="P235" s="494"/>
      <c r="Q235" s="658" t="s">
        <v>8</v>
      </c>
    </row>
    <row r="236" spans="1:22" ht="39" hidden="1" customHeight="1" x14ac:dyDescent="0.25">
      <c r="A236" s="656"/>
      <c r="B236" s="657"/>
      <c r="C236" s="656"/>
      <c r="D236" s="492"/>
      <c r="E236" s="656"/>
      <c r="F236" s="492"/>
      <c r="G236" s="659"/>
      <c r="H236" s="495"/>
      <c r="I236" s="494" t="s">
        <v>201</v>
      </c>
      <c r="J236" s="494" t="s">
        <v>10</v>
      </c>
      <c r="K236" s="494"/>
      <c r="L236" s="494" t="s">
        <v>11</v>
      </c>
      <c r="M236" s="494"/>
      <c r="N236" s="494" t="s">
        <v>12</v>
      </c>
      <c r="O236" s="659"/>
      <c r="P236" s="495"/>
      <c r="Q236" s="659"/>
    </row>
    <row r="237" spans="1:22" ht="15" hidden="1" customHeight="1" x14ac:dyDescent="0.25">
      <c r="A237" s="493" t="s">
        <v>18</v>
      </c>
      <c r="B237" s="493" t="s">
        <v>19</v>
      </c>
      <c r="C237" s="493" t="s">
        <v>20</v>
      </c>
      <c r="D237" s="493"/>
      <c r="E237" s="493" t="s">
        <v>21</v>
      </c>
      <c r="F237" s="493"/>
      <c r="G237" s="493" t="s">
        <v>22</v>
      </c>
      <c r="H237" s="493"/>
      <c r="I237" s="493" t="s">
        <v>23</v>
      </c>
      <c r="J237" s="493" t="s">
        <v>24</v>
      </c>
      <c r="K237" s="493"/>
      <c r="L237" s="493" t="s">
        <v>25</v>
      </c>
      <c r="M237" s="493"/>
      <c r="N237" s="493" t="s">
        <v>26</v>
      </c>
      <c r="O237" s="493" t="s">
        <v>27</v>
      </c>
      <c r="P237" s="493"/>
      <c r="Q237" s="493" t="s">
        <v>28</v>
      </c>
    </row>
    <row r="238" spans="1:22" ht="54" x14ac:dyDescent="0.4">
      <c r="A238" s="327">
        <v>5187</v>
      </c>
      <c r="B238" s="294">
        <v>414400</v>
      </c>
      <c r="C238" s="295" t="s">
        <v>218</v>
      </c>
      <c r="D238" s="295"/>
      <c r="E238" s="277">
        <v>1371</v>
      </c>
      <c r="F238" s="277">
        <f>H238+K238+M238+P238</f>
        <v>1200</v>
      </c>
      <c r="G238" s="311">
        <f>SUM(I238:Q238)-K238-M238-P238</f>
        <v>1305</v>
      </c>
      <c r="H238" s="311"/>
      <c r="I238" s="277"/>
      <c r="J238" s="277"/>
      <c r="K238" s="277"/>
      <c r="L238" s="277"/>
      <c r="M238" s="277">
        <v>1200</v>
      </c>
      <c r="N238" s="277">
        <v>1305</v>
      </c>
      <c r="O238" s="277"/>
      <c r="P238" s="277"/>
      <c r="Q238" s="277"/>
      <c r="V238" s="346" t="s">
        <v>538</v>
      </c>
    </row>
    <row r="239" spans="1:22" ht="26.25" x14ac:dyDescent="0.25">
      <c r="A239" s="498">
        <v>5188</v>
      </c>
      <c r="B239" s="494">
        <v>415000</v>
      </c>
      <c r="C239" s="287" t="s">
        <v>219</v>
      </c>
      <c r="D239" s="287"/>
      <c r="E239" s="288">
        <f>E240</f>
        <v>19840</v>
      </c>
      <c r="F239" s="288">
        <f t="shared" ref="F239:Q239" si="70">F240</f>
        <v>28788</v>
      </c>
      <c r="G239" s="288">
        <f t="shared" si="70"/>
        <v>19632</v>
      </c>
      <c r="H239" s="288">
        <f t="shared" si="70"/>
        <v>0</v>
      </c>
      <c r="I239" s="288">
        <f t="shared" si="70"/>
        <v>0</v>
      </c>
      <c r="J239" s="288">
        <f t="shared" si="70"/>
        <v>0</v>
      </c>
      <c r="K239" s="288">
        <f t="shared" si="70"/>
        <v>0</v>
      </c>
      <c r="L239" s="288">
        <f t="shared" si="70"/>
        <v>0</v>
      </c>
      <c r="M239" s="288">
        <f t="shared" si="70"/>
        <v>28788</v>
      </c>
      <c r="N239" s="288">
        <f t="shared" si="70"/>
        <v>19632</v>
      </c>
      <c r="O239" s="288">
        <f t="shared" si="70"/>
        <v>0</v>
      </c>
      <c r="P239" s="288">
        <f t="shared" si="70"/>
        <v>0</v>
      </c>
      <c r="Q239" s="288">
        <f t="shared" si="70"/>
        <v>0</v>
      </c>
    </row>
    <row r="240" spans="1:22" x14ac:dyDescent="0.25">
      <c r="A240" s="327">
        <v>5189</v>
      </c>
      <c r="B240" s="294">
        <v>415100</v>
      </c>
      <c r="C240" s="295" t="s">
        <v>220</v>
      </c>
      <c r="D240" s="295"/>
      <c r="E240" s="277">
        <v>19840</v>
      </c>
      <c r="F240" s="277">
        <f>H240+K240+M240+P240</f>
        <v>28788</v>
      </c>
      <c r="G240" s="311">
        <f>SUM(I240:Q240)-K240-M240-P240</f>
        <v>19632</v>
      </c>
      <c r="H240" s="311"/>
      <c r="I240" s="277"/>
      <c r="J240" s="277"/>
      <c r="K240" s="277"/>
      <c r="L240" s="277"/>
      <c r="M240" s="277">
        <v>28788</v>
      </c>
      <c r="N240" s="277">
        <v>19632</v>
      </c>
      <c r="O240" s="277"/>
      <c r="P240" s="277"/>
      <c r="Q240" s="277"/>
    </row>
    <row r="241" spans="1:18" ht="39" x14ac:dyDescent="0.25">
      <c r="A241" s="498">
        <v>5190</v>
      </c>
      <c r="B241" s="494">
        <v>416000</v>
      </c>
      <c r="C241" s="287" t="s">
        <v>221</v>
      </c>
      <c r="D241" s="287"/>
      <c r="E241" s="288">
        <f>E242</f>
        <v>9442</v>
      </c>
      <c r="F241" s="288">
        <f t="shared" ref="F241:Q241" si="71">F242</f>
        <v>13907</v>
      </c>
      <c r="G241" s="288">
        <f t="shared" si="71"/>
        <v>9143</v>
      </c>
      <c r="H241" s="288">
        <f t="shared" si="71"/>
        <v>0</v>
      </c>
      <c r="I241" s="288">
        <f t="shared" si="71"/>
        <v>0</v>
      </c>
      <c r="J241" s="288">
        <f t="shared" si="71"/>
        <v>0</v>
      </c>
      <c r="K241" s="288">
        <f t="shared" si="71"/>
        <v>0</v>
      </c>
      <c r="L241" s="288">
        <f t="shared" si="71"/>
        <v>0</v>
      </c>
      <c r="M241" s="288">
        <f t="shared" si="71"/>
        <v>13907</v>
      </c>
      <c r="N241" s="288">
        <f t="shared" si="71"/>
        <v>9143</v>
      </c>
      <c r="O241" s="288">
        <f t="shared" si="71"/>
        <v>0</v>
      </c>
      <c r="P241" s="288">
        <f t="shared" si="71"/>
        <v>0</v>
      </c>
      <c r="Q241" s="288">
        <f t="shared" si="71"/>
        <v>0</v>
      </c>
    </row>
    <row r="242" spans="1:18" ht="26.25" x14ac:dyDescent="0.25">
      <c r="A242" s="327">
        <v>5191</v>
      </c>
      <c r="B242" s="294">
        <v>416100</v>
      </c>
      <c r="C242" s="295" t="s">
        <v>222</v>
      </c>
      <c r="D242" s="295"/>
      <c r="E242" s="277">
        <v>9442</v>
      </c>
      <c r="F242" s="277">
        <f>H242+K242+M242+P242</f>
        <v>13907</v>
      </c>
      <c r="G242" s="311">
        <f>SUM(I242:Q242)-K242-M242-P242</f>
        <v>9143</v>
      </c>
      <c r="H242" s="311"/>
      <c r="I242" s="277"/>
      <c r="J242" s="277"/>
      <c r="K242" s="277"/>
      <c r="L242" s="277"/>
      <c r="M242" s="277">
        <v>13907</v>
      </c>
      <c r="N242" s="277">
        <v>9143</v>
      </c>
      <c r="O242" s="277"/>
      <c r="P242" s="277"/>
      <c r="Q242" s="277"/>
    </row>
    <row r="243" spans="1:18" ht="26.25" hidden="1" x14ac:dyDescent="0.25">
      <c r="A243" s="498">
        <v>5192</v>
      </c>
      <c r="B243" s="494">
        <v>417000</v>
      </c>
      <c r="C243" s="287" t="s">
        <v>223</v>
      </c>
      <c r="D243" s="287"/>
      <c r="E243" s="288">
        <f>E244</f>
        <v>0</v>
      </c>
      <c r="F243" s="288"/>
      <c r="G243" s="288">
        <f t="shared" si="67"/>
        <v>0</v>
      </c>
      <c r="H243" s="288"/>
      <c r="I243" s="288">
        <f t="shared" ref="I243:Q243" si="72">I244</f>
        <v>0</v>
      </c>
      <c r="J243" s="288">
        <f t="shared" si="72"/>
        <v>0</v>
      </c>
      <c r="K243" s="288"/>
      <c r="L243" s="288">
        <f t="shared" si="72"/>
        <v>0</v>
      </c>
      <c r="M243" s="288"/>
      <c r="N243" s="288">
        <f t="shared" si="72"/>
        <v>0</v>
      </c>
      <c r="O243" s="288">
        <f t="shared" si="72"/>
        <v>0</v>
      </c>
      <c r="P243" s="288"/>
      <c r="Q243" s="288">
        <f t="shared" si="72"/>
        <v>0</v>
      </c>
    </row>
    <row r="244" spans="1:18" hidden="1" x14ac:dyDescent="0.25">
      <c r="A244" s="327">
        <v>5193</v>
      </c>
      <c r="B244" s="294">
        <v>417100</v>
      </c>
      <c r="C244" s="295" t="s">
        <v>224</v>
      </c>
      <c r="D244" s="295"/>
      <c r="E244" s="277"/>
      <c r="F244" s="277"/>
      <c r="G244" s="311">
        <f t="shared" si="67"/>
        <v>0</v>
      </c>
      <c r="H244" s="311"/>
      <c r="I244" s="277"/>
      <c r="J244" s="277"/>
      <c r="K244" s="277"/>
      <c r="L244" s="277"/>
      <c r="M244" s="277"/>
      <c r="N244" s="277"/>
      <c r="O244" s="277"/>
      <c r="P244" s="277"/>
      <c r="Q244" s="277"/>
    </row>
    <row r="245" spans="1:18" hidden="1" x14ac:dyDescent="0.25">
      <c r="A245" s="498">
        <v>5194</v>
      </c>
      <c r="B245" s="494">
        <v>418000</v>
      </c>
      <c r="C245" s="287" t="s">
        <v>225</v>
      </c>
      <c r="D245" s="287"/>
      <c r="E245" s="288">
        <f>E246</f>
        <v>0</v>
      </c>
      <c r="F245" s="288"/>
      <c r="G245" s="288">
        <f t="shared" si="67"/>
        <v>0</v>
      </c>
      <c r="H245" s="288"/>
      <c r="I245" s="288">
        <f t="shared" ref="I245:Q245" si="73">I246</f>
        <v>0</v>
      </c>
      <c r="J245" s="288">
        <f t="shared" si="73"/>
        <v>0</v>
      </c>
      <c r="K245" s="288"/>
      <c r="L245" s="288">
        <f t="shared" si="73"/>
        <v>0</v>
      </c>
      <c r="M245" s="288"/>
      <c r="N245" s="288">
        <f t="shared" si="73"/>
        <v>0</v>
      </c>
      <c r="O245" s="288">
        <f t="shared" si="73"/>
        <v>0</v>
      </c>
      <c r="P245" s="288"/>
      <c r="Q245" s="288">
        <f t="shared" si="73"/>
        <v>0</v>
      </c>
    </row>
    <row r="246" spans="1:18" hidden="1" x14ac:dyDescent="0.25">
      <c r="A246" s="327">
        <v>5195</v>
      </c>
      <c r="B246" s="294">
        <v>418100</v>
      </c>
      <c r="C246" s="295" t="s">
        <v>226</v>
      </c>
      <c r="D246" s="295"/>
      <c r="E246" s="277"/>
      <c r="F246" s="277"/>
      <c r="G246" s="311">
        <f t="shared" si="67"/>
        <v>0</v>
      </c>
      <c r="H246" s="311"/>
      <c r="I246" s="277"/>
      <c r="J246" s="277"/>
      <c r="K246" s="277"/>
      <c r="L246" s="277"/>
      <c r="M246" s="277"/>
      <c r="N246" s="277"/>
      <c r="O246" s="277"/>
      <c r="P246" s="277"/>
      <c r="Q246" s="277"/>
    </row>
    <row r="247" spans="1:18" ht="39" x14ac:dyDescent="0.25">
      <c r="A247" s="498">
        <v>5196</v>
      </c>
      <c r="B247" s="494">
        <v>420000</v>
      </c>
      <c r="C247" s="287" t="s">
        <v>227</v>
      </c>
      <c r="D247" s="287"/>
      <c r="E247" s="288">
        <f t="shared" ref="E247:Q247" si="74">E248+E256+E262+E275+E283+E286</f>
        <v>427521</v>
      </c>
      <c r="F247" s="288">
        <f t="shared" si="74"/>
        <v>384830</v>
      </c>
      <c r="G247" s="288">
        <f t="shared" si="74"/>
        <v>99459</v>
      </c>
      <c r="H247" s="288">
        <f t="shared" si="74"/>
        <v>1000</v>
      </c>
      <c r="I247" s="288">
        <f t="shared" si="74"/>
        <v>127</v>
      </c>
      <c r="J247" s="288">
        <f t="shared" si="74"/>
        <v>0</v>
      </c>
      <c r="K247" s="288">
        <f t="shared" si="74"/>
        <v>0</v>
      </c>
      <c r="L247" s="288">
        <f t="shared" si="74"/>
        <v>1273</v>
      </c>
      <c r="M247" s="288">
        <f t="shared" si="74"/>
        <v>376377</v>
      </c>
      <c r="N247" s="288">
        <f t="shared" si="74"/>
        <v>93155</v>
      </c>
      <c r="O247" s="288">
        <f t="shared" si="74"/>
        <v>0</v>
      </c>
      <c r="P247" s="288">
        <f t="shared" si="74"/>
        <v>7453</v>
      </c>
      <c r="Q247" s="288">
        <f t="shared" si="74"/>
        <v>4904</v>
      </c>
    </row>
    <row r="248" spans="1:18" ht="26.25" x14ac:dyDescent="0.25">
      <c r="A248" s="498">
        <v>5197</v>
      </c>
      <c r="B248" s="494">
        <v>421000</v>
      </c>
      <c r="C248" s="287" t="s">
        <v>228</v>
      </c>
      <c r="D248" s="287"/>
      <c r="E248" s="288">
        <f>SUM(E249:E255)</f>
        <v>100067</v>
      </c>
      <c r="F248" s="288">
        <f t="shared" ref="F248:Q248" si="75">SUM(F249:F255)</f>
        <v>117452</v>
      </c>
      <c r="G248" s="288">
        <f t="shared" si="75"/>
        <v>80998</v>
      </c>
      <c r="H248" s="288">
        <f t="shared" si="75"/>
        <v>0</v>
      </c>
      <c r="I248" s="288">
        <f t="shared" si="75"/>
        <v>0</v>
      </c>
      <c r="J248" s="288">
        <f t="shared" si="75"/>
        <v>0</v>
      </c>
      <c r="K248" s="288">
        <f t="shared" si="75"/>
        <v>0</v>
      </c>
      <c r="L248" s="288">
        <f t="shared" si="75"/>
        <v>0</v>
      </c>
      <c r="M248" s="288">
        <f t="shared" si="75"/>
        <v>116322</v>
      </c>
      <c r="N248" s="288">
        <f t="shared" si="75"/>
        <v>80545</v>
      </c>
      <c r="O248" s="288">
        <f t="shared" si="75"/>
        <v>0</v>
      </c>
      <c r="P248" s="288">
        <f t="shared" si="75"/>
        <v>1130</v>
      </c>
      <c r="Q248" s="288">
        <f t="shared" si="75"/>
        <v>453</v>
      </c>
    </row>
    <row r="249" spans="1:18" ht="26.25" x14ac:dyDescent="0.25">
      <c r="A249" s="327">
        <v>5198</v>
      </c>
      <c r="B249" s="294">
        <v>421100</v>
      </c>
      <c r="C249" s="295" t="s">
        <v>229</v>
      </c>
      <c r="D249" s="295" t="s">
        <v>463</v>
      </c>
      <c r="E249" s="277">
        <v>1359</v>
      </c>
      <c r="F249" s="277">
        <f>H249+K249+M249+P249</f>
        <v>1580</v>
      </c>
      <c r="G249" s="311">
        <f>SUM(I249:Q249)-K249-M249-P249</f>
        <v>1300</v>
      </c>
      <c r="H249" s="311"/>
      <c r="I249" s="277"/>
      <c r="J249" s="277"/>
      <c r="K249" s="277"/>
      <c r="L249" s="277"/>
      <c r="M249" s="277">
        <v>1500</v>
      </c>
      <c r="N249" s="277">
        <v>1243</v>
      </c>
      <c r="O249" s="277"/>
      <c r="P249" s="277">
        <v>80</v>
      </c>
      <c r="Q249" s="277">
        <v>57</v>
      </c>
    </row>
    <row r="250" spans="1:18" x14ac:dyDescent="0.25">
      <c r="A250" s="327">
        <v>5199</v>
      </c>
      <c r="B250" s="294">
        <v>421200</v>
      </c>
      <c r="C250" s="295" t="s">
        <v>230</v>
      </c>
      <c r="D250" s="295" t="s">
        <v>468</v>
      </c>
      <c r="E250" s="277">
        <v>83306</v>
      </c>
      <c r="F250" s="277">
        <f>H250+K250+M250+P250</f>
        <v>98556</v>
      </c>
      <c r="G250" s="311">
        <f t="shared" ref="G250:G253" si="76">SUM(I250:Q250)-K250-M250-P250</f>
        <v>65508</v>
      </c>
      <c r="H250" s="311"/>
      <c r="I250" s="277"/>
      <c r="J250" s="277"/>
      <c r="K250" s="277"/>
      <c r="L250" s="277"/>
      <c r="M250" s="277">
        <v>98306</v>
      </c>
      <c r="N250" s="277">
        <v>65188</v>
      </c>
      <c r="O250" s="277"/>
      <c r="P250" s="277">
        <v>250</v>
      </c>
      <c r="Q250" s="277">
        <v>320</v>
      </c>
    </row>
    <row r="251" spans="1:18" x14ac:dyDescent="0.25">
      <c r="A251" s="327">
        <v>5200</v>
      </c>
      <c r="B251" s="294">
        <v>421300</v>
      </c>
      <c r="C251" s="295" t="s">
        <v>231</v>
      </c>
      <c r="D251" s="295" t="s">
        <v>463</v>
      </c>
      <c r="E251" s="277">
        <v>10436</v>
      </c>
      <c r="F251" s="277">
        <f>H251+K251+M251+P251</f>
        <v>12100</v>
      </c>
      <c r="G251" s="311">
        <f t="shared" si="76"/>
        <v>9465</v>
      </c>
      <c r="H251" s="311"/>
      <c r="I251" s="277"/>
      <c r="J251" s="277"/>
      <c r="K251" s="277"/>
      <c r="L251" s="277"/>
      <c r="M251" s="277">
        <v>11500</v>
      </c>
      <c r="N251" s="277">
        <v>9410</v>
      </c>
      <c r="O251" s="277"/>
      <c r="P251" s="277">
        <v>600</v>
      </c>
      <c r="Q251" s="277">
        <v>55</v>
      </c>
    </row>
    <row r="252" spans="1:18" x14ac:dyDescent="0.25">
      <c r="A252" s="327">
        <v>5201</v>
      </c>
      <c r="B252" s="294">
        <v>421400</v>
      </c>
      <c r="C252" s="295" t="s">
        <v>232</v>
      </c>
      <c r="D252" s="295" t="s">
        <v>463</v>
      </c>
      <c r="E252" s="277">
        <v>2250</v>
      </c>
      <c r="F252" s="277">
        <f>H252+K252+M252+P252</f>
        <v>2016</v>
      </c>
      <c r="G252" s="311">
        <f t="shared" si="76"/>
        <v>2113</v>
      </c>
      <c r="H252" s="311"/>
      <c r="I252" s="277"/>
      <c r="J252" s="277"/>
      <c r="K252" s="277"/>
      <c r="L252" s="277"/>
      <c r="M252" s="277">
        <v>2016</v>
      </c>
      <c r="N252" s="277">
        <v>2113</v>
      </c>
      <c r="O252" s="277"/>
      <c r="P252" s="277"/>
      <c r="Q252" s="277"/>
      <c r="R252" s="281">
        <v>1092</v>
      </c>
    </row>
    <row r="253" spans="1:18" x14ac:dyDescent="0.25">
      <c r="A253" s="327">
        <v>5202</v>
      </c>
      <c r="B253" s="294">
        <v>421500</v>
      </c>
      <c r="C253" s="295" t="s">
        <v>233</v>
      </c>
      <c r="D253" s="295" t="s">
        <v>463</v>
      </c>
      <c r="E253" s="277">
        <v>2716</v>
      </c>
      <c r="F253" s="277">
        <f>H253+K253+M253+P253</f>
        <v>3200</v>
      </c>
      <c r="G253" s="311">
        <f t="shared" si="76"/>
        <v>2612</v>
      </c>
      <c r="H253" s="311"/>
      <c r="I253" s="277"/>
      <c r="J253" s="277"/>
      <c r="K253" s="277"/>
      <c r="L253" s="277"/>
      <c r="M253" s="277">
        <v>3000</v>
      </c>
      <c r="N253" s="277">
        <v>2591</v>
      </c>
      <c r="O253" s="277"/>
      <c r="P253" s="277">
        <v>200</v>
      </c>
      <c r="Q253" s="277">
        <v>21</v>
      </c>
      <c r="R253" s="281">
        <v>851</v>
      </c>
    </row>
    <row r="254" spans="1:18" hidden="1" x14ac:dyDescent="0.25">
      <c r="A254" s="327">
        <v>5203</v>
      </c>
      <c r="B254" s="294">
        <v>421600</v>
      </c>
      <c r="C254" s="295" t="s">
        <v>234</v>
      </c>
      <c r="D254" s="295"/>
      <c r="E254" s="277"/>
      <c r="F254" s="277"/>
      <c r="G254" s="311">
        <f t="shared" si="67"/>
        <v>0</v>
      </c>
      <c r="H254" s="311"/>
      <c r="I254" s="277"/>
      <c r="J254" s="277"/>
      <c r="K254" s="277"/>
      <c r="L254" s="277"/>
      <c r="M254" s="277"/>
      <c r="N254" s="277"/>
      <c r="O254" s="277"/>
      <c r="P254" s="277"/>
      <c r="Q254" s="277"/>
    </row>
    <row r="255" spans="1:18" hidden="1" x14ac:dyDescent="0.25">
      <c r="A255" s="327">
        <v>5204</v>
      </c>
      <c r="B255" s="294">
        <v>421900</v>
      </c>
      <c r="C255" s="295" t="s">
        <v>235</v>
      </c>
      <c r="D255" s="295"/>
      <c r="E255" s="277"/>
      <c r="F255" s="277"/>
      <c r="G255" s="311">
        <f t="shared" si="67"/>
        <v>0</v>
      </c>
      <c r="H255" s="311"/>
      <c r="I255" s="277"/>
      <c r="J255" s="277"/>
      <c r="K255" s="277"/>
      <c r="L255" s="277"/>
      <c r="M255" s="277"/>
      <c r="N255" s="277"/>
      <c r="O255" s="277"/>
      <c r="P255" s="277"/>
      <c r="Q255" s="277"/>
    </row>
    <row r="256" spans="1:18" ht="26.25" x14ac:dyDescent="0.25">
      <c r="A256" s="498">
        <v>5205</v>
      </c>
      <c r="B256" s="494">
        <v>422000</v>
      </c>
      <c r="C256" s="287" t="s">
        <v>236</v>
      </c>
      <c r="D256" s="287"/>
      <c r="E256" s="288">
        <f>SUM(E257:E261)</f>
        <v>634</v>
      </c>
      <c r="F256" s="288">
        <f t="shared" ref="F256:Q256" si="77">SUM(F257:F261)</f>
        <v>624</v>
      </c>
      <c r="G256" s="288">
        <f t="shared" si="77"/>
        <v>451</v>
      </c>
      <c r="H256" s="288">
        <f t="shared" si="77"/>
        <v>0</v>
      </c>
      <c r="I256" s="288">
        <f t="shared" si="77"/>
        <v>0</v>
      </c>
      <c r="J256" s="288">
        <f t="shared" si="77"/>
        <v>0</v>
      </c>
      <c r="K256" s="288">
        <f t="shared" si="77"/>
        <v>0</v>
      </c>
      <c r="L256" s="288">
        <f t="shared" si="77"/>
        <v>0</v>
      </c>
      <c r="M256" s="288">
        <f t="shared" si="77"/>
        <v>184</v>
      </c>
      <c r="N256" s="288">
        <f t="shared" si="77"/>
        <v>0</v>
      </c>
      <c r="O256" s="288">
        <f t="shared" si="77"/>
        <v>0</v>
      </c>
      <c r="P256" s="288">
        <f t="shared" si="77"/>
        <v>440</v>
      </c>
      <c r="Q256" s="288">
        <f t="shared" si="77"/>
        <v>451</v>
      </c>
    </row>
    <row r="257" spans="1:17" ht="26.25" x14ac:dyDescent="0.25">
      <c r="A257" s="327">
        <v>5206</v>
      </c>
      <c r="B257" s="294">
        <v>422100</v>
      </c>
      <c r="C257" s="295" t="s">
        <v>237</v>
      </c>
      <c r="D257" s="295" t="s">
        <v>463</v>
      </c>
      <c r="E257" s="277">
        <v>634</v>
      </c>
      <c r="F257" s="277">
        <f>H257+K257+M257+P257</f>
        <v>624</v>
      </c>
      <c r="G257" s="311">
        <f t="shared" ref="G257" si="78">SUM(I257:Q257)-K257-M257-P257</f>
        <v>451</v>
      </c>
      <c r="H257" s="311"/>
      <c r="I257" s="277"/>
      <c r="J257" s="277"/>
      <c r="K257" s="277"/>
      <c r="L257" s="277"/>
      <c r="M257" s="277">
        <v>184</v>
      </c>
      <c r="N257" s="277"/>
      <c r="O257" s="277"/>
      <c r="P257" s="277">
        <v>440</v>
      </c>
      <c r="Q257" s="277">
        <v>451</v>
      </c>
    </row>
    <row r="258" spans="1:17" ht="26.25" hidden="1" x14ac:dyDescent="0.25">
      <c r="A258" s="327">
        <v>5207</v>
      </c>
      <c r="B258" s="294">
        <v>422200</v>
      </c>
      <c r="C258" s="295" t="s">
        <v>238</v>
      </c>
      <c r="D258" s="295"/>
      <c r="E258" s="277"/>
      <c r="F258" s="277"/>
      <c r="G258" s="311">
        <f t="shared" si="67"/>
        <v>0</v>
      </c>
      <c r="H258" s="311"/>
      <c r="I258" s="277"/>
      <c r="J258" s="277"/>
      <c r="K258" s="277"/>
      <c r="L258" s="277"/>
      <c r="M258" s="277"/>
      <c r="N258" s="277"/>
      <c r="O258" s="277"/>
      <c r="P258" s="277"/>
      <c r="Q258" s="277"/>
    </row>
    <row r="259" spans="1:17" ht="26.25" hidden="1" x14ac:dyDescent="0.25">
      <c r="A259" s="327">
        <v>5208</v>
      </c>
      <c r="B259" s="294">
        <v>422300</v>
      </c>
      <c r="C259" s="295" t="s">
        <v>239</v>
      </c>
      <c r="D259" s="295"/>
      <c r="E259" s="277"/>
      <c r="F259" s="277"/>
      <c r="G259" s="311">
        <f t="shared" si="67"/>
        <v>0</v>
      </c>
      <c r="H259" s="311"/>
      <c r="I259" s="277"/>
      <c r="J259" s="277"/>
      <c r="K259" s="277"/>
      <c r="L259" s="277"/>
      <c r="M259" s="277"/>
      <c r="N259" s="277"/>
      <c r="O259" s="277"/>
      <c r="P259" s="277"/>
      <c r="Q259" s="277"/>
    </row>
    <row r="260" spans="1:17" hidden="1" x14ac:dyDescent="0.25">
      <c r="A260" s="327">
        <v>5209</v>
      </c>
      <c r="B260" s="294">
        <v>422400</v>
      </c>
      <c r="C260" s="295" t="s">
        <v>240</v>
      </c>
      <c r="D260" s="295"/>
      <c r="E260" s="277"/>
      <c r="F260" s="277"/>
      <c r="G260" s="311">
        <f t="shared" si="67"/>
        <v>0</v>
      </c>
      <c r="H260" s="311"/>
      <c r="I260" s="277"/>
      <c r="J260" s="277"/>
      <c r="K260" s="277"/>
      <c r="L260" s="277"/>
      <c r="M260" s="277"/>
      <c r="N260" s="277"/>
      <c r="O260" s="277"/>
      <c r="P260" s="277"/>
      <c r="Q260" s="277"/>
    </row>
    <row r="261" spans="1:17" hidden="1" x14ac:dyDescent="0.25">
      <c r="A261" s="327">
        <v>5210</v>
      </c>
      <c r="B261" s="294">
        <v>422900</v>
      </c>
      <c r="C261" s="295" t="s">
        <v>241</v>
      </c>
      <c r="D261" s="295"/>
      <c r="E261" s="277"/>
      <c r="F261" s="277"/>
      <c r="G261" s="311">
        <f t="shared" si="67"/>
        <v>0</v>
      </c>
      <c r="H261" s="311"/>
      <c r="I261" s="277"/>
      <c r="J261" s="277"/>
      <c r="K261" s="277"/>
      <c r="L261" s="277"/>
      <c r="M261" s="277"/>
      <c r="N261" s="277"/>
      <c r="O261" s="277"/>
      <c r="P261" s="277"/>
      <c r="Q261" s="277"/>
    </row>
    <row r="262" spans="1:17" ht="26.25" x14ac:dyDescent="0.25">
      <c r="A262" s="498">
        <v>5211</v>
      </c>
      <c r="B262" s="494">
        <v>423000</v>
      </c>
      <c r="C262" s="287" t="s">
        <v>242</v>
      </c>
      <c r="D262" s="287"/>
      <c r="E262" s="288">
        <f>SUM(E263:E274)</f>
        <v>8328</v>
      </c>
      <c r="F262" s="288">
        <f t="shared" ref="F262:Q262" si="79">SUM(F263:F274)</f>
        <v>9797</v>
      </c>
      <c r="G262" s="288">
        <f t="shared" si="79"/>
        <v>70</v>
      </c>
      <c r="H262" s="288">
        <f t="shared" si="79"/>
        <v>0</v>
      </c>
      <c r="I262" s="288">
        <f t="shared" si="79"/>
        <v>0</v>
      </c>
      <c r="J262" s="288">
        <f t="shared" si="79"/>
        <v>0</v>
      </c>
      <c r="K262" s="288">
        <f t="shared" si="79"/>
        <v>0</v>
      </c>
      <c r="L262" s="288">
        <f t="shared" si="79"/>
        <v>0</v>
      </c>
      <c r="M262" s="288">
        <f t="shared" si="79"/>
        <v>6752</v>
      </c>
      <c r="N262" s="288">
        <f t="shared" si="79"/>
        <v>0</v>
      </c>
      <c r="O262" s="288">
        <f t="shared" si="79"/>
        <v>0</v>
      </c>
      <c r="P262" s="288">
        <f t="shared" si="79"/>
        <v>3045</v>
      </c>
      <c r="Q262" s="288">
        <f t="shared" si="79"/>
        <v>70</v>
      </c>
    </row>
    <row r="263" spans="1:17" hidden="1" x14ac:dyDescent="0.25">
      <c r="A263" s="327">
        <v>5212</v>
      </c>
      <c r="B263" s="294">
        <v>423100</v>
      </c>
      <c r="C263" s="295" t="s">
        <v>243</v>
      </c>
      <c r="D263" s="295"/>
      <c r="E263" s="277"/>
      <c r="F263" s="277"/>
      <c r="G263" s="311">
        <f t="shared" si="67"/>
        <v>0</v>
      </c>
      <c r="H263" s="311"/>
      <c r="I263" s="277"/>
      <c r="J263" s="277"/>
      <c r="K263" s="277"/>
      <c r="L263" s="277"/>
      <c r="M263" s="277"/>
      <c r="N263" s="277"/>
      <c r="O263" s="277"/>
      <c r="P263" s="277"/>
      <c r="Q263" s="277"/>
    </row>
    <row r="264" spans="1:17" x14ac:dyDescent="0.25">
      <c r="A264" s="327">
        <v>5213</v>
      </c>
      <c r="B264" s="294">
        <v>423200</v>
      </c>
      <c r="C264" s="295" t="s">
        <v>244</v>
      </c>
      <c r="D264" s="295" t="s">
        <v>463</v>
      </c>
      <c r="E264" s="277">
        <v>3630</v>
      </c>
      <c r="F264" s="277">
        <f>H264+K264+M264+P264</f>
        <v>3852</v>
      </c>
      <c r="G264" s="311">
        <f t="shared" ref="G264" si="80">SUM(I264:Q264)-K264-M264-P264</f>
        <v>70</v>
      </c>
      <c r="H264" s="311"/>
      <c r="I264" s="277"/>
      <c r="J264" s="277"/>
      <c r="K264" s="277"/>
      <c r="L264" s="277"/>
      <c r="M264" s="277">
        <f>3900-48</f>
        <v>3852</v>
      </c>
      <c r="N264" s="277"/>
      <c r="O264" s="277"/>
      <c r="P264" s="277"/>
      <c r="Q264" s="277">
        <v>70</v>
      </c>
    </row>
    <row r="265" spans="1:17" ht="26.25" x14ac:dyDescent="0.25">
      <c r="A265" s="327">
        <v>5214</v>
      </c>
      <c r="B265" s="294">
        <v>423300</v>
      </c>
      <c r="C265" s="295" t="s">
        <v>245</v>
      </c>
      <c r="D265" s="295" t="s">
        <v>463</v>
      </c>
      <c r="E265" s="277">
        <v>2830</v>
      </c>
      <c r="F265" s="277">
        <f>H265+K265+M265+P265</f>
        <v>3700</v>
      </c>
      <c r="G265" s="311"/>
      <c r="H265" s="311"/>
      <c r="I265" s="277"/>
      <c r="J265" s="277"/>
      <c r="K265" s="277"/>
      <c r="L265" s="277"/>
      <c r="M265" s="277">
        <v>2800</v>
      </c>
      <c r="N265" s="277"/>
      <c r="O265" s="277"/>
      <c r="P265" s="277">
        <v>900</v>
      </c>
      <c r="Q265" s="277"/>
    </row>
    <row r="266" spans="1:17" x14ac:dyDescent="0.25">
      <c r="A266" s="327">
        <v>5215</v>
      </c>
      <c r="B266" s="294">
        <v>423400</v>
      </c>
      <c r="C266" s="295" t="s">
        <v>246</v>
      </c>
      <c r="D266" s="295" t="s">
        <v>463</v>
      </c>
      <c r="E266" s="277">
        <v>500</v>
      </c>
      <c r="F266" s="277">
        <f>H266+K266+M266+P266</f>
        <v>100</v>
      </c>
      <c r="G266" s="311"/>
      <c r="H266" s="311"/>
      <c r="I266" s="277"/>
      <c r="J266" s="277"/>
      <c r="K266" s="277"/>
      <c r="L266" s="277"/>
      <c r="M266" s="277">
        <v>100</v>
      </c>
      <c r="N266" s="277"/>
      <c r="O266" s="277"/>
      <c r="P266" s="277"/>
      <c r="Q266" s="277"/>
    </row>
    <row r="267" spans="1:17" x14ac:dyDescent="0.25">
      <c r="A267" s="327">
        <v>5216</v>
      </c>
      <c r="B267" s="294">
        <v>423500</v>
      </c>
      <c r="C267" s="295" t="s">
        <v>247</v>
      </c>
      <c r="D267" s="295" t="s">
        <v>463</v>
      </c>
      <c r="E267" s="277">
        <v>1150</v>
      </c>
      <c r="F267" s="277">
        <f>H267+K267+M267+P267</f>
        <v>1667</v>
      </c>
      <c r="G267" s="311"/>
      <c r="H267" s="311"/>
      <c r="I267" s="277"/>
      <c r="J267" s="277"/>
      <c r="K267" s="277"/>
      <c r="L267" s="277"/>
      <c r="M267" s="277"/>
      <c r="N267" s="277"/>
      <c r="O267" s="277"/>
      <c r="P267" s="277">
        <v>1667</v>
      </c>
      <c r="Q267" s="277"/>
    </row>
    <row r="268" spans="1:17" ht="26.25" hidden="1" x14ac:dyDescent="0.25">
      <c r="A268" s="327">
        <v>5217</v>
      </c>
      <c r="B268" s="294">
        <v>423600</v>
      </c>
      <c r="C268" s="295" t="s">
        <v>248</v>
      </c>
      <c r="D268" s="295" t="s">
        <v>463</v>
      </c>
      <c r="E268" s="277"/>
      <c r="F268" s="277"/>
      <c r="G268" s="311"/>
      <c r="H268" s="311"/>
      <c r="I268" s="277"/>
      <c r="J268" s="277"/>
      <c r="K268" s="277"/>
      <c r="L268" s="277"/>
      <c r="M268" s="277"/>
      <c r="N268" s="277"/>
      <c r="O268" s="277"/>
      <c r="P268" s="277"/>
      <c r="Q268" s="277"/>
    </row>
    <row r="269" spans="1:17" x14ac:dyDescent="0.25">
      <c r="A269" s="327">
        <v>5218</v>
      </c>
      <c r="B269" s="294">
        <v>423700</v>
      </c>
      <c r="C269" s="295" t="s">
        <v>249</v>
      </c>
      <c r="D269" s="295" t="s">
        <v>463</v>
      </c>
      <c r="E269" s="277">
        <v>128</v>
      </c>
      <c r="F269" s="277">
        <f>H269+K269+M269+P269</f>
        <v>200</v>
      </c>
      <c r="G269" s="311"/>
      <c r="H269" s="311"/>
      <c r="I269" s="277"/>
      <c r="J269" s="277"/>
      <c r="K269" s="277"/>
      <c r="L269" s="277"/>
      <c r="M269" s="277"/>
      <c r="N269" s="277"/>
      <c r="O269" s="277"/>
      <c r="P269" s="277">
        <v>200</v>
      </c>
      <c r="Q269" s="277"/>
    </row>
    <row r="270" spans="1:17" ht="15" hidden="1" customHeight="1" x14ac:dyDescent="0.25">
      <c r="A270" s="656" t="s">
        <v>0</v>
      </c>
      <c r="B270" s="657" t="s">
        <v>1</v>
      </c>
      <c r="C270" s="656" t="s">
        <v>2</v>
      </c>
      <c r="D270" s="295" t="s">
        <v>463</v>
      </c>
      <c r="E270" s="656" t="s">
        <v>217</v>
      </c>
      <c r="F270" s="492"/>
      <c r="G270" s="658"/>
      <c r="H270" s="658"/>
      <c r="I270" s="659"/>
      <c r="J270" s="659"/>
      <c r="K270" s="659"/>
      <c r="L270" s="659"/>
      <c r="M270" s="659"/>
      <c r="N270" s="659"/>
      <c r="O270" s="659"/>
      <c r="P270" s="659"/>
      <c r="Q270" s="659"/>
    </row>
    <row r="271" spans="1:17" ht="15" hidden="1" customHeight="1" x14ac:dyDescent="0.25">
      <c r="A271" s="656"/>
      <c r="B271" s="657"/>
      <c r="C271" s="656"/>
      <c r="D271" s="295" t="s">
        <v>463</v>
      </c>
      <c r="E271" s="656"/>
      <c r="F271" s="492"/>
      <c r="G271" s="658"/>
      <c r="H271" s="494"/>
      <c r="I271" s="658"/>
      <c r="J271" s="659"/>
      <c r="K271" s="659"/>
      <c r="L271" s="659"/>
      <c r="M271" s="659"/>
      <c r="N271" s="659"/>
      <c r="O271" s="658"/>
      <c r="P271" s="494"/>
      <c r="Q271" s="658"/>
    </row>
    <row r="272" spans="1:17" ht="39" hidden="1" customHeight="1" x14ac:dyDescent="0.25">
      <c r="A272" s="656"/>
      <c r="B272" s="657"/>
      <c r="C272" s="656"/>
      <c r="D272" s="295" t="s">
        <v>463</v>
      </c>
      <c r="E272" s="656"/>
      <c r="F272" s="492"/>
      <c r="G272" s="659"/>
      <c r="H272" s="495"/>
      <c r="I272" s="494"/>
      <c r="J272" s="494"/>
      <c r="K272" s="494"/>
      <c r="L272" s="494"/>
      <c r="M272" s="494"/>
      <c r="N272" s="494"/>
      <c r="O272" s="659"/>
      <c r="P272" s="495"/>
      <c r="Q272" s="659"/>
    </row>
    <row r="273" spans="1:26" ht="15" hidden="1" customHeight="1" x14ac:dyDescent="0.25">
      <c r="A273" s="493" t="s">
        <v>18</v>
      </c>
      <c r="B273" s="493" t="s">
        <v>19</v>
      </c>
      <c r="C273" s="493" t="s">
        <v>20</v>
      </c>
      <c r="D273" s="295" t="s">
        <v>463</v>
      </c>
      <c r="E273" s="493" t="s">
        <v>21</v>
      </c>
      <c r="F273" s="493"/>
      <c r="G273" s="493"/>
      <c r="H273" s="493"/>
      <c r="I273" s="493"/>
      <c r="J273" s="493"/>
      <c r="K273" s="493"/>
      <c r="L273" s="493"/>
      <c r="M273" s="493"/>
      <c r="N273" s="493"/>
      <c r="O273" s="493"/>
      <c r="P273" s="493"/>
      <c r="Q273" s="493"/>
    </row>
    <row r="274" spans="1:26" x14ac:dyDescent="0.25">
      <c r="A274" s="327">
        <v>5219</v>
      </c>
      <c r="B274" s="294">
        <v>423900</v>
      </c>
      <c r="C274" s="295" t="s">
        <v>250</v>
      </c>
      <c r="D274" s="295" t="s">
        <v>463</v>
      </c>
      <c r="E274" s="277">
        <v>90</v>
      </c>
      <c r="F274" s="277">
        <f>H274+K274+M274+P274</f>
        <v>278</v>
      </c>
      <c r="G274" s="311"/>
      <c r="H274" s="311"/>
      <c r="I274" s="277"/>
      <c r="J274" s="277"/>
      <c r="K274" s="277"/>
      <c r="L274" s="277"/>
      <c r="M274" s="277"/>
      <c r="N274" s="277"/>
      <c r="O274" s="277"/>
      <c r="P274" s="277">
        <v>278</v>
      </c>
      <c r="Q274" s="277"/>
    </row>
    <row r="275" spans="1:26" ht="26.25" x14ac:dyDescent="0.25">
      <c r="A275" s="498">
        <v>5220</v>
      </c>
      <c r="B275" s="494">
        <v>424000</v>
      </c>
      <c r="C275" s="287" t="s">
        <v>251</v>
      </c>
      <c r="D275" s="287"/>
      <c r="E275" s="288">
        <f>SUM(E276:E282)</f>
        <v>4679</v>
      </c>
      <c r="F275" s="288">
        <f t="shared" ref="F275:Q275" si="81">SUM(F276:F282)</f>
        <v>3626</v>
      </c>
      <c r="G275" s="288">
        <f t="shared" si="81"/>
        <v>450</v>
      </c>
      <c r="H275" s="288">
        <f t="shared" si="81"/>
        <v>0</v>
      </c>
      <c r="I275" s="288">
        <f t="shared" si="81"/>
        <v>0</v>
      </c>
      <c r="J275" s="288">
        <f t="shared" si="81"/>
        <v>0</v>
      </c>
      <c r="K275" s="288">
        <f t="shared" si="81"/>
        <v>0</v>
      </c>
      <c r="L275" s="288">
        <f t="shared" si="81"/>
        <v>0</v>
      </c>
      <c r="M275" s="288">
        <f t="shared" si="81"/>
        <v>3300</v>
      </c>
      <c r="N275" s="288">
        <f t="shared" si="81"/>
        <v>0</v>
      </c>
      <c r="O275" s="288">
        <f t="shared" si="81"/>
        <v>0</v>
      </c>
      <c r="P275" s="288">
        <f t="shared" si="81"/>
        <v>326</v>
      </c>
      <c r="Q275" s="288">
        <f t="shared" si="81"/>
        <v>450</v>
      </c>
    </row>
    <row r="276" spans="1:26" hidden="1" x14ac:dyDescent="0.25">
      <c r="A276" s="327">
        <v>5221</v>
      </c>
      <c r="B276" s="294">
        <v>424100</v>
      </c>
      <c r="C276" s="295" t="s">
        <v>252</v>
      </c>
      <c r="D276" s="295"/>
      <c r="E276" s="277"/>
      <c r="F276" s="277"/>
      <c r="G276" s="311">
        <f t="shared" si="67"/>
        <v>0</v>
      </c>
      <c r="H276" s="311"/>
      <c r="I276" s="277"/>
      <c r="J276" s="277"/>
      <c r="K276" s="277"/>
      <c r="L276" s="277"/>
      <c r="M276" s="277"/>
      <c r="N276" s="277"/>
      <c r="O276" s="277"/>
      <c r="P276" s="277"/>
      <c r="Q276" s="277"/>
    </row>
    <row r="277" spans="1:26" ht="26.25" hidden="1" x14ac:dyDescent="0.25">
      <c r="A277" s="327">
        <v>5222</v>
      </c>
      <c r="B277" s="294">
        <v>424200</v>
      </c>
      <c r="C277" s="295" t="s">
        <v>253</v>
      </c>
      <c r="D277" s="295"/>
      <c r="E277" s="277"/>
      <c r="F277" s="277"/>
      <c r="G277" s="311">
        <f t="shared" si="67"/>
        <v>0</v>
      </c>
      <c r="H277" s="311"/>
      <c r="I277" s="277"/>
      <c r="J277" s="277"/>
      <c r="K277" s="277"/>
      <c r="L277" s="277"/>
      <c r="M277" s="277"/>
      <c r="N277" s="277"/>
      <c r="O277" s="277"/>
      <c r="P277" s="277"/>
      <c r="Q277" s="277"/>
    </row>
    <row r="278" spans="1:26" ht="17.25" x14ac:dyDescent="0.3">
      <c r="A278" s="327">
        <v>5223</v>
      </c>
      <c r="B278" s="294">
        <v>424300</v>
      </c>
      <c r="C278" s="295" t="s">
        <v>254</v>
      </c>
      <c r="D278" s="295" t="s">
        <v>463</v>
      </c>
      <c r="E278" s="277">
        <v>1221</v>
      </c>
      <c r="F278" s="277">
        <f>H278+K278+M278+P278</f>
        <v>1400</v>
      </c>
      <c r="G278" s="311">
        <f t="shared" ref="G278" si="82">SUM(I278:Q278)-K278-M278-P278</f>
        <v>109</v>
      </c>
      <c r="H278" s="311"/>
      <c r="I278" s="277"/>
      <c r="J278" s="277"/>
      <c r="K278" s="277"/>
      <c r="L278" s="277"/>
      <c r="M278" s="277">
        <v>1400</v>
      </c>
      <c r="N278" s="277"/>
      <c r="O278" s="277"/>
      <c r="P278" s="277"/>
      <c r="Q278" s="277">
        <v>109</v>
      </c>
      <c r="R278" s="11"/>
      <c r="T278" s="11"/>
      <c r="Z278" s="514"/>
    </row>
    <row r="279" spans="1:26" ht="15" hidden="1" customHeight="1" x14ac:dyDescent="0.3">
      <c r="A279" s="327">
        <v>5224</v>
      </c>
      <c r="B279" s="294">
        <v>424400</v>
      </c>
      <c r="C279" s="295" t="s">
        <v>255</v>
      </c>
      <c r="D279" s="295" t="s">
        <v>463</v>
      </c>
      <c r="E279" s="277"/>
      <c r="F279" s="277"/>
      <c r="G279" s="311">
        <f t="shared" si="67"/>
        <v>0</v>
      </c>
      <c r="H279" s="311"/>
      <c r="I279" s="277"/>
      <c r="J279" s="277"/>
      <c r="K279" s="277"/>
      <c r="L279" s="277"/>
      <c r="M279" s="277"/>
      <c r="N279" s="277"/>
      <c r="O279" s="277"/>
      <c r="P279" s="277"/>
      <c r="Q279" s="277"/>
      <c r="Z279" s="515"/>
    </row>
    <row r="280" spans="1:26" ht="26.25" hidden="1" customHeight="1" x14ac:dyDescent="0.3">
      <c r="A280" s="327">
        <v>5225</v>
      </c>
      <c r="B280" s="294">
        <v>424500</v>
      </c>
      <c r="C280" s="295" t="s">
        <v>256</v>
      </c>
      <c r="D280" s="295" t="s">
        <v>463</v>
      </c>
      <c r="E280" s="277"/>
      <c r="F280" s="277"/>
      <c r="G280" s="311">
        <f t="shared" si="67"/>
        <v>0</v>
      </c>
      <c r="H280" s="311"/>
      <c r="I280" s="277"/>
      <c r="J280" s="277"/>
      <c r="K280" s="277"/>
      <c r="L280" s="277"/>
      <c r="M280" s="277"/>
      <c r="N280" s="277"/>
      <c r="O280" s="277"/>
      <c r="P280" s="277"/>
      <c r="Q280" s="277"/>
      <c r="Z280" s="515"/>
    </row>
    <row r="281" spans="1:26" ht="39.75" x14ac:dyDescent="0.3">
      <c r="A281" s="327">
        <v>5226</v>
      </c>
      <c r="B281" s="294">
        <v>424600</v>
      </c>
      <c r="C281" s="295" t="s">
        <v>257</v>
      </c>
      <c r="D281" s="295" t="s">
        <v>463</v>
      </c>
      <c r="E281" s="277">
        <v>190</v>
      </c>
      <c r="F281" s="277">
        <f>H281+K281+M281+P281</f>
        <v>414</v>
      </c>
      <c r="G281" s="311">
        <f t="shared" ref="G281:G282" si="83">SUM(I281:Q281)-K281-M281-P281</f>
        <v>51</v>
      </c>
      <c r="H281" s="311"/>
      <c r="I281" s="277"/>
      <c r="J281" s="277"/>
      <c r="K281" s="277"/>
      <c r="L281" s="277"/>
      <c r="M281" s="277">
        <v>300</v>
      </c>
      <c r="N281" s="277"/>
      <c r="O281" s="277"/>
      <c r="P281" s="277">
        <v>114</v>
      </c>
      <c r="Q281" s="277">
        <v>51</v>
      </c>
      <c r="Z281" s="516"/>
    </row>
    <row r="282" spans="1:26" ht="23.25" x14ac:dyDescent="0.35">
      <c r="A282" s="327">
        <v>5227</v>
      </c>
      <c r="B282" s="294">
        <v>424900</v>
      </c>
      <c r="C282" s="295" t="s">
        <v>258</v>
      </c>
      <c r="D282" s="295" t="s">
        <v>463</v>
      </c>
      <c r="E282" s="277">
        <v>3268</v>
      </c>
      <c r="F282" s="277">
        <f>H282+K282+M282+P282</f>
        <v>1812</v>
      </c>
      <c r="G282" s="311">
        <f t="shared" si="83"/>
        <v>290</v>
      </c>
      <c r="H282" s="311"/>
      <c r="I282" s="277"/>
      <c r="J282" s="277"/>
      <c r="K282" s="277"/>
      <c r="L282" s="277"/>
      <c r="M282" s="277">
        <v>1600</v>
      </c>
      <c r="N282" s="277"/>
      <c r="O282" s="277"/>
      <c r="P282" s="277">
        <v>212</v>
      </c>
      <c r="Q282" s="277">
        <v>290</v>
      </c>
      <c r="R282" s="281">
        <v>1059</v>
      </c>
      <c r="S282" s="281" t="s">
        <v>504</v>
      </c>
      <c r="V282" s="347" t="s">
        <v>540</v>
      </c>
      <c r="Z282" s="516"/>
    </row>
    <row r="283" spans="1:26" ht="27" x14ac:dyDescent="0.3">
      <c r="A283" s="498">
        <v>5228</v>
      </c>
      <c r="B283" s="494">
        <v>425000</v>
      </c>
      <c r="C283" s="287" t="s">
        <v>259</v>
      </c>
      <c r="D283" s="295"/>
      <c r="E283" s="288">
        <f>E284+E285</f>
        <v>12464</v>
      </c>
      <c r="F283" s="288">
        <f t="shared" ref="F283:Q283" si="84">F284+F285</f>
        <v>15138</v>
      </c>
      <c r="G283" s="288">
        <f t="shared" si="84"/>
        <v>755</v>
      </c>
      <c r="H283" s="288">
        <f t="shared" si="84"/>
        <v>0</v>
      </c>
      <c r="I283" s="288">
        <f t="shared" si="84"/>
        <v>0</v>
      </c>
      <c r="J283" s="288">
        <f t="shared" si="84"/>
        <v>0</v>
      </c>
      <c r="K283" s="288">
        <f t="shared" si="84"/>
        <v>0</v>
      </c>
      <c r="L283" s="288">
        <f t="shared" si="84"/>
        <v>0</v>
      </c>
      <c r="M283" s="288">
        <f t="shared" si="84"/>
        <v>15138</v>
      </c>
      <c r="N283" s="288">
        <f t="shared" si="84"/>
        <v>100</v>
      </c>
      <c r="O283" s="288">
        <f t="shared" si="84"/>
        <v>0</v>
      </c>
      <c r="P283" s="288">
        <f t="shared" si="84"/>
        <v>0</v>
      </c>
      <c r="Q283" s="288">
        <f t="shared" si="84"/>
        <v>655</v>
      </c>
      <c r="Z283" s="516"/>
    </row>
    <row r="284" spans="1:26" ht="27" x14ac:dyDescent="0.3">
      <c r="A284" s="327">
        <v>5229</v>
      </c>
      <c r="B284" s="294">
        <v>425100</v>
      </c>
      <c r="C284" s="295" t="s">
        <v>260</v>
      </c>
      <c r="D284" s="295" t="s">
        <v>463</v>
      </c>
      <c r="E284" s="277">
        <v>360</v>
      </c>
      <c r="F284" s="277">
        <f>H284+K284+M284+P284</f>
        <v>5000</v>
      </c>
      <c r="G284" s="311">
        <f t="shared" ref="G284:G285" si="85">SUM(I284:Q284)-K284-M284-P284</f>
        <v>100</v>
      </c>
      <c r="H284" s="311"/>
      <c r="I284" s="277"/>
      <c r="J284" s="277"/>
      <c r="K284" s="277"/>
      <c r="L284" s="277"/>
      <c r="M284" s="277">
        <v>5000</v>
      </c>
      <c r="N284" s="277">
        <v>100</v>
      </c>
      <c r="O284" s="277"/>
      <c r="P284" s="277"/>
      <c r="Q284" s="277"/>
      <c r="Z284" s="516"/>
    </row>
    <row r="285" spans="1:26" ht="27" x14ac:dyDescent="0.3">
      <c r="A285" s="327">
        <v>5230</v>
      </c>
      <c r="B285" s="294">
        <v>425200</v>
      </c>
      <c r="C285" s="295" t="s">
        <v>261</v>
      </c>
      <c r="D285" s="295" t="s">
        <v>463</v>
      </c>
      <c r="E285" s="277">
        <v>12104</v>
      </c>
      <c r="F285" s="277">
        <f>H285+K285+M285+P285</f>
        <v>10138</v>
      </c>
      <c r="G285" s="311">
        <f t="shared" si="85"/>
        <v>655</v>
      </c>
      <c r="H285" s="311"/>
      <c r="I285" s="277"/>
      <c r="J285" s="277"/>
      <c r="K285" s="277"/>
      <c r="L285" s="277"/>
      <c r="M285" s="277">
        <f>10500-362</f>
        <v>10138</v>
      </c>
      <c r="N285" s="277"/>
      <c r="O285" s="277"/>
      <c r="P285" s="277"/>
      <c r="Q285" s="277">
        <v>655</v>
      </c>
      <c r="R285" s="281" t="s">
        <v>505</v>
      </c>
      <c r="Z285" s="516"/>
    </row>
    <row r="286" spans="1:26" ht="17.25" x14ac:dyDescent="0.3">
      <c r="A286" s="498">
        <v>5231</v>
      </c>
      <c r="B286" s="494">
        <v>426000</v>
      </c>
      <c r="C286" s="287" t="s">
        <v>262</v>
      </c>
      <c r="D286" s="287"/>
      <c r="E286" s="288">
        <f>SUM(E287:E313)</f>
        <v>301349</v>
      </c>
      <c r="F286" s="288">
        <f>F287+F289+F290+F293+F311+F312+F313</f>
        <v>238193</v>
      </c>
      <c r="G286" s="288">
        <f>SUM(G287:G313)</f>
        <v>16735</v>
      </c>
      <c r="H286" s="288">
        <f t="shared" ref="H286:Q286" si="86">SUM(H287:H313)</f>
        <v>1000</v>
      </c>
      <c r="I286" s="288">
        <f t="shared" si="86"/>
        <v>127</v>
      </c>
      <c r="J286" s="288">
        <f t="shared" si="86"/>
        <v>0</v>
      </c>
      <c r="K286" s="288">
        <f t="shared" si="86"/>
        <v>0</v>
      </c>
      <c r="L286" s="288">
        <f t="shared" si="86"/>
        <v>1273</v>
      </c>
      <c r="M286" s="288">
        <f>M287+M289+M290+M293+M311+M312+M313</f>
        <v>234681</v>
      </c>
      <c r="N286" s="288">
        <f t="shared" si="86"/>
        <v>12510</v>
      </c>
      <c r="O286" s="288">
        <f t="shared" si="86"/>
        <v>0</v>
      </c>
      <c r="P286" s="288">
        <f>P287+P289+P290+P293+P311+P312+P313</f>
        <v>2512</v>
      </c>
      <c r="Q286" s="288">
        <f t="shared" si="86"/>
        <v>2825</v>
      </c>
      <c r="R286" s="326">
        <f>H286+K286+M286+P286</f>
        <v>238193</v>
      </c>
      <c r="Z286" s="516"/>
    </row>
    <row r="287" spans="1:26" ht="17.25" x14ac:dyDescent="0.3">
      <c r="A287" s="327">
        <v>5232</v>
      </c>
      <c r="B287" s="294">
        <v>426100</v>
      </c>
      <c r="C287" s="295" t="s">
        <v>263</v>
      </c>
      <c r="D287" s="295" t="s">
        <v>463</v>
      </c>
      <c r="E287" s="277">
        <v>4093</v>
      </c>
      <c r="F287" s="277">
        <f>H287+K287+M287+P287</f>
        <v>4490</v>
      </c>
      <c r="G287" s="311">
        <f t="shared" ref="G287" si="87">SUM(I287:Q287)-K287-M287-P287</f>
        <v>0</v>
      </c>
      <c r="H287" s="311"/>
      <c r="I287" s="277"/>
      <c r="J287" s="277"/>
      <c r="K287" s="277"/>
      <c r="L287" s="277"/>
      <c r="M287" s="277">
        <f>4500-520</f>
        <v>3980</v>
      </c>
      <c r="N287" s="277"/>
      <c r="O287" s="277"/>
      <c r="P287" s="277">
        <v>510</v>
      </c>
      <c r="Q287" s="277"/>
      <c r="R287" s="281" t="s">
        <v>506</v>
      </c>
      <c r="Z287" s="516"/>
    </row>
    <row r="288" spans="1:26" ht="15" hidden="1" customHeight="1" x14ac:dyDescent="0.3">
      <c r="A288" s="327">
        <v>5233</v>
      </c>
      <c r="B288" s="294">
        <v>426200</v>
      </c>
      <c r="C288" s="295" t="s">
        <v>264</v>
      </c>
      <c r="D288" s="295" t="s">
        <v>463</v>
      </c>
      <c r="E288" s="277"/>
      <c r="F288" s="277"/>
      <c r="G288" s="311">
        <f t="shared" si="67"/>
        <v>0</v>
      </c>
      <c r="H288" s="311"/>
      <c r="I288" s="277"/>
      <c r="J288" s="277"/>
      <c r="K288" s="277"/>
      <c r="L288" s="277"/>
      <c r="M288" s="277"/>
      <c r="N288" s="277"/>
      <c r="O288" s="277"/>
      <c r="P288" s="277"/>
      <c r="Q288" s="277"/>
      <c r="Z288" s="516" t="s">
        <v>555</v>
      </c>
    </row>
    <row r="289" spans="1:26" ht="27" x14ac:dyDescent="0.3">
      <c r="A289" s="327">
        <v>5234</v>
      </c>
      <c r="B289" s="294">
        <v>426300</v>
      </c>
      <c r="C289" s="295" t="s">
        <v>265</v>
      </c>
      <c r="D289" s="295" t="s">
        <v>463</v>
      </c>
      <c r="E289" s="277">
        <v>170</v>
      </c>
      <c r="F289" s="277">
        <f>H289+K289+M289+P289</f>
        <v>110</v>
      </c>
      <c r="G289" s="311">
        <f t="shared" ref="G289:G290" si="88">SUM(I289:Q289)-K289-M289-P289</f>
        <v>147</v>
      </c>
      <c r="H289" s="311"/>
      <c r="I289" s="277"/>
      <c r="J289" s="277"/>
      <c r="K289" s="277"/>
      <c r="L289" s="277"/>
      <c r="M289" s="277"/>
      <c r="N289" s="277"/>
      <c r="O289" s="277"/>
      <c r="P289" s="277">
        <v>110</v>
      </c>
      <c r="Q289" s="277">
        <v>147</v>
      </c>
      <c r="Z289" s="516"/>
    </row>
    <row r="290" spans="1:26" ht="17.25" x14ac:dyDescent="0.3">
      <c r="A290" s="327">
        <v>5235</v>
      </c>
      <c r="B290" s="294">
        <v>426400</v>
      </c>
      <c r="C290" s="295" t="s">
        <v>266</v>
      </c>
      <c r="D290" s="295" t="s">
        <v>468</v>
      </c>
      <c r="E290" s="277">
        <v>1541</v>
      </c>
      <c r="F290" s="277">
        <f>H290+K290+M290+P290</f>
        <v>2040</v>
      </c>
      <c r="G290" s="311">
        <f t="shared" si="88"/>
        <v>7</v>
      </c>
      <c r="H290" s="311"/>
      <c r="I290" s="278"/>
      <c r="J290" s="278"/>
      <c r="K290" s="278"/>
      <c r="L290" s="278"/>
      <c r="M290" s="278">
        <v>2040</v>
      </c>
      <c r="N290" s="278"/>
      <c r="O290" s="278"/>
      <c r="P290" s="278"/>
      <c r="Q290" s="278">
        <v>7</v>
      </c>
      <c r="Z290" s="517"/>
    </row>
    <row r="291" spans="1:26" ht="26.25" hidden="1" customHeight="1" x14ac:dyDescent="0.3">
      <c r="A291" s="327">
        <v>5236</v>
      </c>
      <c r="B291" s="294">
        <v>426500</v>
      </c>
      <c r="C291" s="295" t="s">
        <v>267</v>
      </c>
      <c r="D291" s="295"/>
      <c r="E291" s="277"/>
      <c r="F291" s="277"/>
      <c r="G291" s="311">
        <f t="shared" ref="G291:G384" si="89">SUM(I291:Q291)</f>
        <v>0</v>
      </c>
      <c r="H291" s="311"/>
      <c r="I291" s="277"/>
      <c r="J291" s="277"/>
      <c r="K291" s="277"/>
      <c r="L291" s="277"/>
      <c r="M291" s="277"/>
      <c r="N291" s="277"/>
      <c r="O291" s="277"/>
      <c r="P291" s="277"/>
      <c r="Q291" s="277"/>
      <c r="Z291" s="518" t="s">
        <v>574</v>
      </c>
    </row>
    <row r="292" spans="1:26" ht="26.25" hidden="1" customHeight="1" x14ac:dyDescent="0.25">
      <c r="A292" s="327">
        <v>5237</v>
      </c>
      <c r="B292" s="294">
        <v>426600</v>
      </c>
      <c r="C292" s="295" t="s">
        <v>268</v>
      </c>
      <c r="D292" s="295"/>
      <c r="E292" s="277"/>
      <c r="F292" s="277"/>
      <c r="G292" s="311">
        <f t="shared" si="89"/>
        <v>0</v>
      </c>
      <c r="H292" s="311"/>
      <c r="I292" s="277"/>
      <c r="J292" s="277"/>
      <c r="K292" s="277"/>
      <c r="L292" s="277"/>
      <c r="M292" s="277"/>
      <c r="N292" s="277"/>
      <c r="O292" s="277"/>
      <c r="P292" s="277"/>
      <c r="Q292" s="277"/>
      <c r="Z292" s="246"/>
    </row>
    <row r="293" spans="1:26" ht="26.25" x14ac:dyDescent="0.25">
      <c r="A293" s="327">
        <v>5238</v>
      </c>
      <c r="B293" s="294">
        <v>426700</v>
      </c>
      <c r="C293" s="295" t="s">
        <v>269</v>
      </c>
      <c r="D293" s="295"/>
      <c r="E293" s="277">
        <v>273095</v>
      </c>
      <c r="F293" s="314">
        <f>H293+K293+M293+P293</f>
        <v>209946</v>
      </c>
      <c r="G293" s="311">
        <f t="shared" ref="G293:G313" si="90">SUM(I293:Q293)-K293-M293-P293</f>
        <v>1917</v>
      </c>
      <c r="H293" s="311"/>
      <c r="I293" s="277">
        <v>127</v>
      </c>
      <c r="J293" s="277"/>
      <c r="K293" s="277"/>
      <c r="L293" s="277"/>
      <c r="M293" s="314">
        <f>M294+M299+M300+M303+M309+M310</f>
        <v>208546</v>
      </c>
      <c r="N293" s="314">
        <f t="shared" ref="N293:P293" si="91">N294+N299+N300+N303+N309+N310</f>
        <v>0</v>
      </c>
      <c r="O293" s="314">
        <f t="shared" si="91"/>
        <v>0</v>
      </c>
      <c r="P293" s="314">
        <f t="shared" si="91"/>
        <v>1400</v>
      </c>
      <c r="Q293" s="277">
        <v>1790</v>
      </c>
      <c r="R293" s="326">
        <f>M294+M299+M300+M303+M309+M310</f>
        <v>208546</v>
      </c>
      <c r="S293" s="326">
        <f>R293+P293</f>
        <v>209946</v>
      </c>
      <c r="Z293" s="519"/>
    </row>
    <row r="294" spans="1:26" ht="18" customHeight="1" x14ac:dyDescent="0.25">
      <c r="A294" s="327"/>
      <c r="B294" s="329" t="s">
        <v>470</v>
      </c>
      <c r="C294" s="330" t="s">
        <v>476</v>
      </c>
      <c r="D294" s="295"/>
      <c r="E294" s="277"/>
      <c r="F294" s="314">
        <f>F295+F296+F297+F298</f>
        <v>107652</v>
      </c>
      <c r="G294" s="311"/>
      <c r="H294" s="311"/>
      <c r="I294" s="277"/>
      <c r="J294" s="277"/>
      <c r="K294" s="277"/>
      <c r="L294" s="277"/>
      <c r="M294" s="314">
        <f>M295+M296+M297+M298</f>
        <v>107652</v>
      </c>
      <c r="N294" s="277"/>
      <c r="O294" s="277"/>
      <c r="P294" s="277"/>
      <c r="Q294" s="277"/>
    </row>
    <row r="295" spans="1:26" ht="16.5" customHeight="1" x14ac:dyDescent="0.25">
      <c r="A295" s="327"/>
      <c r="B295" s="331" t="s">
        <v>477</v>
      </c>
      <c r="C295" s="295" t="s">
        <v>481</v>
      </c>
      <c r="D295" s="295"/>
      <c r="E295" s="277"/>
      <c r="F295" s="277">
        <f>M295</f>
        <v>65179</v>
      </c>
      <c r="G295" s="311"/>
      <c r="H295" s="311"/>
      <c r="I295" s="277"/>
      <c r="J295" s="277"/>
      <c r="K295" s="277"/>
      <c r="L295" s="277"/>
      <c r="M295" s="278">
        <f>46590+18589</f>
        <v>65179</v>
      </c>
      <c r="N295" s="277"/>
      <c r="O295" s="277"/>
      <c r="P295" s="277"/>
      <c r="Q295" s="277"/>
    </row>
    <row r="296" spans="1:26" ht="16.5" customHeight="1" x14ac:dyDescent="0.25">
      <c r="A296" s="327"/>
      <c r="B296" s="331" t="s">
        <v>478</v>
      </c>
      <c r="C296" s="295" t="s">
        <v>482</v>
      </c>
      <c r="D296" s="295"/>
      <c r="E296" s="277"/>
      <c r="F296" s="277">
        <f t="shared" ref="F296:F310" si="92">M296</f>
        <v>14745</v>
      </c>
      <c r="G296" s="311"/>
      <c r="H296" s="311"/>
      <c r="I296" s="277"/>
      <c r="J296" s="277"/>
      <c r="K296" s="277"/>
      <c r="L296" s="277"/>
      <c r="M296" s="278">
        <v>14745</v>
      </c>
      <c r="N296" s="277"/>
      <c r="O296" s="277"/>
      <c r="P296" s="277"/>
      <c r="Q296" s="277"/>
    </row>
    <row r="297" spans="1:26" ht="16.5" customHeight="1" x14ac:dyDescent="0.25">
      <c r="A297" s="327"/>
      <c r="B297" s="331" t="s">
        <v>479</v>
      </c>
      <c r="C297" s="295" t="s">
        <v>483</v>
      </c>
      <c r="D297" s="295"/>
      <c r="E297" s="277"/>
      <c r="F297" s="277">
        <f t="shared" si="92"/>
        <v>21866</v>
      </c>
      <c r="G297" s="311"/>
      <c r="H297" s="311"/>
      <c r="I297" s="277"/>
      <c r="J297" s="277"/>
      <c r="K297" s="277"/>
      <c r="L297" s="277"/>
      <c r="M297" s="278">
        <v>21866</v>
      </c>
      <c r="N297" s="277"/>
      <c r="O297" s="277"/>
      <c r="P297" s="277"/>
      <c r="Q297" s="277"/>
    </row>
    <row r="298" spans="1:26" ht="16.5" customHeight="1" x14ac:dyDescent="0.25">
      <c r="A298" s="327"/>
      <c r="B298" s="331" t="s">
        <v>480</v>
      </c>
      <c r="C298" s="295" t="s">
        <v>484</v>
      </c>
      <c r="D298" s="295"/>
      <c r="E298" s="277"/>
      <c r="F298" s="277">
        <f t="shared" si="92"/>
        <v>5862</v>
      </c>
      <c r="G298" s="311"/>
      <c r="H298" s="311"/>
      <c r="I298" s="277"/>
      <c r="J298" s="277"/>
      <c r="K298" s="277"/>
      <c r="L298" s="277"/>
      <c r="M298" s="278">
        <v>5862</v>
      </c>
      <c r="N298" s="277"/>
      <c r="O298" s="277"/>
      <c r="P298" s="277"/>
      <c r="Q298" s="277"/>
    </row>
    <row r="299" spans="1:26" ht="16.5" customHeight="1" x14ac:dyDescent="0.25">
      <c r="A299" s="332"/>
      <c r="B299" s="333" t="s">
        <v>471</v>
      </c>
      <c r="C299" s="330" t="s">
        <v>485</v>
      </c>
      <c r="D299" s="330"/>
      <c r="E299" s="314"/>
      <c r="F299" s="314">
        <f t="shared" si="92"/>
        <v>2685</v>
      </c>
      <c r="G299" s="334"/>
      <c r="H299" s="334"/>
      <c r="I299" s="314"/>
      <c r="J299" s="314"/>
      <c r="K299" s="314"/>
      <c r="L299" s="314"/>
      <c r="M299" s="314">
        <v>2685</v>
      </c>
      <c r="N299" s="314"/>
      <c r="O299" s="314"/>
      <c r="P299" s="314"/>
      <c r="Q299" s="314"/>
    </row>
    <row r="300" spans="1:26" ht="25.5" customHeight="1" x14ac:dyDescent="0.25">
      <c r="A300" s="327"/>
      <c r="B300" s="333" t="s">
        <v>472</v>
      </c>
      <c r="C300" s="330" t="s">
        <v>486</v>
      </c>
      <c r="D300" s="330"/>
      <c r="E300" s="314"/>
      <c r="F300" s="314">
        <f t="shared" si="92"/>
        <v>53731</v>
      </c>
      <c r="G300" s="334"/>
      <c r="H300" s="334"/>
      <c r="I300" s="314"/>
      <c r="J300" s="314"/>
      <c r="K300" s="314"/>
      <c r="L300" s="314"/>
      <c r="M300" s="314">
        <f>M301+M302</f>
        <v>53731</v>
      </c>
      <c r="N300" s="314">
        <f t="shared" ref="N300:P300" si="93">N301+N302</f>
        <v>0</v>
      </c>
      <c r="O300" s="314">
        <f t="shared" si="93"/>
        <v>0</v>
      </c>
      <c r="P300" s="314">
        <f t="shared" si="93"/>
        <v>1400</v>
      </c>
      <c r="Q300" s="314"/>
    </row>
    <row r="301" spans="1:26" ht="25.5" customHeight="1" x14ac:dyDescent="0.25">
      <c r="A301" s="327"/>
      <c r="B301" s="331" t="s">
        <v>487</v>
      </c>
      <c r="C301" s="295" t="s">
        <v>489</v>
      </c>
      <c r="D301" s="295"/>
      <c r="E301" s="277"/>
      <c r="F301" s="277">
        <f t="shared" si="92"/>
        <v>51519</v>
      </c>
      <c r="G301" s="311"/>
      <c r="H301" s="311"/>
      <c r="I301" s="277"/>
      <c r="J301" s="277"/>
      <c r="K301" s="277"/>
      <c r="L301" s="277"/>
      <c r="M301" s="278">
        <f>36195+15324</f>
        <v>51519</v>
      </c>
      <c r="N301" s="277"/>
      <c r="O301" s="277"/>
      <c r="P301" s="277"/>
      <c r="Q301" s="277"/>
    </row>
    <row r="302" spans="1:26" ht="23.25" customHeight="1" x14ac:dyDescent="0.25">
      <c r="A302" s="327"/>
      <c r="B302" s="331" t="s">
        <v>488</v>
      </c>
      <c r="C302" s="295" t="s">
        <v>490</v>
      </c>
      <c r="D302" s="295"/>
      <c r="E302" s="277"/>
      <c r="F302" s="277">
        <f t="shared" si="92"/>
        <v>2212</v>
      </c>
      <c r="G302" s="311"/>
      <c r="H302" s="311"/>
      <c r="I302" s="277"/>
      <c r="J302" s="277"/>
      <c r="K302" s="277"/>
      <c r="L302" s="277"/>
      <c r="M302" s="278">
        <v>2212</v>
      </c>
      <c r="N302" s="277"/>
      <c r="O302" s="277"/>
      <c r="P302" s="277">
        <v>1400</v>
      </c>
      <c r="Q302" s="277"/>
    </row>
    <row r="303" spans="1:26" ht="16.5" customHeight="1" x14ac:dyDescent="0.25">
      <c r="A303" s="327"/>
      <c r="B303" s="333" t="s">
        <v>473</v>
      </c>
      <c r="C303" s="330" t="s">
        <v>493</v>
      </c>
      <c r="D303" s="330"/>
      <c r="E303" s="314"/>
      <c r="F303" s="314">
        <f>F304+F305+F306</f>
        <v>11786</v>
      </c>
      <c r="G303" s="334"/>
      <c r="H303" s="334"/>
      <c r="I303" s="314"/>
      <c r="J303" s="314"/>
      <c r="K303" s="314"/>
      <c r="L303" s="314"/>
      <c r="M303" s="314">
        <f>M304+M305+M306</f>
        <v>11786</v>
      </c>
      <c r="N303" s="314"/>
      <c r="O303" s="314"/>
      <c r="P303" s="314"/>
      <c r="Q303" s="314"/>
    </row>
    <row r="304" spans="1:26" ht="23.25" customHeight="1" x14ac:dyDescent="0.25">
      <c r="A304" s="327"/>
      <c r="B304" s="331" t="s">
        <v>491</v>
      </c>
      <c r="C304" s="295" t="s">
        <v>494</v>
      </c>
      <c r="D304" s="295"/>
      <c r="E304" s="277"/>
      <c r="F304" s="277">
        <f>M304</f>
        <v>5321</v>
      </c>
      <c r="G304" s="311"/>
      <c r="H304" s="311"/>
      <c r="I304" s="277"/>
      <c r="J304" s="277"/>
      <c r="K304" s="277"/>
      <c r="L304" s="277"/>
      <c r="M304" s="278">
        <v>5321</v>
      </c>
      <c r="N304" s="277"/>
      <c r="O304" s="277"/>
      <c r="P304" s="277"/>
      <c r="Q304" s="277"/>
    </row>
    <row r="305" spans="1:17" ht="16.5" customHeight="1" x14ac:dyDescent="0.25">
      <c r="A305" s="327"/>
      <c r="B305" s="331" t="s">
        <v>492</v>
      </c>
      <c r="C305" s="295" t="s">
        <v>495</v>
      </c>
      <c r="D305" s="295"/>
      <c r="E305" s="277"/>
      <c r="F305" s="277">
        <f>M305</f>
        <v>5402</v>
      </c>
      <c r="G305" s="311"/>
      <c r="H305" s="311"/>
      <c r="I305" s="277"/>
      <c r="J305" s="277"/>
      <c r="K305" s="277"/>
      <c r="L305" s="277"/>
      <c r="M305" s="278">
        <v>5402</v>
      </c>
      <c r="N305" s="277"/>
      <c r="O305" s="277"/>
      <c r="P305" s="277"/>
      <c r="Q305" s="277"/>
    </row>
    <row r="306" spans="1:17" ht="16.5" customHeight="1" x14ac:dyDescent="0.25">
      <c r="A306" s="327"/>
      <c r="B306" s="331" t="s">
        <v>496</v>
      </c>
      <c r="C306" s="295" t="s">
        <v>497</v>
      </c>
      <c r="D306" s="295"/>
      <c r="E306" s="277"/>
      <c r="F306" s="277">
        <f>M306</f>
        <v>1063</v>
      </c>
      <c r="G306" s="311"/>
      <c r="H306" s="311"/>
      <c r="I306" s="277"/>
      <c r="J306" s="277"/>
      <c r="K306" s="277"/>
      <c r="L306" s="277"/>
      <c r="M306" s="278">
        <f>M307+M308</f>
        <v>1063</v>
      </c>
      <c r="N306" s="277"/>
      <c r="O306" s="277"/>
      <c r="P306" s="277"/>
      <c r="Q306" s="277"/>
    </row>
    <row r="307" spans="1:17" ht="24.75" x14ac:dyDescent="0.25">
      <c r="A307" s="327"/>
      <c r="B307" s="335" t="s">
        <v>500</v>
      </c>
      <c r="C307" s="336" t="s">
        <v>498</v>
      </c>
      <c r="D307" s="336"/>
      <c r="E307" s="337"/>
      <c r="F307" s="337">
        <f t="shared" si="92"/>
        <v>438</v>
      </c>
      <c r="G307" s="338"/>
      <c r="H307" s="338"/>
      <c r="I307" s="337"/>
      <c r="J307" s="337"/>
      <c r="K307" s="337"/>
      <c r="L307" s="337"/>
      <c r="M307" s="337">
        <v>438</v>
      </c>
      <c r="N307" s="337"/>
      <c r="O307" s="337"/>
      <c r="P307" s="337"/>
      <c r="Q307" s="337"/>
    </row>
    <row r="308" spans="1:17" ht="24.75" x14ac:dyDescent="0.25">
      <c r="A308" s="327"/>
      <c r="B308" s="335" t="s">
        <v>501</v>
      </c>
      <c r="C308" s="336" t="s">
        <v>499</v>
      </c>
      <c r="D308" s="336"/>
      <c r="E308" s="337"/>
      <c r="F308" s="337">
        <f t="shared" si="92"/>
        <v>625</v>
      </c>
      <c r="G308" s="338"/>
      <c r="H308" s="338"/>
      <c r="I308" s="337"/>
      <c r="J308" s="337"/>
      <c r="K308" s="337"/>
      <c r="L308" s="337"/>
      <c r="M308" s="337">
        <v>625</v>
      </c>
      <c r="N308" s="337"/>
      <c r="O308" s="337"/>
      <c r="P308" s="337"/>
      <c r="Q308" s="337"/>
    </row>
    <row r="309" spans="1:17" ht="26.25" x14ac:dyDescent="0.25">
      <c r="A309" s="327"/>
      <c r="B309" s="329" t="s">
        <v>474</v>
      </c>
      <c r="C309" s="330" t="s">
        <v>502</v>
      </c>
      <c r="D309" s="330"/>
      <c r="E309" s="314"/>
      <c r="F309" s="314">
        <f t="shared" si="92"/>
        <v>25692</v>
      </c>
      <c r="G309" s="334"/>
      <c r="H309" s="334"/>
      <c r="I309" s="314"/>
      <c r="J309" s="314"/>
      <c r="K309" s="314"/>
      <c r="L309" s="314"/>
      <c r="M309" s="314">
        <v>25692</v>
      </c>
      <c r="N309" s="314"/>
      <c r="O309" s="314"/>
      <c r="P309" s="314"/>
      <c r="Q309" s="314"/>
    </row>
    <row r="310" spans="1:17" x14ac:dyDescent="0.25">
      <c r="A310" s="327"/>
      <c r="B310" s="329" t="s">
        <v>475</v>
      </c>
      <c r="C310" s="330" t="s">
        <v>503</v>
      </c>
      <c r="D310" s="330"/>
      <c r="E310" s="314"/>
      <c r="F310" s="314">
        <f t="shared" si="92"/>
        <v>7000</v>
      </c>
      <c r="G310" s="334"/>
      <c r="H310" s="334"/>
      <c r="I310" s="314"/>
      <c r="J310" s="314"/>
      <c r="K310" s="314"/>
      <c r="L310" s="314"/>
      <c r="M310" s="314">
        <v>7000</v>
      </c>
      <c r="N310" s="314"/>
      <c r="O310" s="314"/>
      <c r="P310" s="314"/>
      <c r="Q310" s="314"/>
    </row>
    <row r="311" spans="1:17" x14ac:dyDescent="0.25">
      <c r="A311" s="327">
        <v>5239</v>
      </c>
      <c r="B311" s="294">
        <v>426800</v>
      </c>
      <c r="C311" s="295" t="s">
        <v>464</v>
      </c>
      <c r="D311" s="339" t="s">
        <v>467</v>
      </c>
      <c r="E311" s="277">
        <v>9387</v>
      </c>
      <c r="F311" s="277">
        <f>H311+K311+M311+P311</f>
        <v>12200</v>
      </c>
      <c r="G311" s="311">
        <f t="shared" si="90"/>
        <v>9570</v>
      </c>
      <c r="H311" s="311"/>
      <c r="I311" s="277"/>
      <c r="J311" s="277"/>
      <c r="K311" s="277"/>
      <c r="L311" s="277"/>
      <c r="M311" s="277">
        <v>12200</v>
      </c>
      <c r="N311" s="277">
        <v>9570</v>
      </c>
      <c r="O311" s="277"/>
      <c r="P311" s="277"/>
      <c r="Q311" s="277"/>
    </row>
    <row r="312" spans="1:17" ht="26.25" x14ac:dyDescent="0.25">
      <c r="A312" s="327"/>
      <c r="B312" s="294" t="s">
        <v>465</v>
      </c>
      <c r="C312" s="295" t="s">
        <v>466</v>
      </c>
      <c r="D312" s="295" t="s">
        <v>463</v>
      </c>
      <c r="E312" s="277">
        <v>4452</v>
      </c>
      <c r="F312" s="277">
        <f>H312+K312+M312+P312</f>
        <v>4660</v>
      </c>
      <c r="G312" s="311">
        <f t="shared" si="90"/>
        <v>2940</v>
      </c>
      <c r="H312" s="311"/>
      <c r="I312" s="277"/>
      <c r="J312" s="277"/>
      <c r="K312" s="277"/>
      <c r="L312" s="277"/>
      <c r="M312" s="277">
        <f>2500+2160</f>
        <v>4660</v>
      </c>
      <c r="N312" s="277">
        <f>12522-12-9570</f>
        <v>2940</v>
      </c>
      <c r="O312" s="277"/>
      <c r="P312" s="277"/>
      <c r="Q312" s="277"/>
    </row>
    <row r="313" spans="1:17" x14ac:dyDescent="0.25">
      <c r="A313" s="327">
        <v>5240</v>
      </c>
      <c r="B313" s="294">
        <v>426900</v>
      </c>
      <c r="C313" s="295" t="s">
        <v>270</v>
      </c>
      <c r="D313" s="295" t="s">
        <v>463</v>
      </c>
      <c r="E313" s="277">
        <v>8611</v>
      </c>
      <c r="F313" s="278">
        <f>H313+K313+M313+P313</f>
        <v>4747</v>
      </c>
      <c r="G313" s="340">
        <f t="shared" si="90"/>
        <v>2154</v>
      </c>
      <c r="H313" s="340">
        <v>1000</v>
      </c>
      <c r="I313" s="278"/>
      <c r="J313" s="278"/>
      <c r="K313" s="278"/>
      <c r="L313" s="278">
        <v>1273</v>
      </c>
      <c r="M313" s="278">
        <f>4485-1230</f>
        <v>3255</v>
      </c>
      <c r="N313" s="278"/>
      <c r="O313" s="278"/>
      <c r="P313" s="278">
        <v>492</v>
      </c>
      <c r="Q313" s="277">
        <v>881</v>
      </c>
    </row>
    <row r="314" spans="1:17" ht="51.75" hidden="1" x14ac:dyDescent="0.25">
      <c r="A314" s="498">
        <v>5241</v>
      </c>
      <c r="B314" s="494">
        <v>430000</v>
      </c>
      <c r="C314" s="287" t="s">
        <v>271</v>
      </c>
      <c r="D314" s="287"/>
      <c r="E314" s="288">
        <f>E315+E323+E325+E327+E331</f>
        <v>0</v>
      </c>
      <c r="F314" s="288"/>
      <c r="G314" s="288">
        <f t="shared" si="89"/>
        <v>0</v>
      </c>
      <c r="H314" s="288"/>
      <c r="I314" s="288">
        <f t="shared" ref="I314:Q314" si="94">I315+I323+I325+I327+I331</f>
        <v>0</v>
      </c>
      <c r="J314" s="288">
        <f t="shared" si="94"/>
        <v>0</v>
      </c>
      <c r="K314" s="288"/>
      <c r="L314" s="288">
        <f t="shared" si="94"/>
        <v>0</v>
      </c>
      <c r="M314" s="288"/>
      <c r="N314" s="288">
        <f t="shared" si="94"/>
        <v>0</v>
      </c>
      <c r="O314" s="288">
        <f t="shared" si="94"/>
        <v>0</v>
      </c>
      <c r="P314" s="288"/>
      <c r="Q314" s="288">
        <f t="shared" si="94"/>
        <v>0</v>
      </c>
    </row>
    <row r="315" spans="1:17" ht="39" hidden="1" x14ac:dyDescent="0.25">
      <c r="A315" s="498">
        <v>5242</v>
      </c>
      <c r="B315" s="494">
        <v>431000</v>
      </c>
      <c r="C315" s="287" t="s">
        <v>272</v>
      </c>
      <c r="D315" s="287"/>
      <c r="E315" s="288">
        <f>SUM(E316:E318)</f>
        <v>0</v>
      </c>
      <c r="F315" s="288"/>
      <c r="G315" s="288">
        <f t="shared" si="89"/>
        <v>0</v>
      </c>
      <c r="H315" s="288"/>
      <c r="I315" s="288">
        <f t="shared" ref="I315:Q315" si="95">SUM(I316:I318)</f>
        <v>0</v>
      </c>
      <c r="J315" s="288">
        <f t="shared" si="95"/>
        <v>0</v>
      </c>
      <c r="K315" s="288"/>
      <c r="L315" s="288">
        <f t="shared" si="95"/>
        <v>0</v>
      </c>
      <c r="M315" s="288"/>
      <c r="N315" s="288">
        <f t="shared" si="95"/>
        <v>0</v>
      </c>
      <c r="O315" s="288">
        <f t="shared" si="95"/>
        <v>0</v>
      </c>
      <c r="P315" s="288"/>
      <c r="Q315" s="288">
        <f t="shared" si="95"/>
        <v>0</v>
      </c>
    </row>
    <row r="316" spans="1:17" ht="26.25" hidden="1" x14ac:dyDescent="0.25">
      <c r="A316" s="327">
        <v>5243</v>
      </c>
      <c r="B316" s="294">
        <v>431100</v>
      </c>
      <c r="C316" s="295" t="s">
        <v>273</v>
      </c>
      <c r="D316" s="295"/>
      <c r="E316" s="277"/>
      <c r="F316" s="277"/>
      <c r="G316" s="311">
        <f t="shared" si="89"/>
        <v>0</v>
      </c>
      <c r="H316" s="311"/>
      <c r="I316" s="277"/>
      <c r="J316" s="277"/>
      <c r="K316" s="277"/>
      <c r="L316" s="277"/>
      <c r="M316" s="277"/>
      <c r="N316" s="277"/>
      <c r="O316" s="277"/>
      <c r="P316" s="277"/>
      <c r="Q316" s="277"/>
    </row>
    <row r="317" spans="1:17" hidden="1" x14ac:dyDescent="0.25">
      <c r="A317" s="327">
        <v>5244</v>
      </c>
      <c r="B317" s="294">
        <v>431200</v>
      </c>
      <c r="C317" s="295" t="s">
        <v>274</v>
      </c>
      <c r="D317" s="295"/>
      <c r="E317" s="277"/>
      <c r="F317" s="277"/>
      <c r="G317" s="311">
        <f t="shared" si="89"/>
        <v>0</v>
      </c>
      <c r="H317" s="311"/>
      <c r="I317" s="277"/>
      <c r="J317" s="277"/>
      <c r="K317" s="277"/>
      <c r="L317" s="277"/>
      <c r="M317" s="277"/>
      <c r="N317" s="277"/>
      <c r="O317" s="277"/>
      <c r="P317" s="277"/>
      <c r="Q317" s="277"/>
    </row>
    <row r="318" spans="1:17" ht="26.25" hidden="1" x14ac:dyDescent="0.25">
      <c r="A318" s="327">
        <v>5245</v>
      </c>
      <c r="B318" s="294">
        <v>431300</v>
      </c>
      <c r="C318" s="295" t="s">
        <v>275</v>
      </c>
      <c r="D318" s="295"/>
      <c r="E318" s="277"/>
      <c r="F318" s="277"/>
      <c r="G318" s="311">
        <f t="shared" si="89"/>
        <v>0</v>
      </c>
      <c r="H318" s="311"/>
      <c r="I318" s="277"/>
      <c r="J318" s="277"/>
      <c r="K318" s="277"/>
      <c r="L318" s="277"/>
      <c r="M318" s="277"/>
      <c r="N318" s="277"/>
      <c r="O318" s="277"/>
      <c r="P318" s="277"/>
      <c r="Q318" s="277"/>
    </row>
    <row r="319" spans="1:17" hidden="1" x14ac:dyDescent="0.25">
      <c r="A319" s="656" t="s">
        <v>0</v>
      </c>
      <c r="B319" s="657" t="s">
        <v>1</v>
      </c>
      <c r="C319" s="656" t="s">
        <v>2</v>
      </c>
      <c r="D319" s="492"/>
      <c r="E319" s="656" t="s">
        <v>217</v>
      </c>
      <c r="F319" s="492"/>
      <c r="G319" s="658" t="s">
        <v>198</v>
      </c>
      <c r="H319" s="658"/>
      <c r="I319" s="659"/>
      <c r="J319" s="659"/>
      <c r="K319" s="659"/>
      <c r="L319" s="659"/>
      <c r="M319" s="659"/>
      <c r="N319" s="659"/>
      <c r="O319" s="659"/>
      <c r="P319" s="659"/>
      <c r="Q319" s="659"/>
    </row>
    <row r="320" spans="1:17" hidden="1" x14ac:dyDescent="0.25">
      <c r="A320" s="656"/>
      <c r="B320" s="657"/>
      <c r="C320" s="656"/>
      <c r="D320" s="492"/>
      <c r="E320" s="656"/>
      <c r="F320" s="492"/>
      <c r="G320" s="658" t="s">
        <v>199</v>
      </c>
      <c r="H320" s="494"/>
      <c r="I320" s="658" t="s">
        <v>200</v>
      </c>
      <c r="J320" s="659"/>
      <c r="K320" s="659"/>
      <c r="L320" s="659"/>
      <c r="M320" s="659"/>
      <c r="N320" s="659"/>
      <c r="O320" s="658" t="s">
        <v>7</v>
      </c>
      <c r="P320" s="494"/>
      <c r="Q320" s="658" t="s">
        <v>8</v>
      </c>
    </row>
    <row r="321" spans="1:17" ht="39" hidden="1" x14ac:dyDescent="0.25">
      <c r="A321" s="656"/>
      <c r="B321" s="657"/>
      <c r="C321" s="656"/>
      <c r="D321" s="492"/>
      <c r="E321" s="656"/>
      <c r="F321" s="492"/>
      <c r="G321" s="659"/>
      <c r="H321" s="495"/>
      <c r="I321" s="494" t="s">
        <v>201</v>
      </c>
      <c r="J321" s="494" t="s">
        <v>10</v>
      </c>
      <c r="K321" s="494"/>
      <c r="L321" s="494" t="s">
        <v>11</v>
      </c>
      <c r="M321" s="494"/>
      <c r="N321" s="494" t="s">
        <v>12</v>
      </c>
      <c r="O321" s="659"/>
      <c r="P321" s="495"/>
      <c r="Q321" s="659"/>
    </row>
    <row r="322" spans="1:17" ht="26.25" hidden="1" x14ac:dyDescent="0.25">
      <c r="A322" s="493" t="s">
        <v>18</v>
      </c>
      <c r="B322" s="493" t="s">
        <v>19</v>
      </c>
      <c r="C322" s="493" t="s">
        <v>20</v>
      </c>
      <c r="D322" s="493"/>
      <c r="E322" s="493" t="s">
        <v>21</v>
      </c>
      <c r="F322" s="493"/>
      <c r="G322" s="493" t="s">
        <v>22</v>
      </c>
      <c r="H322" s="493"/>
      <c r="I322" s="493" t="s">
        <v>23</v>
      </c>
      <c r="J322" s="493" t="s">
        <v>24</v>
      </c>
      <c r="K322" s="493"/>
      <c r="L322" s="493" t="s">
        <v>25</v>
      </c>
      <c r="M322" s="493"/>
      <c r="N322" s="493" t="s">
        <v>26</v>
      </c>
      <c r="O322" s="493" t="s">
        <v>27</v>
      </c>
      <c r="P322" s="493"/>
      <c r="Q322" s="493" t="s">
        <v>28</v>
      </c>
    </row>
    <row r="323" spans="1:17" ht="39" hidden="1" x14ac:dyDescent="0.25">
      <c r="A323" s="498">
        <v>5246</v>
      </c>
      <c r="B323" s="494">
        <v>432000</v>
      </c>
      <c r="C323" s="287" t="s">
        <v>276</v>
      </c>
      <c r="D323" s="287"/>
      <c r="E323" s="288">
        <f>E324</f>
        <v>0</v>
      </c>
      <c r="F323" s="288"/>
      <c r="G323" s="288">
        <f t="shared" si="89"/>
        <v>0</v>
      </c>
      <c r="H323" s="288"/>
      <c r="I323" s="288">
        <f t="shared" ref="I323:Q323" si="96">I324</f>
        <v>0</v>
      </c>
      <c r="J323" s="288">
        <f t="shared" si="96"/>
        <v>0</v>
      </c>
      <c r="K323" s="288"/>
      <c r="L323" s="288">
        <f t="shared" si="96"/>
        <v>0</v>
      </c>
      <c r="M323" s="288"/>
      <c r="N323" s="288">
        <f t="shared" si="96"/>
        <v>0</v>
      </c>
      <c r="O323" s="288">
        <f t="shared" si="96"/>
        <v>0</v>
      </c>
      <c r="P323" s="288"/>
      <c r="Q323" s="288">
        <f t="shared" si="96"/>
        <v>0</v>
      </c>
    </row>
    <row r="324" spans="1:17" ht="26.25" hidden="1" x14ac:dyDescent="0.25">
      <c r="A324" s="327">
        <v>5247</v>
      </c>
      <c r="B324" s="294">
        <v>432100</v>
      </c>
      <c r="C324" s="295" t="s">
        <v>277</v>
      </c>
      <c r="D324" s="295"/>
      <c r="E324" s="277"/>
      <c r="F324" s="277"/>
      <c r="G324" s="311">
        <f t="shared" si="89"/>
        <v>0</v>
      </c>
      <c r="H324" s="311"/>
      <c r="I324" s="277"/>
      <c r="J324" s="277"/>
      <c r="K324" s="277"/>
      <c r="L324" s="277"/>
      <c r="M324" s="277"/>
      <c r="N324" s="277"/>
      <c r="O324" s="277"/>
      <c r="P324" s="277"/>
      <c r="Q324" s="277"/>
    </row>
    <row r="325" spans="1:17" ht="26.25" hidden="1" x14ac:dyDescent="0.25">
      <c r="A325" s="498">
        <v>5248</v>
      </c>
      <c r="B325" s="494">
        <v>433000</v>
      </c>
      <c r="C325" s="287" t="s">
        <v>278</v>
      </c>
      <c r="D325" s="287"/>
      <c r="E325" s="288">
        <f>E326</f>
        <v>0</v>
      </c>
      <c r="F325" s="288"/>
      <c r="G325" s="288">
        <f t="shared" si="89"/>
        <v>0</v>
      </c>
      <c r="H325" s="288"/>
      <c r="I325" s="288">
        <f t="shared" ref="I325:Q325" si="97">I326</f>
        <v>0</v>
      </c>
      <c r="J325" s="288">
        <f t="shared" si="97"/>
        <v>0</v>
      </c>
      <c r="K325" s="288"/>
      <c r="L325" s="288">
        <f t="shared" si="97"/>
        <v>0</v>
      </c>
      <c r="M325" s="288"/>
      <c r="N325" s="288">
        <f t="shared" si="97"/>
        <v>0</v>
      </c>
      <c r="O325" s="288">
        <f t="shared" si="97"/>
        <v>0</v>
      </c>
      <c r="P325" s="288"/>
      <c r="Q325" s="288">
        <f t="shared" si="97"/>
        <v>0</v>
      </c>
    </row>
    <row r="326" spans="1:17" hidden="1" x14ac:dyDescent="0.25">
      <c r="A326" s="327">
        <v>5249</v>
      </c>
      <c r="B326" s="294">
        <v>433100</v>
      </c>
      <c r="C326" s="295" t="s">
        <v>279</v>
      </c>
      <c r="D326" s="295"/>
      <c r="E326" s="277"/>
      <c r="F326" s="277"/>
      <c r="G326" s="311">
        <f t="shared" si="89"/>
        <v>0</v>
      </c>
      <c r="H326" s="311"/>
      <c r="I326" s="277"/>
      <c r="J326" s="277"/>
      <c r="K326" s="277"/>
      <c r="L326" s="277"/>
      <c r="M326" s="277"/>
      <c r="N326" s="277"/>
      <c r="O326" s="277"/>
      <c r="P326" s="277"/>
      <c r="Q326" s="277"/>
    </row>
    <row r="327" spans="1:17" ht="26.25" hidden="1" x14ac:dyDescent="0.25">
      <c r="A327" s="498">
        <v>5250</v>
      </c>
      <c r="B327" s="494">
        <v>434000</v>
      </c>
      <c r="C327" s="287" t="s">
        <v>280</v>
      </c>
      <c r="D327" s="287"/>
      <c r="E327" s="288">
        <f>SUM(E328:E330)</f>
        <v>0</v>
      </c>
      <c r="F327" s="288"/>
      <c r="G327" s="288">
        <f t="shared" si="89"/>
        <v>0</v>
      </c>
      <c r="H327" s="288"/>
      <c r="I327" s="288">
        <f t="shared" ref="I327:Q327" si="98">SUM(I328:I330)</f>
        <v>0</v>
      </c>
      <c r="J327" s="288">
        <f t="shared" si="98"/>
        <v>0</v>
      </c>
      <c r="K327" s="288"/>
      <c r="L327" s="288">
        <f t="shared" si="98"/>
        <v>0</v>
      </c>
      <c r="M327" s="288"/>
      <c r="N327" s="288">
        <f t="shared" si="98"/>
        <v>0</v>
      </c>
      <c r="O327" s="288">
        <f t="shared" si="98"/>
        <v>0</v>
      </c>
      <c r="P327" s="288"/>
      <c r="Q327" s="288">
        <f t="shared" si="98"/>
        <v>0</v>
      </c>
    </row>
    <row r="328" spans="1:17" hidden="1" x14ac:dyDescent="0.25">
      <c r="A328" s="327">
        <v>5251</v>
      </c>
      <c r="B328" s="294">
        <v>434100</v>
      </c>
      <c r="C328" s="295" t="s">
        <v>281</v>
      </c>
      <c r="D328" s="295"/>
      <c r="E328" s="277"/>
      <c r="F328" s="277"/>
      <c r="G328" s="311">
        <f t="shared" si="89"/>
        <v>0</v>
      </c>
      <c r="H328" s="311"/>
      <c r="I328" s="277"/>
      <c r="J328" s="277"/>
      <c r="K328" s="277"/>
      <c r="L328" s="277"/>
      <c r="M328" s="277"/>
      <c r="N328" s="277"/>
      <c r="O328" s="277"/>
      <c r="P328" s="277"/>
      <c r="Q328" s="277"/>
    </row>
    <row r="329" spans="1:17" hidden="1" x14ac:dyDescent="0.25">
      <c r="A329" s="327">
        <v>5252</v>
      </c>
      <c r="B329" s="294">
        <v>434200</v>
      </c>
      <c r="C329" s="295" t="s">
        <v>282</v>
      </c>
      <c r="D329" s="295"/>
      <c r="E329" s="277"/>
      <c r="F329" s="277"/>
      <c r="G329" s="311">
        <f t="shared" si="89"/>
        <v>0</v>
      </c>
      <c r="H329" s="311"/>
      <c r="I329" s="277"/>
      <c r="J329" s="277"/>
      <c r="K329" s="277"/>
      <c r="L329" s="277"/>
      <c r="M329" s="277"/>
      <c r="N329" s="277"/>
      <c r="O329" s="277"/>
      <c r="P329" s="277"/>
      <c r="Q329" s="277"/>
    </row>
    <row r="330" spans="1:17" hidden="1" x14ac:dyDescent="0.25">
      <c r="A330" s="327">
        <v>5253</v>
      </c>
      <c r="B330" s="294">
        <v>434300</v>
      </c>
      <c r="C330" s="295" t="s">
        <v>283</v>
      </c>
      <c r="D330" s="295"/>
      <c r="E330" s="277"/>
      <c r="F330" s="277"/>
      <c r="G330" s="311">
        <f t="shared" si="89"/>
        <v>0</v>
      </c>
      <c r="H330" s="311"/>
      <c r="I330" s="277"/>
      <c r="J330" s="277"/>
      <c r="K330" s="277"/>
      <c r="L330" s="277"/>
      <c r="M330" s="277"/>
      <c r="N330" s="277"/>
      <c r="O330" s="277"/>
      <c r="P330" s="277"/>
      <c r="Q330" s="277"/>
    </row>
    <row r="331" spans="1:17" ht="39" hidden="1" x14ac:dyDescent="0.25">
      <c r="A331" s="498">
        <v>5254</v>
      </c>
      <c r="B331" s="494">
        <v>435000</v>
      </c>
      <c r="C331" s="287" t="s">
        <v>284</v>
      </c>
      <c r="D331" s="287"/>
      <c r="E331" s="288">
        <f>E332</f>
        <v>0</v>
      </c>
      <c r="F331" s="288"/>
      <c r="G331" s="288">
        <f t="shared" si="89"/>
        <v>0</v>
      </c>
      <c r="H331" s="288"/>
      <c r="I331" s="288">
        <f t="shared" ref="I331:Q331" si="99">I332</f>
        <v>0</v>
      </c>
      <c r="J331" s="288">
        <f t="shared" si="99"/>
        <v>0</v>
      </c>
      <c r="K331" s="288"/>
      <c r="L331" s="288">
        <f t="shared" si="99"/>
        <v>0</v>
      </c>
      <c r="M331" s="288"/>
      <c r="N331" s="288">
        <f t="shared" si="99"/>
        <v>0</v>
      </c>
      <c r="O331" s="288">
        <f t="shared" si="99"/>
        <v>0</v>
      </c>
      <c r="P331" s="288"/>
      <c r="Q331" s="288">
        <f t="shared" si="99"/>
        <v>0</v>
      </c>
    </row>
    <row r="332" spans="1:17" ht="26.25" hidden="1" x14ac:dyDescent="0.25">
      <c r="A332" s="327">
        <v>5255</v>
      </c>
      <c r="B332" s="294">
        <v>435100</v>
      </c>
      <c r="C332" s="295" t="s">
        <v>285</v>
      </c>
      <c r="D332" s="295"/>
      <c r="E332" s="277"/>
      <c r="F332" s="277"/>
      <c r="G332" s="311">
        <f t="shared" si="89"/>
        <v>0</v>
      </c>
      <c r="H332" s="311"/>
      <c r="I332" s="277"/>
      <c r="J332" s="277"/>
      <c r="K332" s="277"/>
      <c r="L332" s="277"/>
      <c r="M332" s="277"/>
      <c r="N332" s="277"/>
      <c r="O332" s="277"/>
      <c r="P332" s="277"/>
      <c r="Q332" s="277"/>
    </row>
    <row r="333" spans="1:17" ht="51.75" x14ac:dyDescent="0.25">
      <c r="A333" s="498">
        <v>5256</v>
      </c>
      <c r="B333" s="494">
        <v>440000</v>
      </c>
      <c r="C333" s="287" t="s">
        <v>286</v>
      </c>
      <c r="D333" s="287"/>
      <c r="E333" s="288">
        <f>E334+E344+E355+E357</f>
        <v>275</v>
      </c>
      <c r="F333" s="288">
        <f t="shared" ref="F333:Q333" si="100">F334+F344+F355+F357</f>
        <v>600</v>
      </c>
      <c r="G333" s="288">
        <f t="shared" si="100"/>
        <v>251</v>
      </c>
      <c r="H333" s="288">
        <f t="shared" si="100"/>
        <v>0</v>
      </c>
      <c r="I333" s="288">
        <f t="shared" si="100"/>
        <v>0</v>
      </c>
      <c r="J333" s="288">
        <f t="shared" si="100"/>
        <v>0</v>
      </c>
      <c r="K333" s="288">
        <f t="shared" si="100"/>
        <v>0</v>
      </c>
      <c r="L333" s="288">
        <f t="shared" si="100"/>
        <v>0</v>
      </c>
      <c r="M333" s="288">
        <f t="shared" si="100"/>
        <v>0</v>
      </c>
      <c r="N333" s="288">
        <f t="shared" si="100"/>
        <v>0</v>
      </c>
      <c r="O333" s="288">
        <f t="shared" si="100"/>
        <v>0</v>
      </c>
      <c r="P333" s="288">
        <f t="shared" si="100"/>
        <v>600</v>
      </c>
      <c r="Q333" s="288">
        <f t="shared" si="100"/>
        <v>251</v>
      </c>
    </row>
    <row r="334" spans="1:17" ht="26.25" x14ac:dyDescent="0.25">
      <c r="A334" s="498">
        <v>5257</v>
      </c>
      <c r="B334" s="494">
        <v>441000</v>
      </c>
      <c r="C334" s="287" t="s">
        <v>287</v>
      </c>
      <c r="D334" s="287"/>
      <c r="E334" s="288">
        <f>SUM(E335:E343)</f>
        <v>275</v>
      </c>
      <c r="F334" s="288">
        <f t="shared" ref="F334:Q334" si="101">SUM(F335:F343)</f>
        <v>600</v>
      </c>
      <c r="G334" s="288">
        <f t="shared" si="101"/>
        <v>251</v>
      </c>
      <c r="H334" s="288">
        <f t="shared" si="101"/>
        <v>0</v>
      </c>
      <c r="I334" s="288">
        <f t="shared" si="101"/>
        <v>0</v>
      </c>
      <c r="J334" s="288">
        <f t="shared" si="101"/>
        <v>0</v>
      </c>
      <c r="K334" s="288">
        <f t="shared" si="101"/>
        <v>0</v>
      </c>
      <c r="L334" s="288">
        <f t="shared" si="101"/>
        <v>0</v>
      </c>
      <c r="M334" s="288">
        <f t="shared" si="101"/>
        <v>0</v>
      </c>
      <c r="N334" s="288">
        <f t="shared" si="101"/>
        <v>0</v>
      </c>
      <c r="O334" s="288">
        <f t="shared" si="101"/>
        <v>0</v>
      </c>
      <c r="P334" s="288">
        <f t="shared" si="101"/>
        <v>600</v>
      </c>
      <c r="Q334" s="288">
        <f t="shared" si="101"/>
        <v>251</v>
      </c>
    </row>
    <row r="335" spans="1:17" ht="26.25" hidden="1" x14ac:dyDescent="0.25">
      <c r="A335" s="327">
        <v>5258</v>
      </c>
      <c r="B335" s="294">
        <v>441100</v>
      </c>
      <c r="C335" s="295" t="s">
        <v>288</v>
      </c>
      <c r="D335" s="295"/>
      <c r="E335" s="277"/>
      <c r="F335" s="277"/>
      <c r="G335" s="311">
        <f t="shared" si="89"/>
        <v>0</v>
      </c>
      <c r="H335" s="311"/>
      <c r="I335" s="277"/>
      <c r="J335" s="277"/>
      <c r="K335" s="277"/>
      <c r="L335" s="277"/>
      <c r="M335" s="277"/>
      <c r="N335" s="277"/>
      <c r="O335" s="277"/>
      <c r="P335" s="277"/>
      <c r="Q335" s="277"/>
    </row>
    <row r="336" spans="1:17" ht="26.25" hidden="1" x14ac:dyDescent="0.25">
      <c r="A336" s="327">
        <v>5259</v>
      </c>
      <c r="B336" s="294">
        <v>441200</v>
      </c>
      <c r="C336" s="295" t="s">
        <v>289</v>
      </c>
      <c r="D336" s="295"/>
      <c r="E336" s="277"/>
      <c r="F336" s="277"/>
      <c r="G336" s="311">
        <f t="shared" si="89"/>
        <v>0</v>
      </c>
      <c r="H336" s="311"/>
      <c r="I336" s="277"/>
      <c r="J336" s="277"/>
      <c r="K336" s="277"/>
      <c r="L336" s="277"/>
      <c r="M336" s="277"/>
      <c r="N336" s="277"/>
      <c r="O336" s="277"/>
      <c r="P336" s="277"/>
      <c r="Q336" s="277"/>
    </row>
    <row r="337" spans="1:17" ht="26.25" hidden="1" x14ac:dyDescent="0.25">
      <c r="A337" s="327">
        <v>5260</v>
      </c>
      <c r="B337" s="294">
        <v>441300</v>
      </c>
      <c r="C337" s="295" t="s">
        <v>290</v>
      </c>
      <c r="D337" s="295"/>
      <c r="E337" s="277"/>
      <c r="F337" s="277"/>
      <c r="G337" s="311">
        <f t="shared" si="89"/>
        <v>0</v>
      </c>
      <c r="H337" s="311"/>
      <c r="I337" s="277"/>
      <c r="J337" s="277"/>
      <c r="K337" s="277"/>
      <c r="L337" s="277"/>
      <c r="M337" s="277"/>
      <c r="N337" s="277"/>
      <c r="O337" s="277"/>
      <c r="P337" s="277"/>
      <c r="Q337" s="277"/>
    </row>
    <row r="338" spans="1:17" ht="26.25" hidden="1" x14ac:dyDescent="0.25">
      <c r="A338" s="327">
        <v>5261</v>
      </c>
      <c r="B338" s="294">
        <v>441400</v>
      </c>
      <c r="C338" s="295" t="s">
        <v>291</v>
      </c>
      <c r="D338" s="295"/>
      <c r="E338" s="277"/>
      <c r="F338" s="277"/>
      <c r="G338" s="311">
        <f t="shared" si="89"/>
        <v>0</v>
      </c>
      <c r="H338" s="311"/>
      <c r="I338" s="277"/>
      <c r="J338" s="277"/>
      <c r="K338" s="277"/>
      <c r="L338" s="277"/>
      <c r="M338" s="277"/>
      <c r="N338" s="277"/>
      <c r="O338" s="277"/>
      <c r="P338" s="277"/>
      <c r="Q338" s="277"/>
    </row>
    <row r="339" spans="1:17" ht="26.25" x14ac:dyDescent="0.25">
      <c r="A339" s="327">
        <v>5262</v>
      </c>
      <c r="B339" s="294">
        <v>441500</v>
      </c>
      <c r="C339" s="295" t="s">
        <v>292</v>
      </c>
      <c r="D339" s="295"/>
      <c r="E339" s="277">
        <v>275</v>
      </c>
      <c r="F339" s="277">
        <f>H339+K339+M339+P339</f>
        <v>600</v>
      </c>
      <c r="G339" s="311">
        <f t="shared" ref="G339" si="102">SUM(I339:Q339)-K339-M339-P339</f>
        <v>251</v>
      </c>
      <c r="H339" s="311"/>
      <c r="I339" s="277"/>
      <c r="J339" s="277"/>
      <c r="K339" s="277"/>
      <c r="L339" s="277"/>
      <c r="M339" s="277"/>
      <c r="N339" s="277"/>
      <c r="O339" s="277"/>
      <c r="P339" s="277">
        <v>600</v>
      </c>
      <c r="Q339" s="277">
        <v>251</v>
      </c>
    </row>
    <row r="340" spans="1:17" ht="26.25" hidden="1" x14ac:dyDescent="0.25">
      <c r="A340" s="327">
        <v>5263</v>
      </c>
      <c r="B340" s="294">
        <v>441600</v>
      </c>
      <c r="C340" s="295" t="s">
        <v>293</v>
      </c>
      <c r="D340" s="295"/>
      <c r="E340" s="277"/>
      <c r="F340" s="277"/>
      <c r="G340" s="311">
        <f t="shared" si="89"/>
        <v>0</v>
      </c>
      <c r="H340" s="311"/>
      <c r="I340" s="277"/>
      <c r="J340" s="277"/>
      <c r="K340" s="277"/>
      <c r="L340" s="277"/>
      <c r="M340" s="277"/>
      <c r="N340" s="277"/>
      <c r="O340" s="277"/>
      <c r="P340" s="277"/>
      <c r="Q340" s="277"/>
    </row>
    <row r="341" spans="1:17" ht="26.25" hidden="1" x14ac:dyDescent="0.25">
      <c r="A341" s="327">
        <v>5264</v>
      </c>
      <c r="B341" s="294">
        <v>441700</v>
      </c>
      <c r="C341" s="295" t="s">
        <v>294</v>
      </c>
      <c r="D341" s="295"/>
      <c r="E341" s="277"/>
      <c r="F341" s="277"/>
      <c r="G341" s="311">
        <f t="shared" si="89"/>
        <v>0</v>
      </c>
      <c r="H341" s="311"/>
      <c r="I341" s="277"/>
      <c r="J341" s="277"/>
      <c r="K341" s="277"/>
      <c r="L341" s="277"/>
      <c r="M341" s="277"/>
      <c r="N341" s="277"/>
      <c r="O341" s="277"/>
      <c r="P341" s="277"/>
      <c r="Q341" s="277"/>
    </row>
    <row r="342" spans="1:17" ht="26.25" hidden="1" x14ac:dyDescent="0.25">
      <c r="A342" s="327">
        <v>5265</v>
      </c>
      <c r="B342" s="294">
        <v>441800</v>
      </c>
      <c r="C342" s="295" t="s">
        <v>295</v>
      </c>
      <c r="D342" s="295"/>
      <c r="E342" s="277"/>
      <c r="F342" s="277"/>
      <c r="G342" s="311">
        <f t="shared" si="89"/>
        <v>0</v>
      </c>
      <c r="H342" s="311"/>
      <c r="I342" s="277"/>
      <c r="J342" s="277"/>
      <c r="K342" s="277"/>
      <c r="L342" s="277"/>
      <c r="M342" s="277"/>
      <c r="N342" s="277"/>
      <c r="O342" s="277"/>
      <c r="P342" s="277"/>
      <c r="Q342" s="277"/>
    </row>
    <row r="343" spans="1:17" ht="26.25" hidden="1" x14ac:dyDescent="0.25">
      <c r="A343" s="327">
        <v>5266</v>
      </c>
      <c r="B343" s="294">
        <v>441900</v>
      </c>
      <c r="C343" s="295" t="s">
        <v>99</v>
      </c>
      <c r="D343" s="295"/>
      <c r="E343" s="277"/>
      <c r="F343" s="277"/>
      <c r="G343" s="311">
        <f t="shared" si="89"/>
        <v>0</v>
      </c>
      <c r="H343" s="311"/>
      <c r="I343" s="277"/>
      <c r="J343" s="277"/>
      <c r="K343" s="277"/>
      <c r="L343" s="277"/>
      <c r="M343" s="277"/>
      <c r="N343" s="277"/>
      <c r="O343" s="277"/>
      <c r="P343" s="277"/>
      <c r="Q343" s="277"/>
    </row>
    <row r="344" spans="1:17" ht="26.25" hidden="1" x14ac:dyDescent="0.25">
      <c r="A344" s="498">
        <v>5267</v>
      </c>
      <c r="B344" s="494">
        <v>442000</v>
      </c>
      <c r="C344" s="287" t="s">
        <v>296</v>
      </c>
      <c r="D344" s="287"/>
      <c r="E344" s="288">
        <f>SUM(E345:E354)</f>
        <v>0</v>
      </c>
      <c r="F344" s="288"/>
      <c r="G344" s="288">
        <f t="shared" si="89"/>
        <v>0</v>
      </c>
      <c r="H344" s="288"/>
      <c r="I344" s="288">
        <f t="shared" ref="I344:Q344" si="103">SUM(I345:I354)</f>
        <v>0</v>
      </c>
      <c r="J344" s="288">
        <f t="shared" si="103"/>
        <v>0</v>
      </c>
      <c r="K344" s="288"/>
      <c r="L344" s="288">
        <f t="shared" si="103"/>
        <v>0</v>
      </c>
      <c r="M344" s="288"/>
      <c r="N344" s="288">
        <f t="shared" si="103"/>
        <v>0</v>
      </c>
      <c r="O344" s="288">
        <f t="shared" si="103"/>
        <v>0</v>
      </c>
      <c r="P344" s="288"/>
      <c r="Q344" s="288">
        <f t="shared" si="103"/>
        <v>0</v>
      </c>
    </row>
    <row r="345" spans="1:17" ht="51.75" hidden="1" x14ac:dyDescent="0.25">
      <c r="A345" s="327">
        <v>5268</v>
      </c>
      <c r="B345" s="294">
        <v>442100</v>
      </c>
      <c r="C345" s="295" t="s">
        <v>297</v>
      </c>
      <c r="D345" s="295"/>
      <c r="E345" s="277"/>
      <c r="F345" s="277"/>
      <c r="G345" s="311">
        <f t="shared" si="89"/>
        <v>0</v>
      </c>
      <c r="H345" s="311"/>
      <c r="I345" s="277"/>
      <c r="J345" s="277"/>
      <c r="K345" s="277"/>
      <c r="L345" s="277"/>
      <c r="M345" s="277"/>
      <c r="N345" s="277"/>
      <c r="O345" s="277"/>
      <c r="P345" s="277"/>
      <c r="Q345" s="277"/>
    </row>
    <row r="346" spans="1:17" hidden="1" x14ac:dyDescent="0.25">
      <c r="A346" s="327">
        <v>5269</v>
      </c>
      <c r="B346" s="294">
        <v>442200</v>
      </c>
      <c r="C346" s="295" t="s">
        <v>298</v>
      </c>
      <c r="D346" s="295"/>
      <c r="E346" s="277"/>
      <c r="F346" s="277"/>
      <c r="G346" s="311">
        <f t="shared" si="89"/>
        <v>0</v>
      </c>
      <c r="H346" s="311"/>
      <c r="I346" s="277"/>
      <c r="J346" s="277"/>
      <c r="K346" s="277"/>
      <c r="L346" s="277"/>
      <c r="M346" s="277"/>
      <c r="N346" s="277"/>
      <c r="O346" s="277"/>
      <c r="P346" s="277"/>
      <c r="Q346" s="277"/>
    </row>
    <row r="347" spans="1:17" ht="26.25" hidden="1" x14ac:dyDescent="0.25">
      <c r="A347" s="327">
        <v>5270</v>
      </c>
      <c r="B347" s="294">
        <v>442300</v>
      </c>
      <c r="C347" s="295" t="s">
        <v>299</v>
      </c>
      <c r="D347" s="295"/>
      <c r="E347" s="277"/>
      <c r="F347" s="277"/>
      <c r="G347" s="311">
        <f t="shared" si="89"/>
        <v>0</v>
      </c>
      <c r="H347" s="311"/>
      <c r="I347" s="277"/>
      <c r="J347" s="277"/>
      <c r="K347" s="277"/>
      <c r="L347" s="277"/>
      <c r="M347" s="277"/>
      <c r="N347" s="277"/>
      <c r="O347" s="277"/>
      <c r="P347" s="277"/>
      <c r="Q347" s="277"/>
    </row>
    <row r="348" spans="1:17" ht="26.25" hidden="1" x14ac:dyDescent="0.25">
      <c r="A348" s="327">
        <v>5271</v>
      </c>
      <c r="B348" s="294">
        <v>442400</v>
      </c>
      <c r="C348" s="295" t="s">
        <v>300</v>
      </c>
      <c r="D348" s="295"/>
      <c r="E348" s="277"/>
      <c r="F348" s="277"/>
      <c r="G348" s="311">
        <f t="shared" si="89"/>
        <v>0</v>
      </c>
      <c r="H348" s="311"/>
      <c r="I348" s="277"/>
      <c r="J348" s="277"/>
      <c r="K348" s="277"/>
      <c r="L348" s="277"/>
      <c r="M348" s="277"/>
      <c r="N348" s="277"/>
      <c r="O348" s="277"/>
      <c r="P348" s="277"/>
      <c r="Q348" s="277"/>
    </row>
    <row r="349" spans="1:17" hidden="1" x14ac:dyDescent="0.25">
      <c r="A349" s="656" t="s">
        <v>0</v>
      </c>
      <c r="B349" s="657" t="s">
        <v>1</v>
      </c>
      <c r="C349" s="656" t="s">
        <v>2</v>
      </c>
      <c r="D349" s="492"/>
      <c r="E349" s="656" t="s">
        <v>217</v>
      </c>
      <c r="F349" s="492"/>
      <c r="G349" s="658" t="s">
        <v>198</v>
      </c>
      <c r="H349" s="658"/>
      <c r="I349" s="659"/>
      <c r="J349" s="659"/>
      <c r="K349" s="659"/>
      <c r="L349" s="659"/>
      <c r="M349" s="659"/>
      <c r="N349" s="659"/>
      <c r="O349" s="659"/>
      <c r="P349" s="659"/>
      <c r="Q349" s="659"/>
    </row>
    <row r="350" spans="1:17" hidden="1" x14ac:dyDescent="0.25">
      <c r="A350" s="656"/>
      <c r="B350" s="657"/>
      <c r="C350" s="656"/>
      <c r="D350" s="492"/>
      <c r="E350" s="656"/>
      <c r="F350" s="492"/>
      <c r="G350" s="658" t="s">
        <v>199</v>
      </c>
      <c r="H350" s="494"/>
      <c r="I350" s="658" t="s">
        <v>200</v>
      </c>
      <c r="J350" s="659"/>
      <c r="K350" s="659"/>
      <c r="L350" s="659"/>
      <c r="M350" s="659"/>
      <c r="N350" s="659"/>
      <c r="O350" s="658" t="s">
        <v>7</v>
      </c>
      <c r="P350" s="494"/>
      <c r="Q350" s="658" t="s">
        <v>8</v>
      </c>
    </row>
    <row r="351" spans="1:17" ht="39" hidden="1" x14ac:dyDescent="0.25">
      <c r="A351" s="656"/>
      <c r="B351" s="657"/>
      <c r="C351" s="656"/>
      <c r="D351" s="492"/>
      <c r="E351" s="656"/>
      <c r="F351" s="492"/>
      <c r="G351" s="659"/>
      <c r="H351" s="495"/>
      <c r="I351" s="494" t="s">
        <v>201</v>
      </c>
      <c r="J351" s="494" t="s">
        <v>10</v>
      </c>
      <c r="K351" s="494"/>
      <c r="L351" s="494" t="s">
        <v>11</v>
      </c>
      <c r="M351" s="494"/>
      <c r="N351" s="494" t="s">
        <v>12</v>
      </c>
      <c r="O351" s="659"/>
      <c r="P351" s="495"/>
      <c r="Q351" s="659"/>
    </row>
    <row r="352" spans="1:17" ht="26.25" hidden="1" x14ac:dyDescent="0.25">
      <c r="A352" s="493" t="s">
        <v>18</v>
      </c>
      <c r="B352" s="493" t="s">
        <v>19</v>
      </c>
      <c r="C352" s="493" t="s">
        <v>20</v>
      </c>
      <c r="D352" s="493"/>
      <c r="E352" s="493" t="s">
        <v>21</v>
      </c>
      <c r="F352" s="493"/>
      <c r="G352" s="493" t="s">
        <v>22</v>
      </c>
      <c r="H352" s="493"/>
      <c r="I352" s="493" t="s">
        <v>23</v>
      </c>
      <c r="J352" s="493" t="s">
        <v>24</v>
      </c>
      <c r="K352" s="493"/>
      <c r="L352" s="493" t="s">
        <v>25</v>
      </c>
      <c r="M352" s="493"/>
      <c r="N352" s="493" t="s">
        <v>26</v>
      </c>
      <c r="O352" s="493" t="s">
        <v>27</v>
      </c>
      <c r="P352" s="493"/>
      <c r="Q352" s="493" t="s">
        <v>28</v>
      </c>
    </row>
    <row r="353" spans="1:17" ht="26.25" hidden="1" x14ac:dyDescent="0.25">
      <c r="A353" s="327">
        <v>5272</v>
      </c>
      <c r="B353" s="294">
        <v>442500</v>
      </c>
      <c r="C353" s="295" t="s">
        <v>301</v>
      </c>
      <c r="D353" s="295"/>
      <c r="E353" s="277"/>
      <c r="F353" s="277"/>
      <c r="G353" s="311">
        <f t="shared" si="89"/>
        <v>0</v>
      </c>
      <c r="H353" s="311"/>
      <c r="I353" s="277"/>
      <c r="J353" s="277"/>
      <c r="K353" s="277"/>
      <c r="L353" s="277"/>
      <c r="M353" s="277"/>
      <c r="N353" s="277"/>
      <c r="O353" s="277"/>
      <c r="P353" s="277"/>
      <c r="Q353" s="277"/>
    </row>
    <row r="354" spans="1:17" ht="26.25" hidden="1" x14ac:dyDescent="0.25">
      <c r="A354" s="327">
        <v>5273</v>
      </c>
      <c r="B354" s="294">
        <v>442600</v>
      </c>
      <c r="C354" s="295" t="s">
        <v>302</v>
      </c>
      <c r="D354" s="295"/>
      <c r="E354" s="277"/>
      <c r="F354" s="277"/>
      <c r="G354" s="311">
        <f t="shared" si="89"/>
        <v>0</v>
      </c>
      <c r="H354" s="311"/>
      <c r="I354" s="277"/>
      <c r="J354" s="277"/>
      <c r="K354" s="277"/>
      <c r="L354" s="277"/>
      <c r="M354" s="277"/>
      <c r="N354" s="277"/>
      <c r="O354" s="277"/>
      <c r="P354" s="277"/>
      <c r="Q354" s="277"/>
    </row>
    <row r="355" spans="1:17" ht="26.25" hidden="1" x14ac:dyDescent="0.25">
      <c r="A355" s="498">
        <v>5274</v>
      </c>
      <c r="B355" s="494">
        <v>443000</v>
      </c>
      <c r="C355" s="287" t="s">
        <v>303</v>
      </c>
      <c r="D355" s="287"/>
      <c r="E355" s="288">
        <f>E356</f>
        <v>0</v>
      </c>
      <c r="F355" s="288"/>
      <c r="G355" s="288">
        <f t="shared" si="89"/>
        <v>0</v>
      </c>
      <c r="H355" s="288"/>
      <c r="I355" s="288">
        <f t="shared" ref="I355:Q355" si="104">I356</f>
        <v>0</v>
      </c>
      <c r="J355" s="288">
        <f t="shared" si="104"/>
        <v>0</v>
      </c>
      <c r="K355" s="288"/>
      <c r="L355" s="288">
        <f t="shared" si="104"/>
        <v>0</v>
      </c>
      <c r="M355" s="288"/>
      <c r="N355" s="288">
        <f t="shared" si="104"/>
        <v>0</v>
      </c>
      <c r="O355" s="288">
        <f t="shared" si="104"/>
        <v>0</v>
      </c>
      <c r="P355" s="288"/>
      <c r="Q355" s="288">
        <f t="shared" si="104"/>
        <v>0</v>
      </c>
    </row>
    <row r="356" spans="1:17" hidden="1" x14ac:dyDescent="0.25">
      <c r="A356" s="327">
        <v>5275</v>
      </c>
      <c r="B356" s="294">
        <v>443100</v>
      </c>
      <c r="C356" s="295" t="s">
        <v>304</v>
      </c>
      <c r="D356" s="295"/>
      <c r="E356" s="277"/>
      <c r="F356" s="277"/>
      <c r="G356" s="311">
        <f t="shared" si="89"/>
        <v>0</v>
      </c>
      <c r="H356" s="311"/>
      <c r="I356" s="277"/>
      <c r="J356" s="277"/>
      <c r="K356" s="277"/>
      <c r="L356" s="277"/>
      <c r="M356" s="277"/>
      <c r="N356" s="277"/>
      <c r="O356" s="277"/>
      <c r="P356" s="277"/>
      <c r="Q356" s="277"/>
    </row>
    <row r="357" spans="1:17" ht="39" hidden="1" x14ac:dyDescent="0.25">
      <c r="A357" s="498">
        <v>5276</v>
      </c>
      <c r="B357" s="494">
        <v>444000</v>
      </c>
      <c r="C357" s="287" t="s">
        <v>305</v>
      </c>
      <c r="D357" s="287"/>
      <c r="E357" s="288">
        <f>SUM(E358:E360)</f>
        <v>0</v>
      </c>
      <c r="F357" s="288"/>
      <c r="G357" s="288">
        <f t="shared" si="89"/>
        <v>0</v>
      </c>
      <c r="H357" s="288"/>
      <c r="I357" s="288">
        <f t="shared" ref="I357:Q357" si="105">SUM(I358:I360)</f>
        <v>0</v>
      </c>
      <c r="J357" s="288">
        <f t="shared" si="105"/>
        <v>0</v>
      </c>
      <c r="K357" s="288"/>
      <c r="L357" s="288">
        <f t="shared" si="105"/>
        <v>0</v>
      </c>
      <c r="M357" s="288"/>
      <c r="N357" s="288">
        <f t="shared" si="105"/>
        <v>0</v>
      </c>
      <c r="O357" s="288">
        <f t="shared" si="105"/>
        <v>0</v>
      </c>
      <c r="P357" s="288"/>
      <c r="Q357" s="288">
        <f t="shared" si="105"/>
        <v>0</v>
      </c>
    </row>
    <row r="358" spans="1:17" hidden="1" x14ac:dyDescent="0.25">
      <c r="A358" s="327">
        <v>5277</v>
      </c>
      <c r="B358" s="294">
        <v>444100</v>
      </c>
      <c r="C358" s="295" t="s">
        <v>306</v>
      </c>
      <c r="D358" s="295"/>
      <c r="E358" s="277"/>
      <c r="F358" s="277"/>
      <c r="G358" s="311">
        <f t="shared" si="89"/>
        <v>0</v>
      </c>
      <c r="H358" s="311"/>
      <c r="I358" s="277"/>
      <c r="J358" s="277"/>
      <c r="K358" s="277"/>
      <c r="L358" s="277"/>
      <c r="M358" s="277"/>
      <c r="N358" s="277"/>
      <c r="O358" s="277"/>
      <c r="P358" s="277"/>
      <c r="Q358" s="277"/>
    </row>
    <row r="359" spans="1:17" hidden="1" x14ac:dyDescent="0.25">
      <c r="A359" s="327">
        <v>5278</v>
      </c>
      <c r="B359" s="294">
        <v>444200</v>
      </c>
      <c r="C359" s="295" t="s">
        <v>307</v>
      </c>
      <c r="D359" s="295"/>
      <c r="E359" s="277"/>
      <c r="F359" s="277"/>
      <c r="G359" s="311">
        <f t="shared" si="89"/>
        <v>0</v>
      </c>
      <c r="H359" s="311"/>
      <c r="I359" s="277"/>
      <c r="J359" s="277"/>
      <c r="K359" s="277"/>
      <c r="L359" s="277"/>
      <c r="M359" s="277"/>
      <c r="N359" s="277"/>
      <c r="O359" s="277"/>
      <c r="P359" s="277"/>
      <c r="Q359" s="277"/>
    </row>
    <row r="360" spans="1:17" ht="26.25" hidden="1" x14ac:dyDescent="0.25">
      <c r="A360" s="327">
        <v>5279</v>
      </c>
      <c r="B360" s="294">
        <v>444300</v>
      </c>
      <c r="C360" s="295" t="s">
        <v>308</v>
      </c>
      <c r="D360" s="295"/>
      <c r="E360" s="277"/>
      <c r="F360" s="277"/>
      <c r="G360" s="311">
        <f t="shared" si="89"/>
        <v>0</v>
      </c>
      <c r="H360" s="311"/>
      <c r="I360" s="277"/>
      <c r="J360" s="277"/>
      <c r="K360" s="277"/>
      <c r="L360" s="277"/>
      <c r="M360" s="277"/>
      <c r="N360" s="277"/>
      <c r="O360" s="277"/>
      <c r="P360" s="277"/>
      <c r="Q360" s="277"/>
    </row>
    <row r="361" spans="1:17" ht="26.25" hidden="1" x14ac:dyDescent="0.25">
      <c r="A361" s="498">
        <v>5280</v>
      </c>
      <c r="B361" s="494">
        <v>450000</v>
      </c>
      <c r="C361" s="287" t="s">
        <v>309</v>
      </c>
      <c r="D361" s="287"/>
      <c r="E361" s="288">
        <f>E362+E365+E368+E371</f>
        <v>0</v>
      </c>
      <c r="F361" s="288"/>
      <c r="G361" s="288">
        <f t="shared" si="89"/>
        <v>0</v>
      </c>
      <c r="H361" s="288"/>
      <c r="I361" s="288">
        <f t="shared" ref="I361:Q361" si="106">I362+I365+I368+I371</f>
        <v>0</v>
      </c>
      <c r="J361" s="288">
        <f t="shared" si="106"/>
        <v>0</v>
      </c>
      <c r="K361" s="288"/>
      <c r="L361" s="288">
        <f t="shared" si="106"/>
        <v>0</v>
      </c>
      <c r="M361" s="288"/>
      <c r="N361" s="288">
        <f t="shared" si="106"/>
        <v>0</v>
      </c>
      <c r="O361" s="288">
        <f t="shared" si="106"/>
        <v>0</v>
      </c>
      <c r="P361" s="288"/>
      <c r="Q361" s="288">
        <f t="shared" si="106"/>
        <v>0</v>
      </c>
    </row>
    <row r="362" spans="1:17" ht="64.5" hidden="1" x14ac:dyDescent="0.25">
      <c r="A362" s="498">
        <v>5281</v>
      </c>
      <c r="B362" s="494">
        <v>451000</v>
      </c>
      <c r="C362" s="287" t="s">
        <v>310</v>
      </c>
      <c r="D362" s="287"/>
      <c r="E362" s="288">
        <f>E363+E364</f>
        <v>0</v>
      </c>
      <c r="F362" s="288"/>
      <c r="G362" s="288">
        <f t="shared" si="89"/>
        <v>0</v>
      </c>
      <c r="H362" s="288"/>
      <c r="I362" s="288">
        <f t="shared" ref="I362:Q362" si="107">I363+I364</f>
        <v>0</v>
      </c>
      <c r="J362" s="288">
        <f t="shared" si="107"/>
        <v>0</v>
      </c>
      <c r="K362" s="288"/>
      <c r="L362" s="288">
        <f t="shared" si="107"/>
        <v>0</v>
      </c>
      <c r="M362" s="288"/>
      <c r="N362" s="288">
        <f t="shared" si="107"/>
        <v>0</v>
      </c>
      <c r="O362" s="288">
        <f t="shared" si="107"/>
        <v>0</v>
      </c>
      <c r="P362" s="288"/>
      <c r="Q362" s="288">
        <f t="shared" si="107"/>
        <v>0</v>
      </c>
    </row>
    <row r="363" spans="1:17" ht="39" hidden="1" x14ac:dyDescent="0.25">
      <c r="A363" s="327">
        <v>5282</v>
      </c>
      <c r="B363" s="294">
        <v>451100</v>
      </c>
      <c r="C363" s="295" t="s">
        <v>311</v>
      </c>
      <c r="D363" s="295"/>
      <c r="E363" s="277"/>
      <c r="F363" s="277"/>
      <c r="G363" s="311">
        <f t="shared" si="89"/>
        <v>0</v>
      </c>
      <c r="H363" s="311"/>
      <c r="I363" s="277"/>
      <c r="J363" s="277"/>
      <c r="K363" s="277"/>
      <c r="L363" s="277"/>
      <c r="M363" s="277"/>
      <c r="N363" s="277"/>
      <c r="O363" s="277"/>
      <c r="P363" s="277"/>
      <c r="Q363" s="277"/>
    </row>
    <row r="364" spans="1:17" ht="39" hidden="1" x14ac:dyDescent="0.25">
      <c r="A364" s="327">
        <v>5283</v>
      </c>
      <c r="B364" s="294">
        <v>451200</v>
      </c>
      <c r="C364" s="295" t="s">
        <v>312</v>
      </c>
      <c r="D364" s="295"/>
      <c r="E364" s="277"/>
      <c r="F364" s="277"/>
      <c r="G364" s="311">
        <f t="shared" si="89"/>
        <v>0</v>
      </c>
      <c r="H364" s="311"/>
      <c r="I364" s="277"/>
      <c r="J364" s="277"/>
      <c r="K364" s="277"/>
      <c r="L364" s="277"/>
      <c r="M364" s="277"/>
      <c r="N364" s="277"/>
      <c r="O364" s="277"/>
      <c r="P364" s="277"/>
      <c r="Q364" s="277"/>
    </row>
    <row r="365" spans="1:17" ht="51.75" hidden="1" x14ac:dyDescent="0.25">
      <c r="A365" s="498">
        <v>5284</v>
      </c>
      <c r="B365" s="494">
        <v>452000</v>
      </c>
      <c r="C365" s="287" t="s">
        <v>313</v>
      </c>
      <c r="D365" s="287"/>
      <c r="E365" s="288">
        <f>E366+E367</f>
        <v>0</v>
      </c>
      <c r="F365" s="288"/>
      <c r="G365" s="288">
        <f t="shared" si="89"/>
        <v>0</v>
      </c>
      <c r="H365" s="288"/>
      <c r="I365" s="288">
        <f t="shared" ref="I365:Q365" si="108">I366+I367</f>
        <v>0</v>
      </c>
      <c r="J365" s="288">
        <f t="shared" si="108"/>
        <v>0</v>
      </c>
      <c r="K365" s="288"/>
      <c r="L365" s="288">
        <f t="shared" si="108"/>
        <v>0</v>
      </c>
      <c r="M365" s="288"/>
      <c r="N365" s="288">
        <f t="shared" si="108"/>
        <v>0</v>
      </c>
      <c r="O365" s="288">
        <f t="shared" si="108"/>
        <v>0</v>
      </c>
      <c r="P365" s="288"/>
      <c r="Q365" s="288">
        <f t="shared" si="108"/>
        <v>0</v>
      </c>
    </row>
    <row r="366" spans="1:17" ht="26.25" hidden="1" x14ac:dyDescent="0.25">
      <c r="A366" s="327">
        <v>5285</v>
      </c>
      <c r="B366" s="294">
        <v>452100</v>
      </c>
      <c r="C366" s="295" t="s">
        <v>314</v>
      </c>
      <c r="D366" s="295"/>
      <c r="E366" s="277"/>
      <c r="F366" s="277"/>
      <c r="G366" s="311">
        <f t="shared" si="89"/>
        <v>0</v>
      </c>
      <c r="H366" s="311"/>
      <c r="I366" s="277"/>
      <c r="J366" s="277"/>
      <c r="K366" s="277"/>
      <c r="L366" s="277"/>
      <c r="M366" s="277"/>
      <c r="N366" s="277"/>
      <c r="O366" s="277"/>
      <c r="P366" s="277"/>
      <c r="Q366" s="277"/>
    </row>
    <row r="367" spans="1:17" ht="26.25" hidden="1" x14ac:dyDescent="0.25">
      <c r="A367" s="327">
        <v>5286</v>
      </c>
      <c r="B367" s="294">
        <v>452200</v>
      </c>
      <c r="C367" s="295" t="s">
        <v>315</v>
      </c>
      <c r="D367" s="295"/>
      <c r="E367" s="277"/>
      <c r="F367" s="277"/>
      <c r="G367" s="311">
        <f t="shared" si="89"/>
        <v>0</v>
      </c>
      <c r="H367" s="311"/>
      <c r="I367" s="277"/>
      <c r="J367" s="277"/>
      <c r="K367" s="277"/>
      <c r="L367" s="277"/>
      <c r="M367" s="277"/>
      <c r="N367" s="277"/>
      <c r="O367" s="277"/>
      <c r="P367" s="277"/>
      <c r="Q367" s="277"/>
    </row>
    <row r="368" spans="1:17" ht="51.75" hidden="1" x14ac:dyDescent="0.25">
      <c r="A368" s="498">
        <v>5287</v>
      </c>
      <c r="B368" s="494">
        <v>453000</v>
      </c>
      <c r="C368" s="287" t="s">
        <v>316</v>
      </c>
      <c r="D368" s="287"/>
      <c r="E368" s="288">
        <f>E369+E370</f>
        <v>0</v>
      </c>
      <c r="F368" s="288"/>
      <c r="G368" s="288">
        <f t="shared" si="89"/>
        <v>0</v>
      </c>
      <c r="H368" s="288"/>
      <c r="I368" s="288">
        <f t="shared" ref="I368:Q368" si="109">I369+I370</f>
        <v>0</v>
      </c>
      <c r="J368" s="288">
        <f t="shared" si="109"/>
        <v>0</v>
      </c>
      <c r="K368" s="288"/>
      <c r="L368" s="288">
        <f t="shared" si="109"/>
        <v>0</v>
      </c>
      <c r="M368" s="288"/>
      <c r="N368" s="288">
        <f t="shared" si="109"/>
        <v>0</v>
      </c>
      <c r="O368" s="288">
        <f t="shared" si="109"/>
        <v>0</v>
      </c>
      <c r="P368" s="288"/>
      <c r="Q368" s="288">
        <f t="shared" si="109"/>
        <v>0</v>
      </c>
    </row>
    <row r="369" spans="1:17" ht="26.25" hidden="1" x14ac:dyDescent="0.25">
      <c r="A369" s="327">
        <v>5288</v>
      </c>
      <c r="B369" s="294">
        <v>453100</v>
      </c>
      <c r="C369" s="295" t="s">
        <v>317</v>
      </c>
      <c r="D369" s="295"/>
      <c r="E369" s="277"/>
      <c r="F369" s="277"/>
      <c r="G369" s="311">
        <f t="shared" si="89"/>
        <v>0</v>
      </c>
      <c r="H369" s="311"/>
      <c r="I369" s="277"/>
      <c r="J369" s="277"/>
      <c r="K369" s="277"/>
      <c r="L369" s="277"/>
      <c r="M369" s="277"/>
      <c r="N369" s="277"/>
      <c r="O369" s="277"/>
      <c r="P369" s="277"/>
      <c r="Q369" s="277"/>
    </row>
    <row r="370" spans="1:17" ht="26.25" hidden="1" x14ac:dyDescent="0.25">
      <c r="A370" s="327">
        <v>5289</v>
      </c>
      <c r="B370" s="294">
        <v>453200</v>
      </c>
      <c r="C370" s="295" t="s">
        <v>318</v>
      </c>
      <c r="D370" s="295"/>
      <c r="E370" s="277"/>
      <c r="F370" s="277"/>
      <c r="G370" s="311">
        <f t="shared" si="89"/>
        <v>0</v>
      </c>
      <c r="H370" s="311"/>
      <c r="I370" s="277"/>
      <c r="J370" s="277"/>
      <c r="K370" s="277"/>
      <c r="L370" s="277"/>
      <c r="M370" s="277"/>
      <c r="N370" s="277"/>
      <c r="O370" s="277"/>
      <c r="P370" s="277"/>
      <c r="Q370" s="277"/>
    </row>
    <row r="371" spans="1:17" ht="26.25" hidden="1" x14ac:dyDescent="0.25">
      <c r="A371" s="498">
        <v>5290</v>
      </c>
      <c r="B371" s="494">
        <v>454000</v>
      </c>
      <c r="C371" s="287" t="s">
        <v>319</v>
      </c>
      <c r="D371" s="287"/>
      <c r="E371" s="288">
        <f>E372+E373</f>
        <v>0</v>
      </c>
      <c r="F371" s="288"/>
      <c r="G371" s="288">
        <f t="shared" si="89"/>
        <v>0</v>
      </c>
      <c r="H371" s="288"/>
      <c r="I371" s="288">
        <f t="shared" ref="I371:Q371" si="110">I372+I373</f>
        <v>0</v>
      </c>
      <c r="J371" s="288">
        <f t="shared" si="110"/>
        <v>0</v>
      </c>
      <c r="K371" s="288"/>
      <c r="L371" s="288">
        <f t="shared" si="110"/>
        <v>0</v>
      </c>
      <c r="M371" s="288"/>
      <c r="N371" s="288">
        <f t="shared" si="110"/>
        <v>0</v>
      </c>
      <c r="O371" s="288">
        <f t="shared" si="110"/>
        <v>0</v>
      </c>
      <c r="P371" s="288"/>
      <c r="Q371" s="288">
        <f t="shared" si="110"/>
        <v>0</v>
      </c>
    </row>
    <row r="372" spans="1:17" ht="26.25" hidden="1" x14ac:dyDescent="0.25">
      <c r="A372" s="327">
        <v>5291</v>
      </c>
      <c r="B372" s="294">
        <v>454100</v>
      </c>
      <c r="C372" s="295" t="s">
        <v>320</v>
      </c>
      <c r="D372" s="295"/>
      <c r="E372" s="277"/>
      <c r="F372" s="277"/>
      <c r="G372" s="311">
        <f t="shared" si="89"/>
        <v>0</v>
      </c>
      <c r="H372" s="311"/>
      <c r="I372" s="277"/>
      <c r="J372" s="277"/>
      <c r="K372" s="277"/>
      <c r="L372" s="277"/>
      <c r="M372" s="277"/>
      <c r="N372" s="277"/>
      <c r="O372" s="277"/>
      <c r="P372" s="277"/>
      <c r="Q372" s="277"/>
    </row>
    <row r="373" spans="1:17" ht="26.25" hidden="1" x14ac:dyDescent="0.25">
      <c r="A373" s="327">
        <v>5292</v>
      </c>
      <c r="B373" s="294">
        <v>454200</v>
      </c>
      <c r="C373" s="295" t="s">
        <v>321</v>
      </c>
      <c r="D373" s="295"/>
      <c r="E373" s="277"/>
      <c r="F373" s="277"/>
      <c r="G373" s="311">
        <f t="shared" si="89"/>
        <v>0</v>
      </c>
      <c r="H373" s="311"/>
      <c r="I373" s="277"/>
      <c r="J373" s="277"/>
      <c r="K373" s="277"/>
      <c r="L373" s="277"/>
      <c r="M373" s="277"/>
      <c r="N373" s="277"/>
      <c r="O373" s="277"/>
      <c r="P373" s="277"/>
      <c r="Q373" s="277"/>
    </row>
    <row r="374" spans="1:17" ht="39" x14ac:dyDescent="0.25">
      <c r="A374" s="498">
        <v>5293</v>
      </c>
      <c r="B374" s="494">
        <v>460000</v>
      </c>
      <c r="C374" s="287" t="s">
        <v>322</v>
      </c>
      <c r="D374" s="287"/>
      <c r="E374" s="288">
        <f>E379+E382+E385+E388+E391</f>
        <v>7410</v>
      </c>
      <c r="F374" s="288">
        <f t="shared" ref="F374:Q374" si="111">F379+F382+F385+F388+F391</f>
        <v>10080</v>
      </c>
      <c r="G374" s="288">
        <f t="shared" si="111"/>
        <v>7410</v>
      </c>
      <c r="H374" s="311">
        <f t="shared" si="111"/>
        <v>0</v>
      </c>
      <c r="I374" s="288">
        <f t="shared" si="111"/>
        <v>0</v>
      </c>
      <c r="J374" s="288">
        <f t="shared" si="111"/>
        <v>0</v>
      </c>
      <c r="K374" s="288">
        <f t="shared" si="111"/>
        <v>0</v>
      </c>
      <c r="L374" s="288">
        <f t="shared" si="111"/>
        <v>0</v>
      </c>
      <c r="M374" s="288">
        <f t="shared" si="111"/>
        <v>10080</v>
      </c>
      <c r="N374" s="288">
        <f t="shared" si="111"/>
        <v>7410</v>
      </c>
      <c r="O374" s="288">
        <f t="shared" si="111"/>
        <v>0</v>
      </c>
      <c r="P374" s="288">
        <f t="shared" si="111"/>
        <v>0</v>
      </c>
      <c r="Q374" s="288">
        <f t="shared" si="111"/>
        <v>0</v>
      </c>
    </row>
    <row r="375" spans="1:17" hidden="1" x14ac:dyDescent="0.25">
      <c r="A375" s="656" t="s">
        <v>0</v>
      </c>
      <c r="B375" s="657" t="s">
        <v>1</v>
      </c>
      <c r="C375" s="656" t="s">
        <v>2</v>
      </c>
      <c r="D375" s="492"/>
      <c r="E375" s="656" t="s">
        <v>217</v>
      </c>
      <c r="F375" s="492"/>
      <c r="G375" s="658" t="s">
        <v>198</v>
      </c>
      <c r="H375" s="658"/>
      <c r="I375" s="659"/>
      <c r="J375" s="659"/>
      <c r="K375" s="659"/>
      <c r="L375" s="659"/>
      <c r="M375" s="659"/>
      <c r="N375" s="659"/>
      <c r="O375" s="659"/>
      <c r="P375" s="659"/>
      <c r="Q375" s="659"/>
    </row>
    <row r="376" spans="1:17" hidden="1" x14ac:dyDescent="0.25">
      <c r="A376" s="656"/>
      <c r="B376" s="657"/>
      <c r="C376" s="656"/>
      <c r="D376" s="492"/>
      <c r="E376" s="656"/>
      <c r="F376" s="492"/>
      <c r="G376" s="658" t="s">
        <v>199</v>
      </c>
      <c r="H376" s="494"/>
      <c r="I376" s="658" t="s">
        <v>200</v>
      </c>
      <c r="J376" s="659"/>
      <c r="K376" s="659"/>
      <c r="L376" s="659"/>
      <c r="M376" s="659"/>
      <c r="N376" s="659"/>
      <c r="O376" s="658" t="s">
        <v>7</v>
      </c>
      <c r="P376" s="494"/>
      <c r="Q376" s="658" t="s">
        <v>8</v>
      </c>
    </row>
    <row r="377" spans="1:17" ht="39" hidden="1" x14ac:dyDescent="0.25">
      <c r="A377" s="656"/>
      <c r="B377" s="657"/>
      <c r="C377" s="656"/>
      <c r="D377" s="492"/>
      <c r="E377" s="656"/>
      <c r="F377" s="492"/>
      <c r="G377" s="659"/>
      <c r="H377" s="495"/>
      <c r="I377" s="494" t="s">
        <v>201</v>
      </c>
      <c r="J377" s="494" t="s">
        <v>10</v>
      </c>
      <c r="K377" s="494"/>
      <c r="L377" s="494" t="s">
        <v>11</v>
      </c>
      <c r="M377" s="494"/>
      <c r="N377" s="494" t="s">
        <v>12</v>
      </c>
      <c r="O377" s="659"/>
      <c r="P377" s="495"/>
      <c r="Q377" s="659"/>
    </row>
    <row r="378" spans="1:17" ht="26.25" hidden="1" x14ac:dyDescent="0.25">
      <c r="A378" s="493" t="s">
        <v>18</v>
      </c>
      <c r="B378" s="493" t="s">
        <v>19</v>
      </c>
      <c r="C378" s="493" t="s">
        <v>20</v>
      </c>
      <c r="D378" s="493"/>
      <c r="E378" s="493" t="s">
        <v>21</v>
      </c>
      <c r="F378" s="493"/>
      <c r="G378" s="493" t="s">
        <v>22</v>
      </c>
      <c r="H378" s="493"/>
      <c r="I378" s="493" t="s">
        <v>23</v>
      </c>
      <c r="J378" s="493" t="s">
        <v>24</v>
      </c>
      <c r="K378" s="493"/>
      <c r="L378" s="493" t="s">
        <v>25</v>
      </c>
      <c r="M378" s="493"/>
      <c r="N378" s="493" t="s">
        <v>26</v>
      </c>
      <c r="O378" s="493" t="s">
        <v>27</v>
      </c>
      <c r="P378" s="493"/>
      <c r="Q378" s="493" t="s">
        <v>28</v>
      </c>
    </row>
    <row r="379" spans="1:17" ht="26.25" hidden="1" x14ac:dyDescent="0.25">
      <c r="A379" s="498">
        <v>5294</v>
      </c>
      <c r="B379" s="494">
        <v>461000</v>
      </c>
      <c r="C379" s="287" t="s">
        <v>323</v>
      </c>
      <c r="D379" s="287"/>
      <c r="E379" s="288">
        <f>E380+E381</f>
        <v>0</v>
      </c>
      <c r="F379" s="288"/>
      <c r="G379" s="288">
        <f t="shared" si="89"/>
        <v>0</v>
      </c>
      <c r="H379" s="288"/>
      <c r="I379" s="288">
        <f t="shared" ref="I379:Q379" si="112">I380+I381</f>
        <v>0</v>
      </c>
      <c r="J379" s="288">
        <f t="shared" si="112"/>
        <v>0</v>
      </c>
      <c r="K379" s="288"/>
      <c r="L379" s="288">
        <f t="shared" si="112"/>
        <v>0</v>
      </c>
      <c r="M379" s="288"/>
      <c r="N379" s="288">
        <f t="shared" si="112"/>
        <v>0</v>
      </c>
      <c r="O379" s="288">
        <f t="shared" si="112"/>
        <v>0</v>
      </c>
      <c r="P379" s="288"/>
      <c r="Q379" s="288">
        <f t="shared" si="112"/>
        <v>0</v>
      </c>
    </row>
    <row r="380" spans="1:17" ht="26.25" hidden="1" x14ac:dyDescent="0.25">
      <c r="A380" s="327">
        <v>5295</v>
      </c>
      <c r="B380" s="294">
        <v>461100</v>
      </c>
      <c r="C380" s="295" t="s">
        <v>324</v>
      </c>
      <c r="D380" s="295"/>
      <c r="E380" s="277"/>
      <c r="F380" s="277"/>
      <c r="G380" s="311">
        <f t="shared" si="89"/>
        <v>0</v>
      </c>
      <c r="H380" s="311"/>
      <c r="I380" s="277"/>
      <c r="J380" s="277"/>
      <c r="K380" s="277"/>
      <c r="L380" s="277"/>
      <c r="M380" s="277"/>
      <c r="N380" s="277"/>
      <c r="O380" s="277"/>
      <c r="P380" s="277"/>
      <c r="Q380" s="277"/>
    </row>
    <row r="381" spans="1:17" ht="26.25" hidden="1" x14ac:dyDescent="0.25">
      <c r="A381" s="327">
        <v>5296</v>
      </c>
      <c r="B381" s="294">
        <v>461200</v>
      </c>
      <c r="C381" s="295" t="s">
        <v>325</v>
      </c>
      <c r="D381" s="295"/>
      <c r="E381" s="277"/>
      <c r="F381" s="277"/>
      <c r="G381" s="311">
        <f t="shared" si="89"/>
        <v>0</v>
      </c>
      <c r="H381" s="311"/>
      <c r="I381" s="277"/>
      <c r="J381" s="277"/>
      <c r="K381" s="277"/>
      <c r="L381" s="277"/>
      <c r="M381" s="277"/>
      <c r="N381" s="277"/>
      <c r="O381" s="277"/>
      <c r="P381" s="277"/>
      <c r="Q381" s="277"/>
    </row>
    <row r="382" spans="1:17" ht="39" hidden="1" x14ac:dyDescent="0.25">
      <c r="A382" s="498">
        <v>5297</v>
      </c>
      <c r="B382" s="494">
        <v>462000</v>
      </c>
      <c r="C382" s="287" t="s">
        <v>326</v>
      </c>
      <c r="D382" s="287"/>
      <c r="E382" s="288">
        <f>E383+E384</f>
        <v>0</v>
      </c>
      <c r="F382" s="288"/>
      <c r="G382" s="288">
        <f t="shared" si="89"/>
        <v>0</v>
      </c>
      <c r="H382" s="288"/>
      <c r="I382" s="288">
        <f t="shared" ref="I382:Q382" si="113">I383+I384</f>
        <v>0</v>
      </c>
      <c r="J382" s="288">
        <f t="shared" si="113"/>
        <v>0</v>
      </c>
      <c r="K382" s="288"/>
      <c r="L382" s="288">
        <f t="shared" si="113"/>
        <v>0</v>
      </c>
      <c r="M382" s="288"/>
      <c r="N382" s="288">
        <f t="shared" si="113"/>
        <v>0</v>
      </c>
      <c r="O382" s="288">
        <f t="shared" si="113"/>
        <v>0</v>
      </c>
      <c r="P382" s="288"/>
      <c r="Q382" s="288">
        <f t="shared" si="113"/>
        <v>0</v>
      </c>
    </row>
    <row r="383" spans="1:17" ht="26.25" hidden="1" x14ac:dyDescent="0.25">
      <c r="A383" s="327">
        <v>5298</v>
      </c>
      <c r="B383" s="294">
        <v>462100</v>
      </c>
      <c r="C383" s="295" t="s">
        <v>327</v>
      </c>
      <c r="D383" s="295"/>
      <c r="E383" s="277"/>
      <c r="F383" s="277"/>
      <c r="G383" s="311">
        <f t="shared" si="89"/>
        <v>0</v>
      </c>
      <c r="H383" s="311"/>
      <c r="I383" s="277"/>
      <c r="J383" s="277"/>
      <c r="K383" s="277"/>
      <c r="L383" s="277"/>
      <c r="M383" s="277"/>
      <c r="N383" s="277"/>
      <c r="O383" s="277"/>
      <c r="P383" s="277"/>
      <c r="Q383" s="277"/>
    </row>
    <row r="384" spans="1:17" ht="26.25" hidden="1" x14ac:dyDescent="0.25">
      <c r="A384" s="327">
        <v>5299</v>
      </c>
      <c r="B384" s="294">
        <v>462200</v>
      </c>
      <c r="C384" s="295" t="s">
        <v>328</v>
      </c>
      <c r="D384" s="295"/>
      <c r="E384" s="277"/>
      <c r="F384" s="277"/>
      <c r="G384" s="311">
        <f t="shared" si="89"/>
        <v>0</v>
      </c>
      <c r="H384" s="311"/>
      <c r="I384" s="277"/>
      <c r="J384" s="277"/>
      <c r="K384" s="277"/>
      <c r="L384" s="277"/>
      <c r="M384" s="277"/>
      <c r="N384" s="277"/>
      <c r="O384" s="277"/>
      <c r="P384" s="277"/>
      <c r="Q384" s="277"/>
    </row>
    <row r="385" spans="1:17" ht="39" hidden="1" x14ac:dyDescent="0.25">
      <c r="A385" s="498">
        <v>5300</v>
      </c>
      <c r="B385" s="494">
        <v>463000</v>
      </c>
      <c r="C385" s="287" t="s">
        <v>329</v>
      </c>
      <c r="D385" s="287"/>
      <c r="E385" s="288">
        <f>E386+E387</f>
        <v>0</v>
      </c>
      <c r="F385" s="288"/>
      <c r="G385" s="288">
        <f t="shared" ref="G385:G457" si="114">SUM(I385:Q385)</f>
        <v>0</v>
      </c>
      <c r="H385" s="288"/>
      <c r="I385" s="288">
        <f t="shared" ref="I385:Q385" si="115">I386+I387</f>
        <v>0</v>
      </c>
      <c r="J385" s="288">
        <f t="shared" si="115"/>
        <v>0</v>
      </c>
      <c r="K385" s="288"/>
      <c r="L385" s="288">
        <f t="shared" si="115"/>
        <v>0</v>
      </c>
      <c r="M385" s="288"/>
      <c r="N385" s="288">
        <f t="shared" si="115"/>
        <v>0</v>
      </c>
      <c r="O385" s="288">
        <f t="shared" si="115"/>
        <v>0</v>
      </c>
      <c r="P385" s="288"/>
      <c r="Q385" s="288">
        <f t="shared" si="115"/>
        <v>0</v>
      </c>
    </row>
    <row r="386" spans="1:17" ht="26.25" hidden="1" x14ac:dyDescent="0.25">
      <c r="A386" s="327">
        <v>5301</v>
      </c>
      <c r="B386" s="294">
        <v>463100</v>
      </c>
      <c r="C386" s="295" t="s">
        <v>330</v>
      </c>
      <c r="D386" s="295"/>
      <c r="E386" s="277"/>
      <c r="F386" s="277"/>
      <c r="G386" s="311">
        <f t="shared" si="114"/>
        <v>0</v>
      </c>
      <c r="H386" s="311"/>
      <c r="I386" s="277"/>
      <c r="J386" s="277"/>
      <c r="K386" s="277"/>
      <c r="L386" s="277"/>
      <c r="M386" s="277"/>
      <c r="N386" s="277"/>
      <c r="O386" s="277"/>
      <c r="P386" s="277"/>
      <c r="Q386" s="277"/>
    </row>
    <row r="387" spans="1:17" ht="26.25" hidden="1" x14ac:dyDescent="0.25">
      <c r="A387" s="327">
        <v>5302</v>
      </c>
      <c r="B387" s="294">
        <v>463200</v>
      </c>
      <c r="C387" s="295" t="s">
        <v>331</v>
      </c>
      <c r="D387" s="295"/>
      <c r="E387" s="277"/>
      <c r="F387" s="277"/>
      <c r="G387" s="311">
        <f t="shared" si="114"/>
        <v>0</v>
      </c>
      <c r="H387" s="311"/>
      <c r="I387" s="277"/>
      <c r="J387" s="277"/>
      <c r="K387" s="277"/>
      <c r="L387" s="277"/>
      <c r="M387" s="277"/>
      <c r="N387" s="277"/>
      <c r="O387" s="277"/>
      <c r="P387" s="277"/>
      <c r="Q387" s="277"/>
    </row>
    <row r="388" spans="1:17" ht="51.75" hidden="1" x14ac:dyDescent="0.25">
      <c r="A388" s="498">
        <v>5303</v>
      </c>
      <c r="B388" s="494">
        <v>464000</v>
      </c>
      <c r="C388" s="287" t="s">
        <v>332</v>
      </c>
      <c r="D388" s="287"/>
      <c r="E388" s="288">
        <f>E389+E390</f>
        <v>0</v>
      </c>
      <c r="F388" s="288"/>
      <c r="G388" s="288">
        <f t="shared" si="114"/>
        <v>0</v>
      </c>
      <c r="H388" s="288"/>
      <c r="I388" s="288">
        <f t="shared" ref="I388:Q388" si="116">I389+I390</f>
        <v>0</v>
      </c>
      <c r="J388" s="288">
        <f t="shared" si="116"/>
        <v>0</v>
      </c>
      <c r="K388" s="288"/>
      <c r="L388" s="288">
        <f t="shared" si="116"/>
        <v>0</v>
      </c>
      <c r="M388" s="288"/>
      <c r="N388" s="288">
        <f t="shared" si="116"/>
        <v>0</v>
      </c>
      <c r="O388" s="288">
        <f t="shared" si="116"/>
        <v>0</v>
      </c>
      <c r="P388" s="288"/>
      <c r="Q388" s="288">
        <f t="shared" si="116"/>
        <v>0</v>
      </c>
    </row>
    <row r="389" spans="1:17" ht="26.25" hidden="1" x14ac:dyDescent="0.25">
      <c r="A389" s="327">
        <v>5304</v>
      </c>
      <c r="B389" s="294">
        <v>464100</v>
      </c>
      <c r="C389" s="295" t="s">
        <v>333</v>
      </c>
      <c r="D389" s="295"/>
      <c r="E389" s="277"/>
      <c r="F389" s="277"/>
      <c r="G389" s="311">
        <f t="shared" si="114"/>
        <v>0</v>
      </c>
      <c r="H389" s="311"/>
      <c r="I389" s="277"/>
      <c r="J389" s="277"/>
      <c r="K389" s="277"/>
      <c r="L389" s="277"/>
      <c r="M389" s="277"/>
      <c r="N389" s="277"/>
      <c r="O389" s="277"/>
      <c r="P389" s="277"/>
      <c r="Q389" s="277"/>
    </row>
    <row r="390" spans="1:17" ht="39" hidden="1" x14ac:dyDescent="0.25">
      <c r="A390" s="327">
        <v>5305</v>
      </c>
      <c r="B390" s="294">
        <v>464200</v>
      </c>
      <c r="C390" s="295" t="s">
        <v>334</v>
      </c>
      <c r="D390" s="295"/>
      <c r="E390" s="277"/>
      <c r="F390" s="277"/>
      <c r="G390" s="311">
        <f t="shared" si="114"/>
        <v>0</v>
      </c>
      <c r="H390" s="311"/>
      <c r="I390" s="277"/>
      <c r="J390" s="277"/>
      <c r="K390" s="277"/>
      <c r="L390" s="277"/>
      <c r="M390" s="277"/>
      <c r="N390" s="277"/>
      <c r="O390" s="277"/>
      <c r="P390" s="277"/>
      <c r="Q390" s="277"/>
    </row>
    <row r="391" spans="1:17" ht="26.25" x14ac:dyDescent="0.25">
      <c r="A391" s="498">
        <v>5306</v>
      </c>
      <c r="B391" s="494">
        <v>465000</v>
      </c>
      <c r="C391" s="287" t="s">
        <v>335</v>
      </c>
      <c r="D391" s="287"/>
      <c r="E391" s="288">
        <f>E392+E393</f>
        <v>7410</v>
      </c>
      <c r="F391" s="288">
        <f t="shared" ref="F391:Q391" si="117">F392+F393</f>
        <v>10080</v>
      </c>
      <c r="G391" s="288">
        <f t="shared" si="117"/>
        <v>7410</v>
      </c>
      <c r="H391" s="288">
        <f t="shared" si="117"/>
        <v>0</v>
      </c>
      <c r="I391" s="288">
        <f t="shared" si="117"/>
        <v>0</v>
      </c>
      <c r="J391" s="288">
        <f t="shared" si="117"/>
        <v>0</v>
      </c>
      <c r="K391" s="288">
        <f t="shared" si="117"/>
        <v>0</v>
      </c>
      <c r="L391" s="288">
        <f t="shared" si="117"/>
        <v>0</v>
      </c>
      <c r="M391" s="288">
        <f t="shared" si="117"/>
        <v>10080</v>
      </c>
      <c r="N391" s="288">
        <f t="shared" si="117"/>
        <v>7410</v>
      </c>
      <c r="O391" s="288">
        <f t="shared" si="117"/>
        <v>0</v>
      </c>
      <c r="P391" s="288">
        <f t="shared" si="117"/>
        <v>0</v>
      </c>
      <c r="Q391" s="288">
        <f t="shared" si="117"/>
        <v>0</v>
      </c>
    </row>
    <row r="392" spans="1:17" ht="26.25" x14ac:dyDescent="0.25">
      <c r="A392" s="327">
        <v>5307</v>
      </c>
      <c r="B392" s="294">
        <v>465100</v>
      </c>
      <c r="C392" s="295" t="s">
        <v>336</v>
      </c>
      <c r="D392" s="295"/>
      <c r="E392" s="277">
        <v>7410</v>
      </c>
      <c r="F392" s="277">
        <f>H392+K392+M392+P392</f>
        <v>10080</v>
      </c>
      <c r="G392" s="311">
        <f t="shared" ref="G392" si="118">SUM(I392:Q392)-K392-M392-P392</f>
        <v>7410</v>
      </c>
      <c r="H392" s="311"/>
      <c r="I392" s="277"/>
      <c r="J392" s="277"/>
      <c r="K392" s="277"/>
      <c r="L392" s="277"/>
      <c r="M392" s="277">
        <v>10080</v>
      </c>
      <c r="N392" s="277">
        <v>7410</v>
      </c>
      <c r="O392" s="277"/>
      <c r="P392" s="277"/>
      <c r="Q392" s="277"/>
    </row>
    <row r="393" spans="1:17" ht="26.25" hidden="1" x14ac:dyDescent="0.25">
      <c r="A393" s="327">
        <v>5308</v>
      </c>
      <c r="B393" s="294">
        <v>465200</v>
      </c>
      <c r="C393" s="295" t="s">
        <v>337</v>
      </c>
      <c r="D393" s="295"/>
      <c r="E393" s="277"/>
      <c r="F393" s="277"/>
      <c r="G393" s="311">
        <f t="shared" si="114"/>
        <v>0</v>
      </c>
      <c r="H393" s="311"/>
      <c r="I393" s="277"/>
      <c r="J393" s="277"/>
      <c r="K393" s="277"/>
      <c r="L393" s="277"/>
      <c r="M393" s="277"/>
      <c r="N393" s="277"/>
      <c r="O393" s="277"/>
      <c r="P393" s="277"/>
      <c r="Q393" s="277"/>
    </row>
    <row r="394" spans="1:17" ht="39" hidden="1" x14ac:dyDescent="0.25">
      <c r="A394" s="498">
        <v>5309</v>
      </c>
      <c r="B394" s="494">
        <v>470000</v>
      </c>
      <c r="C394" s="287" t="s">
        <v>338</v>
      </c>
      <c r="D394" s="287"/>
      <c r="E394" s="288">
        <f>E395+E399</f>
        <v>0</v>
      </c>
      <c r="F394" s="288"/>
      <c r="G394" s="288">
        <f t="shared" si="114"/>
        <v>0</v>
      </c>
      <c r="H394" s="288"/>
      <c r="I394" s="288">
        <f t="shared" ref="I394:Q394" si="119">I395+I399</f>
        <v>0</v>
      </c>
      <c r="J394" s="288">
        <f t="shared" si="119"/>
        <v>0</v>
      </c>
      <c r="K394" s="288"/>
      <c r="L394" s="288">
        <f t="shared" si="119"/>
        <v>0</v>
      </c>
      <c r="M394" s="288"/>
      <c r="N394" s="288">
        <f t="shared" si="119"/>
        <v>0</v>
      </c>
      <c r="O394" s="288">
        <f t="shared" si="119"/>
        <v>0</v>
      </c>
      <c r="P394" s="288"/>
      <c r="Q394" s="288">
        <f t="shared" si="119"/>
        <v>0</v>
      </c>
    </row>
    <row r="395" spans="1:17" ht="64.5" hidden="1" x14ac:dyDescent="0.25">
      <c r="A395" s="498">
        <v>5310</v>
      </c>
      <c r="B395" s="494">
        <v>471000</v>
      </c>
      <c r="C395" s="287" t="s">
        <v>339</v>
      </c>
      <c r="D395" s="287"/>
      <c r="E395" s="288">
        <f>SUM(E396:E398)</f>
        <v>0</v>
      </c>
      <c r="F395" s="288"/>
      <c r="G395" s="288">
        <f t="shared" si="114"/>
        <v>0</v>
      </c>
      <c r="H395" s="288"/>
      <c r="I395" s="288">
        <f t="shared" ref="I395:Q395" si="120">SUM(I396:I398)</f>
        <v>0</v>
      </c>
      <c r="J395" s="288">
        <f t="shared" si="120"/>
        <v>0</v>
      </c>
      <c r="K395" s="288"/>
      <c r="L395" s="288">
        <f t="shared" si="120"/>
        <v>0</v>
      </c>
      <c r="M395" s="288"/>
      <c r="N395" s="288">
        <f t="shared" si="120"/>
        <v>0</v>
      </c>
      <c r="O395" s="288">
        <f t="shared" si="120"/>
        <v>0</v>
      </c>
      <c r="P395" s="288"/>
      <c r="Q395" s="288">
        <f t="shared" si="120"/>
        <v>0</v>
      </c>
    </row>
    <row r="396" spans="1:17" ht="39" hidden="1" x14ac:dyDescent="0.25">
      <c r="A396" s="327">
        <v>5311</v>
      </c>
      <c r="B396" s="294">
        <v>471100</v>
      </c>
      <c r="C396" s="295" t="s">
        <v>340</v>
      </c>
      <c r="D396" s="295"/>
      <c r="E396" s="277"/>
      <c r="F396" s="277"/>
      <c r="G396" s="311">
        <f t="shared" si="114"/>
        <v>0</v>
      </c>
      <c r="H396" s="311"/>
      <c r="I396" s="277"/>
      <c r="J396" s="277"/>
      <c r="K396" s="277"/>
      <c r="L396" s="277"/>
      <c r="M396" s="277"/>
      <c r="N396" s="277"/>
      <c r="O396" s="277"/>
      <c r="P396" s="277"/>
      <c r="Q396" s="277"/>
    </row>
    <row r="397" spans="1:17" ht="39" hidden="1" x14ac:dyDescent="0.25">
      <c r="A397" s="327">
        <v>5312</v>
      </c>
      <c r="B397" s="294">
        <v>471200</v>
      </c>
      <c r="C397" s="295" t="s">
        <v>341</v>
      </c>
      <c r="D397" s="295"/>
      <c r="E397" s="277"/>
      <c r="F397" s="277"/>
      <c r="G397" s="311">
        <f t="shared" si="114"/>
        <v>0</v>
      </c>
      <c r="H397" s="311"/>
      <c r="I397" s="277"/>
      <c r="J397" s="277"/>
      <c r="K397" s="277"/>
      <c r="L397" s="277"/>
      <c r="M397" s="277"/>
      <c r="N397" s="277"/>
      <c r="O397" s="277"/>
      <c r="P397" s="277"/>
      <c r="Q397" s="277"/>
    </row>
    <row r="398" spans="1:17" ht="51.75" hidden="1" x14ac:dyDescent="0.25">
      <c r="A398" s="327">
        <v>5313</v>
      </c>
      <c r="B398" s="294">
        <v>471900</v>
      </c>
      <c r="C398" s="295" t="s">
        <v>342</v>
      </c>
      <c r="D398" s="295"/>
      <c r="E398" s="277"/>
      <c r="F398" s="277"/>
      <c r="G398" s="311">
        <f t="shared" si="114"/>
        <v>0</v>
      </c>
      <c r="H398" s="311"/>
      <c r="I398" s="277"/>
      <c r="J398" s="277"/>
      <c r="K398" s="277"/>
      <c r="L398" s="277"/>
      <c r="M398" s="277"/>
      <c r="N398" s="277"/>
      <c r="O398" s="277"/>
      <c r="P398" s="277"/>
      <c r="Q398" s="277"/>
    </row>
    <row r="399" spans="1:17" ht="39" hidden="1" x14ac:dyDescent="0.25">
      <c r="A399" s="498">
        <v>5314</v>
      </c>
      <c r="B399" s="494">
        <v>472000</v>
      </c>
      <c r="C399" s="287" t="s">
        <v>343</v>
      </c>
      <c r="D399" s="287"/>
      <c r="E399" s="288">
        <f>SUM(E404:E412)</f>
        <v>0</v>
      </c>
      <c r="F399" s="288"/>
      <c r="G399" s="288">
        <f t="shared" si="114"/>
        <v>0</v>
      </c>
      <c r="H399" s="288"/>
      <c r="I399" s="288">
        <f t="shared" ref="I399:Q399" si="121">SUM(I404:I412)</f>
        <v>0</v>
      </c>
      <c r="J399" s="288">
        <f t="shared" si="121"/>
        <v>0</v>
      </c>
      <c r="K399" s="288"/>
      <c r="L399" s="288">
        <f t="shared" si="121"/>
        <v>0</v>
      </c>
      <c r="M399" s="288"/>
      <c r="N399" s="288">
        <f t="shared" si="121"/>
        <v>0</v>
      </c>
      <c r="O399" s="288">
        <f t="shared" si="121"/>
        <v>0</v>
      </c>
      <c r="P399" s="288"/>
      <c r="Q399" s="288">
        <f t="shared" si="121"/>
        <v>0</v>
      </c>
    </row>
    <row r="400" spans="1:17" hidden="1" x14ac:dyDescent="0.25">
      <c r="A400" s="656" t="s">
        <v>0</v>
      </c>
      <c r="B400" s="657" t="s">
        <v>1</v>
      </c>
      <c r="C400" s="656" t="s">
        <v>2</v>
      </c>
      <c r="D400" s="492"/>
      <c r="E400" s="656" t="s">
        <v>217</v>
      </c>
      <c r="F400" s="492"/>
      <c r="G400" s="658" t="s">
        <v>198</v>
      </c>
      <c r="H400" s="658"/>
      <c r="I400" s="659"/>
      <c r="J400" s="659"/>
      <c r="K400" s="659"/>
      <c r="L400" s="659"/>
      <c r="M400" s="659"/>
      <c r="N400" s="659"/>
      <c r="O400" s="659"/>
      <c r="P400" s="659"/>
      <c r="Q400" s="659"/>
    </row>
    <row r="401" spans="1:17" hidden="1" x14ac:dyDescent="0.25">
      <c r="A401" s="656"/>
      <c r="B401" s="657"/>
      <c r="C401" s="656"/>
      <c r="D401" s="492"/>
      <c r="E401" s="656"/>
      <c r="F401" s="492"/>
      <c r="G401" s="658" t="s">
        <v>199</v>
      </c>
      <c r="H401" s="494"/>
      <c r="I401" s="658" t="s">
        <v>200</v>
      </c>
      <c r="J401" s="659"/>
      <c r="K401" s="659"/>
      <c r="L401" s="659"/>
      <c r="M401" s="659"/>
      <c r="N401" s="659"/>
      <c r="O401" s="658" t="s">
        <v>7</v>
      </c>
      <c r="P401" s="494"/>
      <c r="Q401" s="658" t="s">
        <v>8</v>
      </c>
    </row>
    <row r="402" spans="1:17" ht="39" hidden="1" x14ac:dyDescent="0.25">
      <c r="A402" s="656"/>
      <c r="B402" s="657"/>
      <c r="C402" s="656"/>
      <c r="D402" s="492"/>
      <c r="E402" s="656"/>
      <c r="F402" s="492"/>
      <c r="G402" s="659"/>
      <c r="H402" s="495"/>
      <c r="I402" s="494" t="s">
        <v>201</v>
      </c>
      <c r="J402" s="494" t="s">
        <v>10</v>
      </c>
      <c r="K402" s="494"/>
      <c r="L402" s="494" t="s">
        <v>11</v>
      </c>
      <c r="M402" s="494"/>
      <c r="N402" s="494" t="s">
        <v>12</v>
      </c>
      <c r="O402" s="659"/>
      <c r="P402" s="495"/>
      <c r="Q402" s="659"/>
    </row>
    <row r="403" spans="1:17" ht="26.25" hidden="1" x14ac:dyDescent="0.25">
      <c r="A403" s="493" t="s">
        <v>18</v>
      </c>
      <c r="B403" s="493" t="s">
        <v>19</v>
      </c>
      <c r="C403" s="493" t="s">
        <v>20</v>
      </c>
      <c r="D403" s="493"/>
      <c r="E403" s="493" t="s">
        <v>21</v>
      </c>
      <c r="F403" s="493"/>
      <c r="G403" s="493" t="s">
        <v>22</v>
      </c>
      <c r="H403" s="493"/>
      <c r="I403" s="493" t="s">
        <v>23</v>
      </c>
      <c r="J403" s="493" t="s">
        <v>24</v>
      </c>
      <c r="K403" s="493"/>
      <c r="L403" s="493" t="s">
        <v>25</v>
      </c>
      <c r="M403" s="493"/>
      <c r="N403" s="493" t="s">
        <v>26</v>
      </c>
      <c r="O403" s="493" t="s">
        <v>27</v>
      </c>
      <c r="P403" s="493"/>
      <c r="Q403" s="493" t="s">
        <v>28</v>
      </c>
    </row>
    <row r="404" spans="1:17" ht="26.25" hidden="1" x14ac:dyDescent="0.25">
      <c r="A404" s="327">
        <v>5315</v>
      </c>
      <c r="B404" s="294">
        <v>472100</v>
      </c>
      <c r="C404" s="295" t="s">
        <v>344</v>
      </c>
      <c r="D404" s="295"/>
      <c r="E404" s="277"/>
      <c r="F404" s="277"/>
      <c r="G404" s="311">
        <f t="shared" si="114"/>
        <v>0</v>
      </c>
      <c r="H404" s="311"/>
      <c r="I404" s="277"/>
      <c r="J404" s="277"/>
      <c r="K404" s="277"/>
      <c r="L404" s="277"/>
      <c r="M404" s="277"/>
      <c r="N404" s="277"/>
      <c r="O404" s="277"/>
      <c r="P404" s="277"/>
      <c r="Q404" s="277"/>
    </row>
    <row r="405" spans="1:17" ht="26.25" hidden="1" x14ac:dyDescent="0.25">
      <c r="A405" s="327">
        <v>5316</v>
      </c>
      <c r="B405" s="294">
        <v>472200</v>
      </c>
      <c r="C405" s="295" t="s">
        <v>345</v>
      </c>
      <c r="D405" s="295"/>
      <c r="E405" s="277"/>
      <c r="F405" s="277"/>
      <c r="G405" s="311">
        <f t="shared" si="114"/>
        <v>0</v>
      </c>
      <c r="H405" s="311"/>
      <c r="I405" s="277"/>
      <c r="J405" s="277"/>
      <c r="K405" s="277"/>
      <c r="L405" s="277"/>
      <c r="M405" s="277"/>
      <c r="N405" s="277"/>
      <c r="O405" s="277"/>
      <c r="P405" s="277"/>
      <c r="Q405" s="277"/>
    </row>
    <row r="406" spans="1:17" ht="26.25" hidden="1" x14ac:dyDescent="0.25">
      <c r="A406" s="327">
        <v>5317</v>
      </c>
      <c r="B406" s="294">
        <v>472300</v>
      </c>
      <c r="C406" s="295" t="s">
        <v>346</v>
      </c>
      <c r="D406" s="295"/>
      <c r="E406" s="277"/>
      <c r="F406" s="277"/>
      <c r="G406" s="311">
        <f t="shared" si="114"/>
        <v>0</v>
      </c>
      <c r="H406" s="311"/>
      <c r="I406" s="277"/>
      <c r="J406" s="277"/>
      <c r="K406" s="277"/>
      <c r="L406" s="277"/>
      <c r="M406" s="277"/>
      <c r="N406" s="277"/>
      <c r="O406" s="277"/>
      <c r="P406" s="277"/>
      <c r="Q406" s="277"/>
    </row>
    <row r="407" spans="1:17" ht="26.25" hidden="1" x14ac:dyDescent="0.25">
      <c r="A407" s="327">
        <v>5318</v>
      </c>
      <c r="B407" s="294">
        <v>472400</v>
      </c>
      <c r="C407" s="295" t="s">
        <v>347</v>
      </c>
      <c r="D407" s="295"/>
      <c r="E407" s="277"/>
      <c r="F407" s="277"/>
      <c r="G407" s="311">
        <f t="shared" si="114"/>
        <v>0</v>
      </c>
      <c r="H407" s="311"/>
      <c r="I407" s="277"/>
      <c r="J407" s="277"/>
      <c r="K407" s="277"/>
      <c r="L407" s="277"/>
      <c r="M407" s="277"/>
      <c r="N407" s="277"/>
      <c r="O407" s="277"/>
      <c r="P407" s="277"/>
      <c r="Q407" s="277"/>
    </row>
    <row r="408" spans="1:17" ht="26.25" hidden="1" x14ac:dyDescent="0.25">
      <c r="A408" s="327">
        <v>5319</v>
      </c>
      <c r="B408" s="294">
        <v>472500</v>
      </c>
      <c r="C408" s="295" t="s">
        <v>348</v>
      </c>
      <c r="D408" s="295"/>
      <c r="E408" s="277"/>
      <c r="F408" s="277"/>
      <c r="G408" s="311">
        <f t="shared" si="114"/>
        <v>0</v>
      </c>
      <c r="H408" s="311"/>
      <c r="I408" s="277"/>
      <c r="J408" s="277"/>
      <c r="K408" s="277"/>
      <c r="L408" s="277"/>
      <c r="M408" s="277"/>
      <c r="N408" s="277"/>
      <c r="O408" s="277"/>
      <c r="P408" s="277"/>
      <c r="Q408" s="277"/>
    </row>
    <row r="409" spans="1:17" ht="26.25" hidden="1" x14ac:dyDescent="0.25">
      <c r="A409" s="327">
        <v>5320</v>
      </c>
      <c r="B409" s="294">
        <v>472600</v>
      </c>
      <c r="C409" s="295" t="s">
        <v>349</v>
      </c>
      <c r="D409" s="295"/>
      <c r="E409" s="277"/>
      <c r="F409" s="277"/>
      <c r="G409" s="311">
        <f t="shared" si="114"/>
        <v>0</v>
      </c>
      <c r="H409" s="311"/>
      <c r="I409" s="277"/>
      <c r="J409" s="277"/>
      <c r="K409" s="277"/>
      <c r="L409" s="277"/>
      <c r="M409" s="277"/>
      <c r="N409" s="277"/>
      <c r="O409" s="277"/>
      <c r="P409" s="277"/>
      <c r="Q409" s="277"/>
    </row>
    <row r="410" spans="1:17" ht="26.25" hidden="1" x14ac:dyDescent="0.25">
      <c r="A410" s="327">
        <v>5321</v>
      </c>
      <c r="B410" s="294">
        <v>472700</v>
      </c>
      <c r="C410" s="295" t="s">
        <v>350</v>
      </c>
      <c r="D410" s="295"/>
      <c r="E410" s="277"/>
      <c r="F410" s="277"/>
      <c r="G410" s="311">
        <f t="shared" si="114"/>
        <v>0</v>
      </c>
      <c r="H410" s="311"/>
      <c r="I410" s="277"/>
      <c r="J410" s="277"/>
      <c r="K410" s="277"/>
      <c r="L410" s="277"/>
      <c r="M410" s="277"/>
      <c r="N410" s="277"/>
      <c r="O410" s="277"/>
      <c r="P410" s="277"/>
      <c r="Q410" s="277"/>
    </row>
    <row r="411" spans="1:17" ht="26.25" hidden="1" x14ac:dyDescent="0.25">
      <c r="A411" s="327">
        <v>5322</v>
      </c>
      <c r="B411" s="294">
        <v>472800</v>
      </c>
      <c r="C411" s="295" t="s">
        <v>351</v>
      </c>
      <c r="D411" s="295"/>
      <c r="E411" s="277"/>
      <c r="F411" s="277"/>
      <c r="G411" s="311">
        <f t="shared" si="114"/>
        <v>0</v>
      </c>
      <c r="H411" s="311"/>
      <c r="I411" s="277"/>
      <c r="J411" s="277"/>
      <c r="K411" s="277"/>
      <c r="L411" s="277"/>
      <c r="M411" s="277"/>
      <c r="N411" s="277"/>
      <c r="O411" s="277"/>
      <c r="P411" s="277"/>
      <c r="Q411" s="277"/>
    </row>
    <row r="412" spans="1:17" hidden="1" x14ac:dyDescent="0.25">
      <c r="A412" s="327">
        <v>5323</v>
      </c>
      <c r="B412" s="294">
        <v>472900</v>
      </c>
      <c r="C412" s="295" t="s">
        <v>352</v>
      </c>
      <c r="D412" s="295"/>
      <c r="E412" s="277"/>
      <c r="F412" s="277"/>
      <c r="G412" s="311">
        <f t="shared" si="114"/>
        <v>0</v>
      </c>
      <c r="H412" s="311"/>
      <c r="I412" s="277"/>
      <c r="J412" s="277"/>
      <c r="K412" s="277"/>
      <c r="L412" s="277"/>
      <c r="M412" s="277"/>
      <c r="N412" s="277"/>
      <c r="O412" s="277"/>
      <c r="P412" s="277"/>
      <c r="Q412" s="277"/>
    </row>
    <row r="413" spans="1:17" ht="39" x14ac:dyDescent="0.25">
      <c r="A413" s="498">
        <v>5324</v>
      </c>
      <c r="B413" s="494">
        <v>480000</v>
      </c>
      <c r="C413" s="287" t="s">
        <v>353</v>
      </c>
      <c r="D413" s="287"/>
      <c r="E413" s="288">
        <f>E414+E417+E421+E423+E426+E432</f>
        <v>125</v>
      </c>
      <c r="F413" s="288">
        <f t="shared" ref="F413:Q413" si="122">F414+F417+F421+F423+F426+F432</f>
        <v>300</v>
      </c>
      <c r="G413" s="288">
        <f t="shared" si="122"/>
        <v>118</v>
      </c>
      <c r="H413" s="288">
        <f t="shared" si="122"/>
        <v>0</v>
      </c>
      <c r="I413" s="288">
        <f t="shared" si="122"/>
        <v>0</v>
      </c>
      <c r="J413" s="288">
        <f t="shared" si="122"/>
        <v>0</v>
      </c>
      <c r="K413" s="288">
        <f t="shared" si="122"/>
        <v>0</v>
      </c>
      <c r="L413" s="288">
        <f t="shared" si="122"/>
        <v>0</v>
      </c>
      <c r="M413" s="288">
        <f t="shared" si="122"/>
        <v>0</v>
      </c>
      <c r="N413" s="288">
        <f t="shared" si="122"/>
        <v>8</v>
      </c>
      <c r="O413" s="288">
        <f t="shared" si="122"/>
        <v>0</v>
      </c>
      <c r="P413" s="288">
        <f t="shared" si="122"/>
        <v>300</v>
      </c>
      <c r="Q413" s="288">
        <f t="shared" si="122"/>
        <v>100</v>
      </c>
    </row>
    <row r="414" spans="1:17" ht="39" x14ac:dyDescent="0.25">
      <c r="A414" s="498">
        <v>5325</v>
      </c>
      <c r="B414" s="494">
        <v>481000</v>
      </c>
      <c r="C414" s="287" t="s">
        <v>354</v>
      </c>
      <c r="D414" s="287"/>
      <c r="E414" s="288">
        <f>E415+E416</f>
        <v>35</v>
      </c>
      <c r="F414" s="288">
        <f t="shared" ref="F414:Q414" si="123">F415+F416</f>
        <v>35</v>
      </c>
      <c r="G414" s="288">
        <f t="shared" si="123"/>
        <v>35</v>
      </c>
      <c r="H414" s="288">
        <f t="shared" si="123"/>
        <v>0</v>
      </c>
      <c r="I414" s="288">
        <f t="shared" si="123"/>
        <v>0</v>
      </c>
      <c r="J414" s="288">
        <f t="shared" si="123"/>
        <v>0</v>
      </c>
      <c r="K414" s="288">
        <f t="shared" si="123"/>
        <v>0</v>
      </c>
      <c r="L414" s="288">
        <f t="shared" si="123"/>
        <v>0</v>
      </c>
      <c r="M414" s="288">
        <f t="shared" si="123"/>
        <v>0</v>
      </c>
      <c r="N414" s="288">
        <f t="shared" si="123"/>
        <v>0</v>
      </c>
      <c r="O414" s="288">
        <f t="shared" si="123"/>
        <v>0</v>
      </c>
      <c r="P414" s="288">
        <f t="shared" si="123"/>
        <v>35</v>
      </c>
      <c r="Q414" s="288">
        <f t="shared" si="123"/>
        <v>35</v>
      </c>
    </row>
    <row r="415" spans="1:17" ht="39" hidden="1" x14ac:dyDescent="0.25">
      <c r="A415" s="327">
        <v>5326</v>
      </c>
      <c r="B415" s="294">
        <v>481100</v>
      </c>
      <c r="C415" s="295" t="s">
        <v>355</v>
      </c>
      <c r="D415" s="295"/>
      <c r="E415" s="277"/>
      <c r="F415" s="277"/>
      <c r="G415" s="311">
        <f t="shared" si="114"/>
        <v>0</v>
      </c>
      <c r="H415" s="311"/>
      <c r="I415" s="277"/>
      <c r="J415" s="277"/>
      <c r="K415" s="277"/>
      <c r="L415" s="277"/>
      <c r="M415" s="277"/>
      <c r="N415" s="277"/>
      <c r="O415" s="277"/>
      <c r="P415" s="277"/>
      <c r="Q415" s="277"/>
    </row>
    <row r="416" spans="1:17" ht="26.25" x14ac:dyDescent="0.25">
      <c r="A416" s="327">
        <v>5327</v>
      </c>
      <c r="B416" s="294">
        <v>481900</v>
      </c>
      <c r="C416" s="295" t="s">
        <v>356</v>
      </c>
      <c r="D416" s="295"/>
      <c r="E416" s="277">
        <v>35</v>
      </c>
      <c r="F416" s="277">
        <f>H416+K416+M416+P416</f>
        <v>35</v>
      </c>
      <c r="G416" s="311">
        <f t="shared" ref="G416" si="124">SUM(I416:Q416)-K416-M416-P416</f>
        <v>35</v>
      </c>
      <c r="H416" s="311"/>
      <c r="I416" s="277"/>
      <c r="J416" s="277"/>
      <c r="K416" s="277"/>
      <c r="L416" s="277"/>
      <c r="M416" s="277"/>
      <c r="N416" s="277"/>
      <c r="O416" s="277"/>
      <c r="P416" s="277">
        <v>35</v>
      </c>
      <c r="Q416" s="277">
        <v>35</v>
      </c>
    </row>
    <row r="417" spans="1:22" ht="39" x14ac:dyDescent="0.25">
      <c r="A417" s="498">
        <v>5328</v>
      </c>
      <c r="B417" s="494">
        <v>482000</v>
      </c>
      <c r="C417" s="287" t="s">
        <v>357</v>
      </c>
      <c r="D417" s="287"/>
      <c r="E417" s="288">
        <f>SUM(E418:E420)</f>
        <v>70</v>
      </c>
      <c r="F417" s="288">
        <f t="shared" ref="F417:Q417" si="125">SUM(F418:F420)</f>
        <v>65</v>
      </c>
      <c r="G417" s="288">
        <f t="shared" si="125"/>
        <v>68</v>
      </c>
      <c r="H417" s="288">
        <f t="shared" si="125"/>
        <v>0</v>
      </c>
      <c r="I417" s="288">
        <f t="shared" si="125"/>
        <v>0</v>
      </c>
      <c r="J417" s="288">
        <f t="shared" si="125"/>
        <v>0</v>
      </c>
      <c r="K417" s="288">
        <f t="shared" si="125"/>
        <v>0</v>
      </c>
      <c r="L417" s="288">
        <f t="shared" si="125"/>
        <v>0</v>
      </c>
      <c r="M417" s="288">
        <f t="shared" si="125"/>
        <v>0</v>
      </c>
      <c r="N417" s="288">
        <f t="shared" si="125"/>
        <v>8</v>
      </c>
      <c r="O417" s="288">
        <f t="shared" si="125"/>
        <v>0</v>
      </c>
      <c r="P417" s="288">
        <f t="shared" si="125"/>
        <v>65</v>
      </c>
      <c r="Q417" s="288">
        <f t="shared" si="125"/>
        <v>50</v>
      </c>
    </row>
    <row r="418" spans="1:22" x14ac:dyDescent="0.25">
      <c r="A418" s="327">
        <v>5329</v>
      </c>
      <c r="B418" s="294">
        <v>482100</v>
      </c>
      <c r="C418" s="295" t="s">
        <v>358</v>
      </c>
      <c r="D418" s="295"/>
      <c r="E418" s="277">
        <v>20</v>
      </c>
      <c r="F418" s="277">
        <f>H418+K418+M418+P418</f>
        <v>30</v>
      </c>
      <c r="G418" s="311">
        <f t="shared" ref="G418:G419" si="126">SUM(I418:Q418)-K418-M418-P418</f>
        <v>17</v>
      </c>
      <c r="H418" s="311"/>
      <c r="I418" s="277"/>
      <c r="J418" s="277"/>
      <c r="K418" s="277"/>
      <c r="L418" s="277"/>
      <c r="M418" s="277"/>
      <c r="N418" s="277">
        <v>8</v>
      </c>
      <c r="O418" s="277"/>
      <c r="P418" s="277">
        <v>30</v>
      </c>
      <c r="Q418" s="277">
        <v>9</v>
      </c>
    </row>
    <row r="419" spans="1:22" x14ac:dyDescent="0.25">
      <c r="A419" s="327">
        <v>5330</v>
      </c>
      <c r="B419" s="294">
        <v>482200</v>
      </c>
      <c r="C419" s="295" t="s">
        <v>359</v>
      </c>
      <c r="D419" s="295"/>
      <c r="E419" s="277">
        <v>50</v>
      </c>
      <c r="F419" s="277">
        <f>H419+K419+M419+P419</f>
        <v>25</v>
      </c>
      <c r="G419" s="311">
        <f t="shared" si="126"/>
        <v>41</v>
      </c>
      <c r="H419" s="311"/>
      <c r="I419" s="277"/>
      <c r="J419" s="277"/>
      <c r="K419" s="277"/>
      <c r="L419" s="277"/>
      <c r="M419" s="277"/>
      <c r="N419" s="277"/>
      <c r="O419" s="277"/>
      <c r="P419" s="277">
        <v>25</v>
      </c>
      <c r="Q419" s="277">
        <v>41</v>
      </c>
      <c r="V419" s="281" t="s">
        <v>539</v>
      </c>
    </row>
    <row r="420" spans="1:22" x14ac:dyDescent="0.25">
      <c r="A420" s="327">
        <v>5331</v>
      </c>
      <c r="B420" s="294">
        <v>482300</v>
      </c>
      <c r="C420" s="295" t="s">
        <v>360</v>
      </c>
      <c r="D420" s="295"/>
      <c r="E420" s="277"/>
      <c r="F420" s="277">
        <f>H420+K420+M420+P420</f>
        <v>10</v>
      </c>
      <c r="G420" s="311">
        <f t="shared" si="114"/>
        <v>10</v>
      </c>
      <c r="H420" s="311"/>
      <c r="I420" s="277"/>
      <c r="J420" s="277"/>
      <c r="K420" s="277"/>
      <c r="L420" s="277"/>
      <c r="M420" s="277"/>
      <c r="N420" s="277"/>
      <c r="O420" s="277"/>
      <c r="P420" s="277">
        <v>10</v>
      </c>
      <c r="Q420" s="277"/>
    </row>
    <row r="421" spans="1:22" ht="26.25" x14ac:dyDescent="0.25">
      <c r="A421" s="498">
        <v>5332</v>
      </c>
      <c r="B421" s="494">
        <v>483000</v>
      </c>
      <c r="C421" s="287" t="s">
        <v>361</v>
      </c>
      <c r="D421" s="287"/>
      <c r="E421" s="288">
        <f>E422</f>
        <v>20</v>
      </c>
      <c r="F421" s="288">
        <f t="shared" ref="F421:Q421" si="127">F422</f>
        <v>200</v>
      </c>
      <c r="G421" s="288">
        <f t="shared" si="127"/>
        <v>15</v>
      </c>
      <c r="H421" s="288">
        <f t="shared" si="127"/>
        <v>0</v>
      </c>
      <c r="I421" s="288">
        <f t="shared" si="127"/>
        <v>0</v>
      </c>
      <c r="J421" s="288">
        <f t="shared" si="127"/>
        <v>0</v>
      </c>
      <c r="K421" s="288">
        <f t="shared" si="127"/>
        <v>0</v>
      </c>
      <c r="L421" s="288">
        <f t="shared" si="127"/>
        <v>0</v>
      </c>
      <c r="M421" s="288">
        <f t="shared" si="127"/>
        <v>0</v>
      </c>
      <c r="N421" s="288">
        <f t="shared" si="127"/>
        <v>0</v>
      </c>
      <c r="O421" s="288">
        <f t="shared" si="127"/>
        <v>0</v>
      </c>
      <c r="P421" s="288">
        <f t="shared" si="127"/>
        <v>200</v>
      </c>
      <c r="Q421" s="288">
        <f t="shared" si="127"/>
        <v>15</v>
      </c>
    </row>
    <row r="422" spans="1:22" ht="26.25" x14ac:dyDescent="0.25">
      <c r="A422" s="327">
        <v>5333</v>
      </c>
      <c r="B422" s="294">
        <v>483100</v>
      </c>
      <c r="C422" s="295" t="s">
        <v>362</v>
      </c>
      <c r="D422" s="295"/>
      <c r="E422" s="277">
        <v>20</v>
      </c>
      <c r="F422" s="277">
        <f>H422+K422+M422+P422</f>
        <v>200</v>
      </c>
      <c r="G422" s="311">
        <f t="shared" ref="G422" si="128">SUM(I422:Q422)-K422-M422-P422</f>
        <v>15</v>
      </c>
      <c r="H422" s="311"/>
      <c r="I422" s="277"/>
      <c r="J422" s="277"/>
      <c r="K422" s="277"/>
      <c r="L422" s="277"/>
      <c r="M422" s="277"/>
      <c r="N422" s="277"/>
      <c r="O422" s="277"/>
      <c r="P422" s="277">
        <v>200</v>
      </c>
      <c r="Q422" s="277">
        <v>15</v>
      </c>
    </row>
    <row r="423" spans="1:22" ht="77.25" hidden="1" x14ac:dyDescent="0.25">
      <c r="A423" s="498">
        <v>5334</v>
      </c>
      <c r="B423" s="494">
        <v>484000</v>
      </c>
      <c r="C423" s="287" t="s">
        <v>363</v>
      </c>
      <c r="D423" s="287"/>
      <c r="E423" s="288">
        <f>E424+E425</f>
        <v>0</v>
      </c>
      <c r="F423" s="288"/>
      <c r="G423" s="288">
        <f t="shared" si="114"/>
        <v>0</v>
      </c>
      <c r="H423" s="288"/>
      <c r="I423" s="288">
        <f t="shared" ref="I423:Q423" si="129">I424+I425</f>
        <v>0</v>
      </c>
      <c r="J423" s="288">
        <f t="shared" si="129"/>
        <v>0</v>
      </c>
      <c r="K423" s="288"/>
      <c r="L423" s="288">
        <f t="shared" si="129"/>
        <v>0</v>
      </c>
      <c r="M423" s="288"/>
      <c r="N423" s="288">
        <f t="shared" si="129"/>
        <v>0</v>
      </c>
      <c r="O423" s="288">
        <f t="shared" si="129"/>
        <v>0</v>
      </c>
      <c r="P423" s="288"/>
      <c r="Q423" s="288">
        <f t="shared" si="129"/>
        <v>0</v>
      </c>
    </row>
    <row r="424" spans="1:22" ht="39" hidden="1" x14ac:dyDescent="0.25">
      <c r="A424" s="327">
        <v>5335</v>
      </c>
      <c r="B424" s="294">
        <v>484100</v>
      </c>
      <c r="C424" s="295" t="s">
        <v>364</v>
      </c>
      <c r="D424" s="295"/>
      <c r="E424" s="277"/>
      <c r="F424" s="277"/>
      <c r="G424" s="311">
        <f t="shared" si="114"/>
        <v>0</v>
      </c>
      <c r="H424" s="311"/>
      <c r="I424" s="277"/>
      <c r="J424" s="277"/>
      <c r="K424" s="277"/>
      <c r="L424" s="277"/>
      <c r="M424" s="277"/>
      <c r="N424" s="277"/>
      <c r="O424" s="277"/>
      <c r="P424" s="277"/>
      <c r="Q424" s="277"/>
    </row>
    <row r="425" spans="1:22" hidden="1" x14ac:dyDescent="0.25">
      <c r="A425" s="327">
        <v>5336</v>
      </c>
      <c r="B425" s="294">
        <v>484200</v>
      </c>
      <c r="C425" s="295" t="s">
        <v>365</v>
      </c>
      <c r="D425" s="295"/>
      <c r="E425" s="277"/>
      <c r="F425" s="277"/>
      <c r="G425" s="311">
        <f t="shared" si="114"/>
        <v>0</v>
      </c>
      <c r="H425" s="311"/>
      <c r="I425" s="277"/>
      <c r="J425" s="277"/>
      <c r="K425" s="277"/>
      <c r="L425" s="277"/>
      <c r="M425" s="277"/>
      <c r="N425" s="277"/>
      <c r="O425" s="277"/>
      <c r="P425" s="277"/>
      <c r="Q425" s="277"/>
    </row>
    <row r="426" spans="1:22" ht="51.75" hidden="1" x14ac:dyDescent="0.25">
      <c r="A426" s="498">
        <v>5337</v>
      </c>
      <c r="B426" s="494">
        <v>485000</v>
      </c>
      <c r="C426" s="287" t="s">
        <v>366</v>
      </c>
      <c r="D426" s="287"/>
      <c r="E426" s="288">
        <f>E427</f>
        <v>0</v>
      </c>
      <c r="F426" s="288"/>
      <c r="G426" s="288">
        <f t="shared" si="114"/>
        <v>0</v>
      </c>
      <c r="H426" s="288"/>
      <c r="I426" s="288">
        <f t="shared" ref="I426:Q426" si="130">I427</f>
        <v>0</v>
      </c>
      <c r="J426" s="288">
        <f t="shared" si="130"/>
        <v>0</v>
      </c>
      <c r="K426" s="288"/>
      <c r="L426" s="288">
        <f t="shared" si="130"/>
        <v>0</v>
      </c>
      <c r="M426" s="288"/>
      <c r="N426" s="288">
        <f t="shared" si="130"/>
        <v>0</v>
      </c>
      <c r="O426" s="288">
        <f t="shared" si="130"/>
        <v>0</v>
      </c>
      <c r="P426" s="288"/>
      <c r="Q426" s="288">
        <f t="shared" si="130"/>
        <v>0</v>
      </c>
    </row>
    <row r="427" spans="1:22" ht="39" hidden="1" x14ac:dyDescent="0.25">
      <c r="A427" s="327">
        <v>5338</v>
      </c>
      <c r="B427" s="294">
        <v>485100</v>
      </c>
      <c r="C427" s="295" t="s">
        <v>367</v>
      </c>
      <c r="D427" s="295"/>
      <c r="E427" s="277"/>
      <c r="F427" s="277"/>
      <c r="G427" s="311">
        <f t="shared" si="114"/>
        <v>0</v>
      </c>
      <c r="H427" s="311"/>
      <c r="I427" s="277"/>
      <c r="J427" s="277"/>
      <c r="K427" s="277"/>
      <c r="L427" s="277"/>
      <c r="M427" s="277"/>
      <c r="N427" s="277"/>
      <c r="O427" s="277"/>
      <c r="P427" s="277"/>
      <c r="Q427" s="277"/>
    </row>
    <row r="428" spans="1:22" hidden="1" x14ac:dyDescent="0.25">
      <c r="A428" s="656" t="s">
        <v>0</v>
      </c>
      <c r="B428" s="657" t="s">
        <v>1</v>
      </c>
      <c r="C428" s="656" t="s">
        <v>2</v>
      </c>
      <c r="D428" s="492"/>
      <c r="E428" s="656" t="s">
        <v>217</v>
      </c>
      <c r="F428" s="492"/>
      <c r="G428" s="658" t="s">
        <v>198</v>
      </c>
      <c r="H428" s="658"/>
      <c r="I428" s="659"/>
      <c r="J428" s="659"/>
      <c r="K428" s="659"/>
      <c r="L428" s="659"/>
      <c r="M428" s="659"/>
      <c r="N428" s="659"/>
      <c r="O428" s="659"/>
      <c r="P428" s="659"/>
      <c r="Q428" s="659"/>
    </row>
    <row r="429" spans="1:22" hidden="1" x14ac:dyDescent="0.25">
      <c r="A429" s="656"/>
      <c r="B429" s="657"/>
      <c r="C429" s="656"/>
      <c r="D429" s="492"/>
      <c r="E429" s="656"/>
      <c r="F429" s="492"/>
      <c r="G429" s="658" t="s">
        <v>199</v>
      </c>
      <c r="H429" s="494"/>
      <c r="I429" s="658" t="s">
        <v>200</v>
      </c>
      <c r="J429" s="659"/>
      <c r="K429" s="659"/>
      <c r="L429" s="659"/>
      <c r="M429" s="659"/>
      <c r="N429" s="659"/>
      <c r="O429" s="658" t="s">
        <v>7</v>
      </c>
      <c r="P429" s="494"/>
      <c r="Q429" s="658" t="s">
        <v>8</v>
      </c>
    </row>
    <row r="430" spans="1:22" ht="39" hidden="1" x14ac:dyDescent="0.25">
      <c r="A430" s="656"/>
      <c r="B430" s="657"/>
      <c r="C430" s="656"/>
      <c r="D430" s="492"/>
      <c r="E430" s="656"/>
      <c r="F430" s="492"/>
      <c r="G430" s="659"/>
      <c r="H430" s="495"/>
      <c r="I430" s="494" t="s">
        <v>201</v>
      </c>
      <c r="J430" s="494" t="s">
        <v>10</v>
      </c>
      <c r="K430" s="494"/>
      <c r="L430" s="494" t="s">
        <v>11</v>
      </c>
      <c r="M430" s="494"/>
      <c r="N430" s="494" t="s">
        <v>12</v>
      </c>
      <c r="O430" s="659"/>
      <c r="P430" s="495"/>
      <c r="Q430" s="659"/>
    </row>
    <row r="431" spans="1:22" ht="26.25" hidden="1" x14ac:dyDescent="0.25">
      <c r="A431" s="493" t="s">
        <v>18</v>
      </c>
      <c r="B431" s="493" t="s">
        <v>19</v>
      </c>
      <c r="C431" s="493" t="s">
        <v>20</v>
      </c>
      <c r="D431" s="493"/>
      <c r="E431" s="493" t="s">
        <v>21</v>
      </c>
      <c r="F431" s="493"/>
      <c r="G431" s="493" t="s">
        <v>22</v>
      </c>
      <c r="H431" s="493"/>
      <c r="I431" s="493" t="s">
        <v>23</v>
      </c>
      <c r="J431" s="493" t="s">
        <v>24</v>
      </c>
      <c r="K431" s="493"/>
      <c r="L431" s="493" t="s">
        <v>25</v>
      </c>
      <c r="M431" s="493"/>
      <c r="N431" s="493" t="s">
        <v>26</v>
      </c>
      <c r="O431" s="493" t="s">
        <v>27</v>
      </c>
      <c r="P431" s="493"/>
      <c r="Q431" s="493" t="s">
        <v>28</v>
      </c>
    </row>
    <row r="432" spans="1:22" ht="90" hidden="1" x14ac:dyDescent="0.25">
      <c r="A432" s="498">
        <v>5339</v>
      </c>
      <c r="B432" s="494">
        <v>489000</v>
      </c>
      <c r="C432" s="287" t="s">
        <v>368</v>
      </c>
      <c r="D432" s="287"/>
      <c r="E432" s="288">
        <f>E433</f>
        <v>0</v>
      </c>
      <c r="F432" s="288"/>
      <c r="G432" s="288">
        <f t="shared" si="114"/>
        <v>0</v>
      </c>
      <c r="H432" s="288"/>
      <c r="I432" s="288">
        <f t="shared" ref="I432:Q432" si="131">I433</f>
        <v>0</v>
      </c>
      <c r="J432" s="288">
        <f t="shared" si="131"/>
        <v>0</v>
      </c>
      <c r="K432" s="288"/>
      <c r="L432" s="288">
        <f t="shared" si="131"/>
        <v>0</v>
      </c>
      <c r="M432" s="288"/>
      <c r="N432" s="288">
        <f t="shared" si="131"/>
        <v>0</v>
      </c>
      <c r="O432" s="288">
        <f t="shared" si="131"/>
        <v>0</v>
      </c>
      <c r="P432" s="288"/>
      <c r="Q432" s="288">
        <f t="shared" si="131"/>
        <v>0</v>
      </c>
    </row>
    <row r="433" spans="1:22" ht="51.75" hidden="1" x14ac:dyDescent="0.25">
      <c r="A433" s="327">
        <v>5340</v>
      </c>
      <c r="B433" s="294">
        <v>489100</v>
      </c>
      <c r="C433" s="295" t="s">
        <v>369</v>
      </c>
      <c r="D433" s="295"/>
      <c r="E433" s="277"/>
      <c r="F433" s="277"/>
      <c r="G433" s="311">
        <f t="shared" si="114"/>
        <v>0</v>
      </c>
      <c r="H433" s="311"/>
      <c r="I433" s="277"/>
      <c r="J433" s="277"/>
      <c r="K433" s="277"/>
      <c r="L433" s="277"/>
      <c r="M433" s="277"/>
      <c r="N433" s="277"/>
      <c r="O433" s="277"/>
      <c r="P433" s="277"/>
      <c r="Q433" s="277"/>
    </row>
    <row r="434" spans="1:22" ht="51.75" x14ac:dyDescent="0.25">
      <c r="A434" s="498">
        <v>5341</v>
      </c>
      <c r="B434" s="494">
        <v>500000</v>
      </c>
      <c r="C434" s="287" t="s">
        <v>370</v>
      </c>
      <c r="D434" s="287"/>
      <c r="E434" s="288">
        <f>E435+E458+E471+E474+E482</f>
        <v>35552</v>
      </c>
      <c r="F434" s="288">
        <f t="shared" ref="F434:Q434" si="132">F435+F458+F471+F474+F482</f>
        <v>27229</v>
      </c>
      <c r="G434" s="288">
        <f t="shared" si="132"/>
        <v>3263</v>
      </c>
      <c r="H434" s="288">
        <f t="shared" si="132"/>
        <v>25000</v>
      </c>
      <c r="I434" s="288">
        <f t="shared" si="132"/>
        <v>1450</v>
      </c>
      <c r="J434" s="288">
        <f t="shared" si="132"/>
        <v>0</v>
      </c>
      <c r="K434" s="288">
        <f t="shared" si="132"/>
        <v>1000</v>
      </c>
      <c r="L434" s="288">
        <f t="shared" si="132"/>
        <v>0</v>
      </c>
      <c r="M434" s="288">
        <f t="shared" si="132"/>
        <v>0</v>
      </c>
      <c r="N434" s="288">
        <f t="shared" si="132"/>
        <v>0</v>
      </c>
      <c r="O434" s="288">
        <f t="shared" si="132"/>
        <v>0</v>
      </c>
      <c r="P434" s="288">
        <f t="shared" si="132"/>
        <v>1229</v>
      </c>
      <c r="Q434" s="288">
        <f t="shared" si="132"/>
        <v>1813</v>
      </c>
    </row>
    <row r="435" spans="1:22" ht="26.25" x14ac:dyDescent="0.25">
      <c r="A435" s="498">
        <v>5342</v>
      </c>
      <c r="B435" s="494">
        <v>510000</v>
      </c>
      <c r="C435" s="287" t="s">
        <v>371</v>
      </c>
      <c r="D435" s="287"/>
      <c r="E435" s="288">
        <f>E436+E441+E452+E454+E456</f>
        <v>35552</v>
      </c>
      <c r="F435" s="288">
        <f t="shared" ref="F435:Q435" si="133">F436+F441+F452+F454+F456</f>
        <v>27229</v>
      </c>
      <c r="G435" s="288">
        <f t="shared" si="133"/>
        <v>3263</v>
      </c>
      <c r="H435" s="288">
        <f t="shared" si="133"/>
        <v>25000</v>
      </c>
      <c r="I435" s="288">
        <f t="shared" si="133"/>
        <v>1450</v>
      </c>
      <c r="J435" s="288">
        <f t="shared" si="133"/>
        <v>0</v>
      </c>
      <c r="K435" s="288">
        <f t="shared" si="133"/>
        <v>1000</v>
      </c>
      <c r="L435" s="288">
        <f t="shared" si="133"/>
        <v>0</v>
      </c>
      <c r="M435" s="288">
        <f t="shared" si="133"/>
        <v>0</v>
      </c>
      <c r="N435" s="288">
        <f t="shared" si="133"/>
        <v>0</v>
      </c>
      <c r="O435" s="288">
        <f t="shared" si="133"/>
        <v>0</v>
      </c>
      <c r="P435" s="288">
        <f t="shared" si="133"/>
        <v>1229</v>
      </c>
      <c r="Q435" s="288">
        <f t="shared" si="133"/>
        <v>1813</v>
      </c>
    </row>
    <row r="436" spans="1:22" ht="26.25" x14ac:dyDescent="0.25">
      <c r="A436" s="498">
        <v>5343</v>
      </c>
      <c r="B436" s="494">
        <v>511000</v>
      </c>
      <c r="C436" s="287" t="s">
        <v>372</v>
      </c>
      <c r="D436" s="287"/>
      <c r="E436" s="288">
        <f>SUM(E437:E440)</f>
        <v>6000</v>
      </c>
      <c r="F436" s="288">
        <f t="shared" ref="F436:Q436" si="134">SUM(F437:F440)</f>
        <v>5000</v>
      </c>
      <c r="G436" s="288">
        <f t="shared" si="134"/>
        <v>1450</v>
      </c>
      <c r="H436" s="288">
        <f t="shared" si="134"/>
        <v>5000</v>
      </c>
      <c r="I436" s="288">
        <f t="shared" si="134"/>
        <v>1450</v>
      </c>
      <c r="J436" s="288">
        <f t="shared" si="134"/>
        <v>0</v>
      </c>
      <c r="K436" s="288">
        <f t="shared" si="134"/>
        <v>0</v>
      </c>
      <c r="L436" s="288">
        <f t="shared" si="134"/>
        <v>0</v>
      </c>
      <c r="M436" s="288">
        <f t="shared" si="134"/>
        <v>0</v>
      </c>
      <c r="N436" s="288">
        <f t="shared" si="134"/>
        <v>0</v>
      </c>
      <c r="O436" s="288">
        <f t="shared" si="134"/>
        <v>0</v>
      </c>
      <c r="P436" s="288">
        <f t="shared" si="134"/>
        <v>0</v>
      </c>
      <c r="Q436" s="288">
        <f t="shared" si="134"/>
        <v>0</v>
      </c>
    </row>
    <row r="437" spans="1:22" hidden="1" x14ac:dyDescent="0.25">
      <c r="A437" s="327">
        <v>5344</v>
      </c>
      <c r="B437" s="294">
        <v>511100</v>
      </c>
      <c r="C437" s="295" t="s">
        <v>373</v>
      </c>
      <c r="D437" s="295"/>
      <c r="E437" s="277"/>
      <c r="F437" s="277"/>
      <c r="G437" s="311">
        <f t="shared" si="114"/>
        <v>0</v>
      </c>
      <c r="H437" s="311"/>
      <c r="I437" s="277"/>
      <c r="J437" s="277"/>
      <c r="K437" s="277"/>
      <c r="L437" s="277"/>
      <c r="M437" s="277"/>
      <c r="N437" s="277"/>
      <c r="O437" s="277"/>
      <c r="P437" s="277"/>
      <c r="Q437" s="277"/>
    </row>
    <row r="438" spans="1:22" hidden="1" x14ac:dyDescent="0.25">
      <c r="A438" s="327">
        <v>5345</v>
      </c>
      <c r="B438" s="294">
        <v>511200</v>
      </c>
      <c r="C438" s="295" t="s">
        <v>374</v>
      </c>
      <c r="D438" s="295"/>
      <c r="E438" s="277"/>
      <c r="F438" s="277"/>
      <c r="G438" s="311">
        <f t="shared" si="114"/>
        <v>0</v>
      </c>
      <c r="H438" s="311"/>
      <c r="I438" s="277"/>
      <c r="J438" s="277"/>
      <c r="K438" s="277"/>
      <c r="L438" s="277"/>
      <c r="M438" s="277"/>
      <c r="N438" s="277"/>
      <c r="O438" s="277"/>
      <c r="P438" s="277"/>
      <c r="Q438" s="277"/>
    </row>
    <row r="439" spans="1:22" ht="24.75" customHeight="1" x14ac:dyDescent="0.25">
      <c r="A439" s="327">
        <v>5346</v>
      </c>
      <c r="B439" s="294">
        <v>511300</v>
      </c>
      <c r="C439" s="295" t="s">
        <v>375</v>
      </c>
      <c r="D439" s="295"/>
      <c r="E439" s="277">
        <v>6000</v>
      </c>
      <c r="F439" s="277">
        <f>H439+K439+M439+P439</f>
        <v>5000</v>
      </c>
      <c r="G439" s="311">
        <f t="shared" ref="G439" si="135">SUM(I439:Q439)-K439-M439-P439</f>
        <v>1450</v>
      </c>
      <c r="H439" s="311">
        <v>5000</v>
      </c>
      <c r="I439" s="277">
        <v>1450</v>
      </c>
      <c r="J439" s="277"/>
      <c r="K439" s="277"/>
      <c r="L439" s="277"/>
      <c r="M439" s="277"/>
      <c r="N439" s="277"/>
      <c r="O439" s="277"/>
      <c r="P439" s="277"/>
      <c r="Q439" s="277"/>
      <c r="V439" s="281" t="s">
        <v>469</v>
      </c>
    </row>
    <row r="440" spans="1:22" hidden="1" x14ac:dyDescent="0.25">
      <c r="A440" s="327">
        <v>5347</v>
      </c>
      <c r="B440" s="294">
        <v>511400</v>
      </c>
      <c r="C440" s="295" t="s">
        <v>376</v>
      </c>
      <c r="D440" s="295"/>
      <c r="E440" s="277"/>
      <c r="F440" s="277"/>
      <c r="G440" s="311">
        <f t="shared" si="114"/>
        <v>0</v>
      </c>
      <c r="H440" s="311"/>
      <c r="I440" s="277"/>
      <c r="J440" s="277"/>
      <c r="K440" s="277"/>
      <c r="L440" s="277"/>
      <c r="M440" s="277"/>
      <c r="N440" s="277"/>
      <c r="O440" s="277"/>
      <c r="P440" s="277"/>
      <c r="Q440" s="277"/>
    </row>
    <row r="441" spans="1:22" ht="26.25" x14ac:dyDescent="0.25">
      <c r="A441" s="498">
        <v>5348</v>
      </c>
      <c r="B441" s="494">
        <v>512000</v>
      </c>
      <c r="C441" s="287" t="s">
        <v>377</v>
      </c>
      <c r="D441" s="287"/>
      <c r="E441" s="288">
        <f>SUM(E442:E451)</f>
        <v>29312</v>
      </c>
      <c r="F441" s="288">
        <f t="shared" ref="F441:Q441" si="136">SUM(F442:F451)</f>
        <v>22229</v>
      </c>
      <c r="G441" s="288">
        <f t="shared" si="136"/>
        <v>1813</v>
      </c>
      <c r="H441" s="288">
        <f t="shared" si="136"/>
        <v>20000</v>
      </c>
      <c r="I441" s="288">
        <f t="shared" si="136"/>
        <v>0</v>
      </c>
      <c r="J441" s="288">
        <f t="shared" si="136"/>
        <v>0</v>
      </c>
      <c r="K441" s="288">
        <f t="shared" si="136"/>
        <v>1000</v>
      </c>
      <c r="L441" s="288">
        <f t="shared" si="136"/>
        <v>0</v>
      </c>
      <c r="M441" s="288">
        <f t="shared" si="136"/>
        <v>0</v>
      </c>
      <c r="N441" s="288">
        <f t="shared" si="136"/>
        <v>0</v>
      </c>
      <c r="O441" s="288">
        <f t="shared" si="136"/>
        <v>0</v>
      </c>
      <c r="P441" s="288">
        <f t="shared" si="136"/>
        <v>1229</v>
      </c>
      <c r="Q441" s="288">
        <f t="shared" si="136"/>
        <v>1813</v>
      </c>
    </row>
    <row r="442" spans="1:22" hidden="1" x14ac:dyDescent="0.25">
      <c r="A442" s="327">
        <v>5349</v>
      </c>
      <c r="B442" s="294">
        <v>512100</v>
      </c>
      <c r="C442" s="295" t="s">
        <v>378</v>
      </c>
      <c r="D442" s="295"/>
      <c r="E442" s="277"/>
      <c r="F442" s="277"/>
      <c r="G442" s="311">
        <f t="shared" si="114"/>
        <v>0</v>
      </c>
      <c r="H442" s="311"/>
      <c r="I442" s="277"/>
      <c r="J442" s="277"/>
      <c r="K442" s="277"/>
      <c r="L442" s="277"/>
      <c r="M442" s="277"/>
      <c r="N442" s="277"/>
      <c r="O442" s="277"/>
      <c r="P442" s="277"/>
      <c r="Q442" s="277"/>
    </row>
    <row r="443" spans="1:22" x14ac:dyDescent="0.25">
      <c r="A443" s="327">
        <v>5349</v>
      </c>
      <c r="B443" s="294">
        <v>512100</v>
      </c>
      <c r="C443" s="295" t="s">
        <v>378</v>
      </c>
      <c r="D443" s="295"/>
      <c r="E443" s="277"/>
      <c r="F443" s="277">
        <f>H443+K443+M443+P443</f>
        <v>0</v>
      </c>
      <c r="G443" s="311"/>
      <c r="H443" s="311"/>
      <c r="I443" s="277"/>
      <c r="J443" s="277"/>
      <c r="K443" s="277"/>
      <c r="L443" s="277"/>
      <c r="M443" s="277"/>
      <c r="N443" s="277"/>
      <c r="O443" s="277"/>
      <c r="P443" s="278"/>
      <c r="Q443" s="277"/>
    </row>
    <row r="444" spans="1:22" ht="28.5" x14ac:dyDescent="0.45">
      <c r="A444" s="327">
        <v>5350</v>
      </c>
      <c r="B444" s="294">
        <v>512200</v>
      </c>
      <c r="C444" s="295" t="s">
        <v>379</v>
      </c>
      <c r="D444" s="295"/>
      <c r="E444" s="277">
        <v>1312</v>
      </c>
      <c r="F444" s="277">
        <f>H444+K444+M444+P444</f>
        <v>918</v>
      </c>
      <c r="G444" s="311">
        <f t="shared" ref="G444" si="137">SUM(I444:Q444)-K444-M444-P444</f>
        <v>1258</v>
      </c>
      <c r="H444" s="349"/>
      <c r="I444" s="277"/>
      <c r="J444" s="277"/>
      <c r="K444" s="277"/>
      <c r="L444" s="277"/>
      <c r="M444" s="277"/>
      <c r="N444" s="277"/>
      <c r="O444" s="277"/>
      <c r="P444" s="277">
        <v>918</v>
      </c>
      <c r="Q444" s="277">
        <v>1258</v>
      </c>
      <c r="R444" s="281">
        <v>809</v>
      </c>
      <c r="S444" s="281">
        <v>1124</v>
      </c>
      <c r="T444" s="281">
        <f>S444-R444</f>
        <v>315</v>
      </c>
      <c r="V444" s="348" t="s">
        <v>538</v>
      </c>
    </row>
    <row r="445" spans="1:22" hidden="1" x14ac:dyDescent="0.25">
      <c r="A445" s="327">
        <v>5351</v>
      </c>
      <c r="B445" s="294">
        <v>512300</v>
      </c>
      <c r="C445" s="295" t="s">
        <v>380</v>
      </c>
      <c r="D445" s="295"/>
      <c r="E445" s="277"/>
      <c r="F445" s="277"/>
      <c r="G445" s="311">
        <f t="shared" si="114"/>
        <v>0</v>
      </c>
      <c r="H445" s="311"/>
      <c r="I445" s="277"/>
      <c r="J445" s="277"/>
      <c r="K445" s="277"/>
      <c r="L445" s="277"/>
      <c r="M445" s="277"/>
      <c r="N445" s="277"/>
      <c r="O445" s="277"/>
      <c r="P445" s="277"/>
      <c r="Q445" s="277"/>
    </row>
    <row r="446" spans="1:22" ht="26.25" hidden="1" x14ac:dyDescent="0.25">
      <c r="A446" s="327">
        <v>5352</v>
      </c>
      <c r="B446" s="294">
        <v>512400</v>
      </c>
      <c r="C446" s="295" t="s">
        <v>381</v>
      </c>
      <c r="D446" s="295"/>
      <c r="E446" s="277"/>
      <c r="F446" s="277"/>
      <c r="G446" s="311">
        <f t="shared" si="114"/>
        <v>0</v>
      </c>
      <c r="H446" s="311"/>
      <c r="I446" s="277"/>
      <c r="J446" s="277"/>
      <c r="K446" s="277"/>
      <c r="L446" s="277"/>
      <c r="M446" s="277"/>
      <c r="N446" s="277"/>
      <c r="O446" s="277"/>
      <c r="P446" s="277"/>
      <c r="Q446" s="277"/>
    </row>
    <row r="447" spans="1:22" ht="26.25" x14ac:dyDescent="0.25">
      <c r="A447" s="327">
        <v>5353</v>
      </c>
      <c r="B447" s="294">
        <v>512500</v>
      </c>
      <c r="C447" s="295" t="s">
        <v>382</v>
      </c>
      <c r="D447" s="295"/>
      <c r="E447" s="277">
        <v>28000</v>
      </c>
      <c r="F447" s="277">
        <f>H447+K447+M447+P447</f>
        <v>21311</v>
      </c>
      <c r="G447" s="311">
        <f t="shared" ref="G447" si="138">SUM(I447:Q447)-K447-M447-P447</f>
        <v>555</v>
      </c>
      <c r="H447" s="311">
        <v>20000</v>
      </c>
      <c r="I447" s="277"/>
      <c r="J447" s="277"/>
      <c r="K447" s="277">
        <v>1000</v>
      </c>
      <c r="L447" s="277"/>
      <c r="M447" s="277"/>
      <c r="N447" s="277"/>
      <c r="O447" s="277"/>
      <c r="P447" s="278">
        <v>311</v>
      </c>
      <c r="Q447" s="277">
        <v>555</v>
      </c>
      <c r="V447" s="281" t="s">
        <v>469</v>
      </c>
    </row>
    <row r="448" spans="1:22" ht="26.25" hidden="1" x14ac:dyDescent="0.25">
      <c r="A448" s="327">
        <v>5354</v>
      </c>
      <c r="B448" s="294">
        <v>512600</v>
      </c>
      <c r="C448" s="295" t="s">
        <v>383</v>
      </c>
      <c r="D448" s="295"/>
      <c r="E448" s="277"/>
      <c r="F448" s="277"/>
      <c r="G448" s="311">
        <f t="shared" si="114"/>
        <v>0</v>
      </c>
      <c r="H448" s="311"/>
      <c r="I448" s="277"/>
      <c r="J448" s="277"/>
      <c r="K448" s="277"/>
      <c r="L448" s="277"/>
      <c r="M448" s="277"/>
      <c r="N448" s="277"/>
      <c r="O448" s="277"/>
      <c r="P448" s="277"/>
      <c r="Q448" s="277"/>
    </row>
    <row r="449" spans="1:17" hidden="1" x14ac:dyDescent="0.25">
      <c r="A449" s="327">
        <v>5355</v>
      </c>
      <c r="B449" s="294">
        <v>512700</v>
      </c>
      <c r="C449" s="295" t="s">
        <v>384</v>
      </c>
      <c r="D449" s="295"/>
      <c r="E449" s="277"/>
      <c r="F449" s="277"/>
      <c r="G449" s="311">
        <f t="shared" si="114"/>
        <v>0</v>
      </c>
      <c r="H449" s="311"/>
      <c r="I449" s="277"/>
      <c r="J449" s="277"/>
      <c r="K449" s="277"/>
      <c r="L449" s="277"/>
      <c r="M449" s="277"/>
      <c r="N449" s="277"/>
      <c r="O449" s="277"/>
      <c r="P449" s="277"/>
      <c r="Q449" s="277"/>
    </row>
    <row r="450" spans="1:17" hidden="1" x14ac:dyDescent="0.25">
      <c r="A450" s="327">
        <v>5356</v>
      </c>
      <c r="B450" s="294">
        <v>512800</v>
      </c>
      <c r="C450" s="295" t="s">
        <v>385</v>
      </c>
      <c r="D450" s="295"/>
      <c r="E450" s="277"/>
      <c r="F450" s="277"/>
      <c r="G450" s="311">
        <f t="shared" si="114"/>
        <v>0</v>
      </c>
      <c r="H450" s="311"/>
      <c r="I450" s="277"/>
      <c r="J450" s="277"/>
      <c r="K450" s="277"/>
      <c r="L450" s="277"/>
      <c r="M450" s="277"/>
      <c r="N450" s="277"/>
      <c r="O450" s="277"/>
      <c r="P450" s="277"/>
      <c r="Q450" s="277"/>
    </row>
    <row r="451" spans="1:17" ht="26.25" hidden="1" x14ac:dyDescent="0.25">
      <c r="A451" s="327">
        <v>5357</v>
      </c>
      <c r="B451" s="294">
        <v>512900</v>
      </c>
      <c r="C451" s="295" t="s">
        <v>386</v>
      </c>
      <c r="D451" s="295"/>
      <c r="E451" s="277"/>
      <c r="F451" s="277"/>
      <c r="G451" s="311">
        <f t="shared" si="114"/>
        <v>0</v>
      </c>
      <c r="H451" s="311"/>
      <c r="I451" s="277"/>
      <c r="J451" s="277"/>
      <c r="K451" s="277"/>
      <c r="L451" s="277"/>
      <c r="M451" s="277"/>
      <c r="N451" s="277"/>
      <c r="O451" s="277"/>
      <c r="P451" s="277"/>
      <c r="Q451" s="277"/>
    </row>
    <row r="452" spans="1:17" ht="26.25" hidden="1" x14ac:dyDescent="0.25">
      <c r="A452" s="498">
        <v>5358</v>
      </c>
      <c r="B452" s="494">
        <v>513000</v>
      </c>
      <c r="C452" s="287" t="s">
        <v>387</v>
      </c>
      <c r="D452" s="287"/>
      <c r="E452" s="288">
        <f>E453</f>
        <v>0</v>
      </c>
      <c r="F452" s="288"/>
      <c r="G452" s="288">
        <f t="shared" si="114"/>
        <v>0</v>
      </c>
      <c r="H452" s="288"/>
      <c r="I452" s="288">
        <f t="shared" ref="I452:Q452" si="139">I453</f>
        <v>0</v>
      </c>
      <c r="J452" s="288">
        <f t="shared" si="139"/>
        <v>0</v>
      </c>
      <c r="K452" s="288"/>
      <c r="L452" s="288">
        <f t="shared" si="139"/>
        <v>0</v>
      </c>
      <c r="M452" s="288"/>
      <c r="N452" s="288">
        <f t="shared" si="139"/>
        <v>0</v>
      </c>
      <c r="O452" s="288">
        <f t="shared" si="139"/>
        <v>0</v>
      </c>
      <c r="P452" s="288"/>
      <c r="Q452" s="288">
        <f t="shared" si="139"/>
        <v>0</v>
      </c>
    </row>
    <row r="453" spans="1:17" hidden="1" x14ac:dyDescent="0.25">
      <c r="A453" s="327">
        <v>5359</v>
      </c>
      <c r="B453" s="294">
        <v>513100</v>
      </c>
      <c r="C453" s="295" t="s">
        <v>388</v>
      </c>
      <c r="D453" s="295"/>
      <c r="E453" s="277"/>
      <c r="F453" s="277"/>
      <c r="G453" s="311">
        <f t="shared" si="114"/>
        <v>0</v>
      </c>
      <c r="H453" s="311"/>
      <c r="I453" s="277"/>
      <c r="J453" s="277"/>
      <c r="K453" s="277"/>
      <c r="L453" s="277"/>
      <c r="M453" s="277"/>
      <c r="N453" s="277"/>
      <c r="O453" s="277"/>
      <c r="P453" s="277"/>
      <c r="Q453" s="277"/>
    </row>
    <row r="454" spans="1:17" ht="26.25" hidden="1" x14ac:dyDescent="0.25">
      <c r="A454" s="498">
        <v>5360</v>
      </c>
      <c r="B454" s="494">
        <v>514000</v>
      </c>
      <c r="C454" s="287" t="s">
        <v>389</v>
      </c>
      <c r="D454" s="287"/>
      <c r="E454" s="288">
        <f>E455</f>
        <v>0</v>
      </c>
      <c r="F454" s="288"/>
      <c r="G454" s="288">
        <f t="shared" si="114"/>
        <v>0</v>
      </c>
      <c r="H454" s="288"/>
      <c r="I454" s="288">
        <f t="shared" ref="I454:Q454" si="140">I455</f>
        <v>0</v>
      </c>
      <c r="J454" s="288">
        <f t="shared" si="140"/>
        <v>0</v>
      </c>
      <c r="K454" s="288"/>
      <c r="L454" s="288">
        <f t="shared" si="140"/>
        <v>0</v>
      </c>
      <c r="M454" s="288"/>
      <c r="N454" s="288">
        <f t="shared" si="140"/>
        <v>0</v>
      </c>
      <c r="O454" s="288">
        <f t="shared" si="140"/>
        <v>0</v>
      </c>
      <c r="P454" s="288"/>
      <c r="Q454" s="288">
        <f t="shared" si="140"/>
        <v>0</v>
      </c>
    </row>
    <row r="455" spans="1:17" hidden="1" x14ac:dyDescent="0.25">
      <c r="A455" s="327">
        <v>5361</v>
      </c>
      <c r="B455" s="294">
        <v>514100</v>
      </c>
      <c r="C455" s="295" t="s">
        <v>390</v>
      </c>
      <c r="D455" s="295"/>
      <c r="E455" s="277"/>
      <c r="F455" s="277"/>
      <c r="G455" s="311">
        <f t="shared" si="114"/>
        <v>0</v>
      </c>
      <c r="H455" s="311"/>
      <c r="I455" s="277"/>
      <c r="J455" s="277"/>
      <c r="K455" s="277"/>
      <c r="L455" s="277"/>
      <c r="M455" s="277"/>
      <c r="N455" s="277"/>
      <c r="O455" s="277"/>
      <c r="P455" s="277"/>
      <c r="Q455" s="277"/>
    </row>
    <row r="456" spans="1:17" ht="26.25" x14ac:dyDescent="0.25">
      <c r="A456" s="498">
        <v>5362</v>
      </c>
      <c r="B456" s="494">
        <v>515000</v>
      </c>
      <c r="C456" s="287" t="s">
        <v>391</v>
      </c>
      <c r="D456" s="287"/>
      <c r="E456" s="288">
        <f>E457</f>
        <v>240</v>
      </c>
      <c r="F456" s="288">
        <f t="shared" ref="F456:Q456" si="141">F457</f>
        <v>0</v>
      </c>
      <c r="G456" s="288">
        <f t="shared" si="141"/>
        <v>0</v>
      </c>
      <c r="H456" s="288">
        <f t="shared" si="141"/>
        <v>0</v>
      </c>
      <c r="I456" s="288">
        <f t="shared" si="141"/>
        <v>0</v>
      </c>
      <c r="J456" s="288">
        <f t="shared" si="141"/>
        <v>0</v>
      </c>
      <c r="K456" s="288">
        <f t="shared" si="141"/>
        <v>0</v>
      </c>
      <c r="L456" s="288">
        <f t="shared" si="141"/>
        <v>0</v>
      </c>
      <c r="M456" s="288">
        <f t="shared" si="141"/>
        <v>0</v>
      </c>
      <c r="N456" s="288">
        <f t="shared" si="141"/>
        <v>0</v>
      </c>
      <c r="O456" s="288">
        <f t="shared" si="141"/>
        <v>0</v>
      </c>
      <c r="P456" s="288">
        <f t="shared" si="141"/>
        <v>0</v>
      </c>
      <c r="Q456" s="288">
        <f t="shared" si="141"/>
        <v>0</v>
      </c>
    </row>
    <row r="457" spans="1:17" x14ac:dyDescent="0.25">
      <c r="A457" s="327">
        <v>5363</v>
      </c>
      <c r="B457" s="294">
        <v>515100</v>
      </c>
      <c r="C457" s="295" t="s">
        <v>392</v>
      </c>
      <c r="D457" s="295"/>
      <c r="E457" s="277">
        <v>240</v>
      </c>
      <c r="F457" s="277">
        <f>H457+K457+M457+P457</f>
        <v>0</v>
      </c>
      <c r="G457" s="311">
        <f t="shared" si="114"/>
        <v>0</v>
      </c>
      <c r="H457" s="311"/>
      <c r="I457" s="277"/>
      <c r="J457" s="277"/>
      <c r="K457" s="277"/>
      <c r="L457" s="277"/>
      <c r="M457" s="277"/>
      <c r="N457" s="277"/>
      <c r="O457" s="277"/>
      <c r="P457" s="277">
        <v>0</v>
      </c>
      <c r="Q457" s="277"/>
    </row>
    <row r="458" spans="1:17" hidden="1" x14ac:dyDescent="0.25">
      <c r="A458" s="498">
        <v>5364</v>
      </c>
      <c r="B458" s="494">
        <v>520000</v>
      </c>
      <c r="C458" s="287" t="s">
        <v>393</v>
      </c>
      <c r="D458" s="287"/>
      <c r="E458" s="288">
        <f>E459+E461+E469</f>
        <v>0</v>
      </c>
      <c r="F458" s="288"/>
      <c r="G458" s="288">
        <f t="shared" ref="G458:G535" si="142">SUM(I458:Q458)</f>
        <v>0</v>
      </c>
      <c r="H458" s="288"/>
      <c r="I458" s="288">
        <f t="shared" ref="I458:Q458" si="143">I459+I461+I469</f>
        <v>0</v>
      </c>
      <c r="J458" s="288">
        <f t="shared" si="143"/>
        <v>0</v>
      </c>
      <c r="K458" s="288"/>
      <c r="L458" s="288">
        <f t="shared" si="143"/>
        <v>0</v>
      </c>
      <c r="M458" s="288"/>
      <c r="N458" s="288">
        <f t="shared" si="143"/>
        <v>0</v>
      </c>
      <c r="O458" s="288">
        <f t="shared" si="143"/>
        <v>0</v>
      </c>
      <c r="P458" s="288"/>
      <c r="Q458" s="288">
        <f t="shared" si="143"/>
        <v>0</v>
      </c>
    </row>
    <row r="459" spans="1:17" hidden="1" x14ac:dyDescent="0.25">
      <c r="A459" s="498">
        <v>5365</v>
      </c>
      <c r="B459" s="494">
        <v>521000</v>
      </c>
      <c r="C459" s="287" t="s">
        <v>394</v>
      </c>
      <c r="D459" s="287"/>
      <c r="E459" s="288">
        <f>E460</f>
        <v>0</v>
      </c>
      <c r="F459" s="288"/>
      <c r="G459" s="288">
        <f t="shared" si="142"/>
        <v>0</v>
      </c>
      <c r="H459" s="288"/>
      <c r="I459" s="288">
        <f t="shared" ref="I459:Q459" si="144">I460</f>
        <v>0</v>
      </c>
      <c r="J459" s="288">
        <f t="shared" si="144"/>
        <v>0</v>
      </c>
      <c r="K459" s="288"/>
      <c r="L459" s="288">
        <f t="shared" si="144"/>
        <v>0</v>
      </c>
      <c r="M459" s="288"/>
      <c r="N459" s="288">
        <f t="shared" si="144"/>
        <v>0</v>
      </c>
      <c r="O459" s="288">
        <f t="shared" si="144"/>
        <v>0</v>
      </c>
      <c r="P459" s="288"/>
      <c r="Q459" s="288">
        <f t="shared" si="144"/>
        <v>0</v>
      </c>
    </row>
    <row r="460" spans="1:17" hidden="1" x14ac:dyDescent="0.25">
      <c r="A460" s="327">
        <v>5366</v>
      </c>
      <c r="B460" s="294">
        <v>521100</v>
      </c>
      <c r="C460" s="295" t="s">
        <v>395</v>
      </c>
      <c r="D460" s="295"/>
      <c r="E460" s="277"/>
      <c r="F460" s="277"/>
      <c r="G460" s="311">
        <f t="shared" si="142"/>
        <v>0</v>
      </c>
      <c r="H460" s="311"/>
      <c r="I460" s="277"/>
      <c r="J460" s="277"/>
      <c r="K460" s="277"/>
      <c r="L460" s="277"/>
      <c r="M460" s="277"/>
      <c r="N460" s="277"/>
      <c r="O460" s="277"/>
      <c r="P460" s="277"/>
      <c r="Q460" s="277"/>
    </row>
    <row r="461" spans="1:17" ht="26.25" hidden="1" x14ac:dyDescent="0.25">
      <c r="A461" s="498">
        <v>5367</v>
      </c>
      <c r="B461" s="494">
        <v>522000</v>
      </c>
      <c r="C461" s="287" t="s">
        <v>396</v>
      </c>
      <c r="D461" s="287"/>
      <c r="E461" s="288">
        <f>SUM(E462:E468)</f>
        <v>0</v>
      </c>
      <c r="F461" s="288"/>
      <c r="G461" s="288">
        <f t="shared" si="142"/>
        <v>0</v>
      </c>
      <c r="H461" s="288"/>
      <c r="I461" s="288">
        <f t="shared" ref="I461:Q461" si="145">SUM(I462:I468)</f>
        <v>0</v>
      </c>
      <c r="J461" s="288">
        <f t="shared" si="145"/>
        <v>0</v>
      </c>
      <c r="K461" s="288"/>
      <c r="L461" s="288">
        <f t="shared" si="145"/>
        <v>0</v>
      </c>
      <c r="M461" s="288"/>
      <c r="N461" s="288">
        <f t="shared" si="145"/>
        <v>0</v>
      </c>
      <c r="O461" s="288">
        <f t="shared" si="145"/>
        <v>0</v>
      </c>
      <c r="P461" s="288"/>
      <c r="Q461" s="288">
        <f t="shared" si="145"/>
        <v>0</v>
      </c>
    </row>
    <row r="462" spans="1:17" hidden="1" x14ac:dyDescent="0.25">
      <c r="A462" s="327">
        <v>5368</v>
      </c>
      <c r="B462" s="294">
        <v>522100</v>
      </c>
      <c r="C462" s="295" t="s">
        <v>397</v>
      </c>
      <c r="D462" s="295"/>
      <c r="E462" s="277"/>
      <c r="F462" s="277"/>
      <c r="G462" s="311">
        <f t="shared" si="142"/>
        <v>0</v>
      </c>
      <c r="H462" s="311"/>
      <c r="I462" s="277"/>
      <c r="J462" s="277"/>
      <c r="K462" s="277"/>
      <c r="L462" s="277"/>
      <c r="M462" s="277"/>
      <c r="N462" s="277"/>
      <c r="O462" s="277"/>
      <c r="P462" s="277"/>
      <c r="Q462" s="277"/>
    </row>
    <row r="463" spans="1:17" hidden="1" x14ac:dyDescent="0.25">
      <c r="A463" s="656" t="s">
        <v>0</v>
      </c>
      <c r="B463" s="657" t="s">
        <v>1</v>
      </c>
      <c r="C463" s="656" t="s">
        <v>2</v>
      </c>
      <c r="D463" s="492"/>
      <c r="E463" s="656" t="s">
        <v>217</v>
      </c>
      <c r="F463" s="492"/>
      <c r="G463" s="658" t="s">
        <v>198</v>
      </c>
      <c r="H463" s="658"/>
      <c r="I463" s="659"/>
      <c r="J463" s="659"/>
      <c r="K463" s="659"/>
      <c r="L463" s="659"/>
      <c r="M463" s="659"/>
      <c r="N463" s="659"/>
      <c r="O463" s="659"/>
      <c r="P463" s="659"/>
      <c r="Q463" s="659"/>
    </row>
    <row r="464" spans="1:17" hidden="1" x14ac:dyDescent="0.25">
      <c r="A464" s="656"/>
      <c r="B464" s="657"/>
      <c r="C464" s="656"/>
      <c r="D464" s="492"/>
      <c r="E464" s="656"/>
      <c r="F464" s="492"/>
      <c r="G464" s="658" t="s">
        <v>199</v>
      </c>
      <c r="H464" s="494"/>
      <c r="I464" s="658" t="s">
        <v>200</v>
      </c>
      <c r="J464" s="659"/>
      <c r="K464" s="659"/>
      <c r="L464" s="659"/>
      <c r="M464" s="659"/>
      <c r="N464" s="659"/>
      <c r="O464" s="658" t="s">
        <v>7</v>
      </c>
      <c r="P464" s="494"/>
      <c r="Q464" s="658" t="s">
        <v>8</v>
      </c>
    </row>
    <row r="465" spans="1:17" ht="39" hidden="1" x14ac:dyDescent="0.25">
      <c r="A465" s="656"/>
      <c r="B465" s="657"/>
      <c r="C465" s="656"/>
      <c r="D465" s="492"/>
      <c r="E465" s="656"/>
      <c r="F465" s="492"/>
      <c r="G465" s="659"/>
      <c r="H465" s="495"/>
      <c r="I465" s="494" t="s">
        <v>201</v>
      </c>
      <c r="J465" s="494" t="s">
        <v>10</v>
      </c>
      <c r="K465" s="494"/>
      <c r="L465" s="494" t="s">
        <v>11</v>
      </c>
      <c r="M465" s="494"/>
      <c r="N465" s="494" t="s">
        <v>12</v>
      </c>
      <c r="O465" s="659"/>
      <c r="P465" s="495"/>
      <c r="Q465" s="659"/>
    </row>
    <row r="466" spans="1:17" ht="26.25" hidden="1" x14ac:dyDescent="0.25">
      <c r="A466" s="493" t="s">
        <v>18</v>
      </c>
      <c r="B466" s="493" t="s">
        <v>19</v>
      </c>
      <c r="C466" s="493" t="s">
        <v>20</v>
      </c>
      <c r="D466" s="493"/>
      <c r="E466" s="493" t="s">
        <v>21</v>
      </c>
      <c r="F466" s="493"/>
      <c r="G466" s="493" t="s">
        <v>22</v>
      </c>
      <c r="H466" s="493"/>
      <c r="I466" s="493" t="s">
        <v>23</v>
      </c>
      <c r="J466" s="493" t="s">
        <v>24</v>
      </c>
      <c r="K466" s="493"/>
      <c r="L466" s="493" t="s">
        <v>25</v>
      </c>
      <c r="M466" s="493"/>
      <c r="N466" s="493" t="s">
        <v>26</v>
      </c>
      <c r="O466" s="493" t="s">
        <v>27</v>
      </c>
      <c r="P466" s="493"/>
      <c r="Q466" s="493" t="s">
        <v>28</v>
      </c>
    </row>
    <row r="467" spans="1:17" hidden="1" x14ac:dyDescent="0.25">
      <c r="A467" s="327">
        <v>5369</v>
      </c>
      <c r="B467" s="294">
        <v>522200</v>
      </c>
      <c r="C467" s="295" t="s">
        <v>398</v>
      </c>
      <c r="D467" s="295"/>
      <c r="E467" s="277"/>
      <c r="F467" s="277"/>
      <c r="G467" s="311">
        <f t="shared" si="142"/>
        <v>0</v>
      </c>
      <c r="H467" s="311"/>
      <c r="I467" s="277"/>
      <c r="J467" s="277"/>
      <c r="K467" s="277"/>
      <c r="L467" s="277"/>
      <c r="M467" s="277"/>
      <c r="N467" s="277"/>
      <c r="O467" s="277"/>
      <c r="P467" s="277"/>
      <c r="Q467" s="277"/>
    </row>
    <row r="468" spans="1:17" hidden="1" x14ac:dyDescent="0.25">
      <c r="A468" s="327">
        <v>5370</v>
      </c>
      <c r="B468" s="294">
        <v>522300</v>
      </c>
      <c r="C468" s="295" t="s">
        <v>399</v>
      </c>
      <c r="D468" s="295"/>
      <c r="E468" s="277"/>
      <c r="F468" s="277"/>
      <c r="G468" s="311">
        <f t="shared" si="142"/>
        <v>0</v>
      </c>
      <c r="H468" s="311"/>
      <c r="I468" s="277"/>
      <c r="J468" s="277"/>
      <c r="K468" s="277"/>
      <c r="L468" s="277"/>
      <c r="M468" s="277"/>
      <c r="N468" s="277"/>
      <c r="O468" s="277"/>
      <c r="P468" s="277"/>
      <c r="Q468" s="277"/>
    </row>
    <row r="469" spans="1:17" ht="26.25" hidden="1" x14ac:dyDescent="0.25">
      <c r="A469" s="498">
        <v>5371</v>
      </c>
      <c r="B469" s="494">
        <v>523000</v>
      </c>
      <c r="C469" s="287" t="s">
        <v>400</v>
      </c>
      <c r="D469" s="287"/>
      <c r="E469" s="288">
        <f>E470</f>
        <v>0</v>
      </c>
      <c r="F469" s="288"/>
      <c r="G469" s="288">
        <f t="shared" si="142"/>
        <v>0</v>
      </c>
      <c r="H469" s="288"/>
      <c r="I469" s="288">
        <f t="shared" ref="I469:Q469" si="146">I470</f>
        <v>0</v>
      </c>
      <c r="J469" s="288">
        <f t="shared" si="146"/>
        <v>0</v>
      </c>
      <c r="K469" s="288"/>
      <c r="L469" s="288">
        <f t="shared" si="146"/>
        <v>0</v>
      </c>
      <c r="M469" s="288"/>
      <c r="N469" s="288">
        <f t="shared" si="146"/>
        <v>0</v>
      </c>
      <c r="O469" s="288">
        <f t="shared" si="146"/>
        <v>0</v>
      </c>
      <c r="P469" s="288"/>
      <c r="Q469" s="288">
        <f t="shared" si="146"/>
        <v>0</v>
      </c>
    </row>
    <row r="470" spans="1:17" hidden="1" x14ac:dyDescent="0.25">
      <c r="A470" s="327">
        <v>5372</v>
      </c>
      <c r="B470" s="294">
        <v>523100</v>
      </c>
      <c r="C470" s="295" t="s">
        <v>401</v>
      </c>
      <c r="D470" s="295"/>
      <c r="E470" s="277"/>
      <c r="F470" s="277"/>
      <c r="G470" s="311">
        <f t="shared" si="142"/>
        <v>0</v>
      </c>
      <c r="H470" s="311"/>
      <c r="I470" s="277"/>
      <c r="J470" s="277"/>
      <c r="K470" s="277"/>
      <c r="L470" s="277"/>
      <c r="M470" s="277"/>
      <c r="N470" s="277"/>
      <c r="O470" s="277"/>
      <c r="P470" s="277"/>
      <c r="Q470" s="277"/>
    </row>
    <row r="471" spans="1:17" hidden="1" x14ac:dyDescent="0.25">
      <c r="A471" s="498">
        <v>5373</v>
      </c>
      <c r="B471" s="494">
        <v>530000</v>
      </c>
      <c r="C471" s="287" t="s">
        <v>402</v>
      </c>
      <c r="D471" s="287"/>
      <c r="E471" s="288">
        <f>E472</f>
        <v>0</v>
      </c>
      <c r="F471" s="288"/>
      <c r="G471" s="288">
        <f t="shared" si="142"/>
        <v>0</v>
      </c>
      <c r="H471" s="288"/>
      <c r="I471" s="288">
        <f t="shared" ref="I471:Q472" si="147">I472</f>
        <v>0</v>
      </c>
      <c r="J471" s="288">
        <f t="shared" si="147"/>
        <v>0</v>
      </c>
      <c r="K471" s="288"/>
      <c r="L471" s="288">
        <f t="shared" si="147"/>
        <v>0</v>
      </c>
      <c r="M471" s="288"/>
      <c r="N471" s="288">
        <f t="shared" si="147"/>
        <v>0</v>
      </c>
      <c r="O471" s="288">
        <f t="shared" si="147"/>
        <v>0</v>
      </c>
      <c r="P471" s="288"/>
      <c r="Q471" s="288">
        <f t="shared" si="147"/>
        <v>0</v>
      </c>
    </row>
    <row r="472" spans="1:17" hidden="1" x14ac:dyDescent="0.25">
      <c r="A472" s="498">
        <v>5374</v>
      </c>
      <c r="B472" s="494">
        <v>531000</v>
      </c>
      <c r="C472" s="287" t="s">
        <v>403</v>
      </c>
      <c r="D472" s="287"/>
      <c r="E472" s="288">
        <f>E473</f>
        <v>0</v>
      </c>
      <c r="F472" s="288"/>
      <c r="G472" s="288">
        <f t="shared" si="142"/>
        <v>0</v>
      </c>
      <c r="H472" s="288"/>
      <c r="I472" s="288">
        <f t="shared" si="147"/>
        <v>0</v>
      </c>
      <c r="J472" s="288">
        <f t="shared" si="147"/>
        <v>0</v>
      </c>
      <c r="K472" s="288"/>
      <c r="L472" s="288">
        <f t="shared" si="147"/>
        <v>0</v>
      </c>
      <c r="M472" s="288"/>
      <c r="N472" s="288">
        <f t="shared" si="147"/>
        <v>0</v>
      </c>
      <c r="O472" s="288">
        <f t="shared" si="147"/>
        <v>0</v>
      </c>
      <c r="P472" s="288"/>
      <c r="Q472" s="288">
        <f t="shared" si="147"/>
        <v>0</v>
      </c>
    </row>
    <row r="473" spans="1:17" hidden="1" x14ac:dyDescent="0.25">
      <c r="A473" s="327">
        <v>5375</v>
      </c>
      <c r="B473" s="294">
        <v>531100</v>
      </c>
      <c r="C473" s="295" t="s">
        <v>404</v>
      </c>
      <c r="D473" s="295"/>
      <c r="E473" s="277"/>
      <c r="F473" s="277"/>
      <c r="G473" s="311">
        <f t="shared" si="142"/>
        <v>0</v>
      </c>
      <c r="H473" s="311"/>
      <c r="I473" s="277"/>
      <c r="J473" s="277"/>
      <c r="K473" s="277"/>
      <c r="L473" s="277"/>
      <c r="M473" s="277"/>
      <c r="N473" s="277"/>
      <c r="O473" s="277"/>
      <c r="P473" s="277"/>
      <c r="Q473" s="277"/>
    </row>
    <row r="474" spans="1:17" ht="26.25" hidden="1" x14ac:dyDescent="0.25">
      <c r="A474" s="498">
        <v>5376</v>
      </c>
      <c r="B474" s="494">
        <v>540000</v>
      </c>
      <c r="C474" s="287" t="s">
        <v>405</v>
      </c>
      <c r="D474" s="287"/>
      <c r="E474" s="288">
        <f>E475+E477+E479</f>
        <v>0</v>
      </c>
      <c r="F474" s="288"/>
      <c r="G474" s="288">
        <f t="shared" si="142"/>
        <v>0</v>
      </c>
      <c r="H474" s="288"/>
      <c r="I474" s="288">
        <f t="shared" ref="I474:Q474" si="148">I475+I477+I479</f>
        <v>0</v>
      </c>
      <c r="J474" s="288">
        <f t="shared" si="148"/>
        <v>0</v>
      </c>
      <c r="K474" s="288"/>
      <c r="L474" s="288">
        <f t="shared" si="148"/>
        <v>0</v>
      </c>
      <c r="M474" s="288"/>
      <c r="N474" s="288">
        <f t="shared" si="148"/>
        <v>0</v>
      </c>
      <c r="O474" s="288">
        <f t="shared" si="148"/>
        <v>0</v>
      </c>
      <c r="P474" s="288"/>
      <c r="Q474" s="288">
        <f t="shared" si="148"/>
        <v>0</v>
      </c>
    </row>
    <row r="475" spans="1:17" hidden="1" x14ac:dyDescent="0.25">
      <c r="A475" s="498">
        <v>5377</v>
      </c>
      <c r="B475" s="494">
        <v>541000</v>
      </c>
      <c r="C475" s="287" t="s">
        <v>406</v>
      </c>
      <c r="D475" s="287"/>
      <c r="E475" s="288">
        <f>E476</f>
        <v>0</v>
      </c>
      <c r="F475" s="288"/>
      <c r="G475" s="288">
        <f t="shared" si="142"/>
        <v>0</v>
      </c>
      <c r="H475" s="288"/>
      <c r="I475" s="288">
        <f t="shared" ref="I475:Q475" si="149">I476</f>
        <v>0</v>
      </c>
      <c r="J475" s="288">
        <f t="shared" si="149"/>
        <v>0</v>
      </c>
      <c r="K475" s="288"/>
      <c r="L475" s="288">
        <f t="shared" si="149"/>
        <v>0</v>
      </c>
      <c r="M475" s="288"/>
      <c r="N475" s="288">
        <f t="shared" si="149"/>
        <v>0</v>
      </c>
      <c r="O475" s="288">
        <f t="shared" si="149"/>
        <v>0</v>
      </c>
      <c r="P475" s="288"/>
      <c r="Q475" s="288">
        <f t="shared" si="149"/>
        <v>0</v>
      </c>
    </row>
    <row r="476" spans="1:17" hidden="1" x14ac:dyDescent="0.25">
      <c r="A476" s="327">
        <v>5378</v>
      </c>
      <c r="B476" s="294">
        <v>541100</v>
      </c>
      <c r="C476" s="295" t="s">
        <v>407</v>
      </c>
      <c r="D476" s="295"/>
      <c r="E476" s="277"/>
      <c r="F476" s="277"/>
      <c r="G476" s="311">
        <f t="shared" si="142"/>
        <v>0</v>
      </c>
      <c r="H476" s="311"/>
      <c r="I476" s="277"/>
      <c r="J476" s="277"/>
      <c r="K476" s="277"/>
      <c r="L476" s="277"/>
      <c r="M476" s="277"/>
      <c r="N476" s="277"/>
      <c r="O476" s="277"/>
      <c r="P476" s="277"/>
      <c r="Q476" s="277"/>
    </row>
    <row r="477" spans="1:17" hidden="1" x14ac:dyDescent="0.25">
      <c r="A477" s="498">
        <v>5379</v>
      </c>
      <c r="B477" s="494">
        <v>542000</v>
      </c>
      <c r="C477" s="287" t="s">
        <v>408</v>
      </c>
      <c r="D477" s="287"/>
      <c r="E477" s="288">
        <f>E478</f>
        <v>0</v>
      </c>
      <c r="F477" s="288"/>
      <c r="G477" s="288">
        <f t="shared" si="142"/>
        <v>0</v>
      </c>
      <c r="H477" s="288"/>
      <c r="I477" s="288">
        <f t="shared" ref="I477:Q477" si="150">I478</f>
        <v>0</v>
      </c>
      <c r="J477" s="288">
        <f t="shared" si="150"/>
        <v>0</v>
      </c>
      <c r="K477" s="288"/>
      <c r="L477" s="288">
        <f t="shared" si="150"/>
        <v>0</v>
      </c>
      <c r="M477" s="288"/>
      <c r="N477" s="288">
        <f t="shared" si="150"/>
        <v>0</v>
      </c>
      <c r="O477" s="288">
        <f t="shared" si="150"/>
        <v>0</v>
      </c>
      <c r="P477" s="288"/>
      <c r="Q477" s="288">
        <f t="shared" si="150"/>
        <v>0</v>
      </c>
    </row>
    <row r="478" spans="1:17" hidden="1" x14ac:dyDescent="0.25">
      <c r="A478" s="327">
        <v>5380</v>
      </c>
      <c r="B478" s="294">
        <v>542100</v>
      </c>
      <c r="C478" s="295" t="s">
        <v>409</v>
      </c>
      <c r="D478" s="295"/>
      <c r="E478" s="277"/>
      <c r="F478" s="277"/>
      <c r="G478" s="311">
        <f t="shared" si="142"/>
        <v>0</v>
      </c>
      <c r="H478" s="311"/>
      <c r="I478" s="277"/>
      <c r="J478" s="277"/>
      <c r="K478" s="277"/>
      <c r="L478" s="277"/>
      <c r="M478" s="277"/>
      <c r="N478" s="277"/>
      <c r="O478" s="277"/>
      <c r="P478" s="277"/>
      <c r="Q478" s="277"/>
    </row>
    <row r="479" spans="1:17" hidden="1" x14ac:dyDescent="0.25">
      <c r="A479" s="498">
        <v>5381</v>
      </c>
      <c r="B479" s="494">
        <v>543000</v>
      </c>
      <c r="C479" s="287" t="s">
        <v>410</v>
      </c>
      <c r="D479" s="287"/>
      <c r="E479" s="288">
        <f>E480+E481</f>
        <v>0</v>
      </c>
      <c r="F479" s="288"/>
      <c r="G479" s="288">
        <f t="shared" si="142"/>
        <v>0</v>
      </c>
      <c r="H479" s="288"/>
      <c r="I479" s="288">
        <f t="shared" ref="I479:Q479" si="151">I480+I481</f>
        <v>0</v>
      </c>
      <c r="J479" s="288">
        <f t="shared" si="151"/>
        <v>0</v>
      </c>
      <c r="K479" s="288"/>
      <c r="L479" s="288">
        <f t="shared" si="151"/>
        <v>0</v>
      </c>
      <c r="M479" s="288"/>
      <c r="N479" s="288">
        <f t="shared" si="151"/>
        <v>0</v>
      </c>
      <c r="O479" s="288">
        <f t="shared" si="151"/>
        <v>0</v>
      </c>
      <c r="P479" s="288"/>
      <c r="Q479" s="288">
        <f t="shared" si="151"/>
        <v>0</v>
      </c>
    </row>
    <row r="480" spans="1:17" hidden="1" x14ac:dyDescent="0.25">
      <c r="A480" s="327">
        <v>5382</v>
      </c>
      <c r="B480" s="294">
        <v>543100</v>
      </c>
      <c r="C480" s="295" t="s">
        <v>411</v>
      </c>
      <c r="D480" s="295"/>
      <c r="E480" s="277"/>
      <c r="F480" s="277"/>
      <c r="G480" s="311">
        <f t="shared" si="142"/>
        <v>0</v>
      </c>
      <c r="H480" s="311"/>
      <c r="I480" s="277"/>
      <c r="J480" s="277"/>
      <c r="K480" s="277"/>
      <c r="L480" s="277"/>
      <c r="M480" s="277"/>
      <c r="N480" s="277"/>
      <c r="O480" s="277"/>
      <c r="P480" s="277"/>
      <c r="Q480" s="277"/>
    </row>
    <row r="481" spans="1:17" hidden="1" x14ac:dyDescent="0.25">
      <c r="A481" s="327">
        <v>5383</v>
      </c>
      <c r="B481" s="294">
        <v>543200</v>
      </c>
      <c r="C481" s="295" t="s">
        <v>412</v>
      </c>
      <c r="D481" s="295"/>
      <c r="E481" s="277"/>
      <c r="F481" s="277"/>
      <c r="G481" s="311">
        <f t="shared" si="142"/>
        <v>0</v>
      </c>
      <c r="H481" s="311"/>
      <c r="I481" s="277"/>
      <c r="J481" s="277"/>
      <c r="K481" s="277"/>
      <c r="L481" s="277"/>
      <c r="M481" s="277"/>
      <c r="N481" s="277"/>
      <c r="O481" s="277"/>
      <c r="P481" s="277"/>
      <c r="Q481" s="277"/>
    </row>
    <row r="482" spans="1:17" ht="90" hidden="1" x14ac:dyDescent="0.25">
      <c r="A482" s="498">
        <v>5384</v>
      </c>
      <c r="B482" s="494">
        <v>550000</v>
      </c>
      <c r="C482" s="287" t="s">
        <v>413</v>
      </c>
      <c r="D482" s="287"/>
      <c r="E482" s="288">
        <f>E483</f>
        <v>0</v>
      </c>
      <c r="F482" s="288"/>
      <c r="G482" s="288">
        <f t="shared" si="142"/>
        <v>0</v>
      </c>
      <c r="H482" s="288"/>
      <c r="I482" s="288">
        <f t="shared" ref="I482:Q483" si="152">I483</f>
        <v>0</v>
      </c>
      <c r="J482" s="288">
        <f t="shared" si="152"/>
        <v>0</v>
      </c>
      <c r="K482" s="288"/>
      <c r="L482" s="288">
        <f t="shared" si="152"/>
        <v>0</v>
      </c>
      <c r="M482" s="288"/>
      <c r="N482" s="288">
        <f t="shared" si="152"/>
        <v>0</v>
      </c>
      <c r="O482" s="288">
        <f t="shared" si="152"/>
        <v>0</v>
      </c>
      <c r="P482" s="288"/>
      <c r="Q482" s="288">
        <f t="shared" si="152"/>
        <v>0</v>
      </c>
    </row>
    <row r="483" spans="1:17" ht="90" hidden="1" x14ac:dyDescent="0.25">
      <c r="A483" s="498">
        <v>5385</v>
      </c>
      <c r="B483" s="494">
        <v>551000</v>
      </c>
      <c r="C483" s="287" t="s">
        <v>414</v>
      </c>
      <c r="D483" s="287"/>
      <c r="E483" s="288">
        <f>E484</f>
        <v>0</v>
      </c>
      <c r="F483" s="288"/>
      <c r="G483" s="288">
        <f t="shared" si="142"/>
        <v>0</v>
      </c>
      <c r="H483" s="288"/>
      <c r="I483" s="288">
        <f t="shared" si="152"/>
        <v>0</v>
      </c>
      <c r="J483" s="288">
        <f t="shared" si="152"/>
        <v>0</v>
      </c>
      <c r="K483" s="288"/>
      <c r="L483" s="288">
        <f t="shared" si="152"/>
        <v>0</v>
      </c>
      <c r="M483" s="288"/>
      <c r="N483" s="288">
        <f t="shared" si="152"/>
        <v>0</v>
      </c>
      <c r="O483" s="288">
        <f t="shared" si="152"/>
        <v>0</v>
      </c>
      <c r="P483" s="288"/>
      <c r="Q483" s="288">
        <f t="shared" si="152"/>
        <v>0</v>
      </c>
    </row>
    <row r="484" spans="1:17" ht="51.75" hidden="1" x14ac:dyDescent="0.25">
      <c r="A484" s="327">
        <v>5386</v>
      </c>
      <c r="B484" s="294">
        <v>551100</v>
      </c>
      <c r="C484" s="295" t="s">
        <v>415</v>
      </c>
      <c r="D484" s="295"/>
      <c r="E484" s="277"/>
      <c r="F484" s="277"/>
      <c r="G484" s="311">
        <f t="shared" si="142"/>
        <v>0</v>
      </c>
      <c r="H484" s="311"/>
      <c r="I484" s="277"/>
      <c r="J484" s="277"/>
      <c r="K484" s="277"/>
      <c r="L484" s="277"/>
      <c r="M484" s="277"/>
      <c r="N484" s="277"/>
      <c r="O484" s="277"/>
      <c r="P484" s="277"/>
      <c r="Q484" s="277"/>
    </row>
    <row r="485" spans="1:17" ht="51.75" hidden="1" x14ac:dyDescent="0.25">
      <c r="A485" s="498">
        <v>5387</v>
      </c>
      <c r="B485" s="494">
        <v>600000</v>
      </c>
      <c r="C485" s="287" t="s">
        <v>416</v>
      </c>
      <c r="D485" s="287"/>
      <c r="E485" s="288">
        <f>E486+E515</f>
        <v>0</v>
      </c>
      <c r="F485" s="288"/>
      <c r="G485" s="288">
        <f t="shared" si="142"/>
        <v>0</v>
      </c>
      <c r="H485" s="288"/>
      <c r="I485" s="288">
        <f t="shared" ref="I485:Q485" si="153">I486+I515</f>
        <v>0</v>
      </c>
      <c r="J485" s="288">
        <f t="shared" si="153"/>
        <v>0</v>
      </c>
      <c r="K485" s="288"/>
      <c r="L485" s="288">
        <f t="shared" si="153"/>
        <v>0</v>
      </c>
      <c r="M485" s="288"/>
      <c r="N485" s="288">
        <f t="shared" si="153"/>
        <v>0</v>
      </c>
      <c r="O485" s="288">
        <f t="shared" si="153"/>
        <v>0</v>
      </c>
      <c r="P485" s="288"/>
      <c r="Q485" s="288">
        <f t="shared" si="153"/>
        <v>0</v>
      </c>
    </row>
    <row r="486" spans="1:17" ht="26.25" hidden="1" x14ac:dyDescent="0.25">
      <c r="A486" s="498">
        <v>5388</v>
      </c>
      <c r="B486" s="494">
        <v>610000</v>
      </c>
      <c r="C486" s="287" t="s">
        <v>417</v>
      </c>
      <c r="D486" s="287"/>
      <c r="E486" s="288">
        <f>E487+E501+E509+E511+E513</f>
        <v>0</v>
      </c>
      <c r="F486" s="288"/>
      <c r="G486" s="288">
        <f t="shared" si="142"/>
        <v>0</v>
      </c>
      <c r="H486" s="288"/>
      <c r="I486" s="288">
        <f t="shared" ref="I486:Q486" si="154">I487+I501+I509+I511+I513</f>
        <v>0</v>
      </c>
      <c r="J486" s="288">
        <f t="shared" si="154"/>
        <v>0</v>
      </c>
      <c r="K486" s="288"/>
      <c r="L486" s="288">
        <f t="shared" si="154"/>
        <v>0</v>
      </c>
      <c r="M486" s="288"/>
      <c r="N486" s="288">
        <f t="shared" si="154"/>
        <v>0</v>
      </c>
      <c r="O486" s="288">
        <f t="shared" si="154"/>
        <v>0</v>
      </c>
      <c r="P486" s="288"/>
      <c r="Q486" s="288">
        <f t="shared" si="154"/>
        <v>0</v>
      </c>
    </row>
    <row r="487" spans="1:17" ht="39" hidden="1" x14ac:dyDescent="0.25">
      <c r="A487" s="498">
        <v>5389</v>
      </c>
      <c r="B487" s="494">
        <v>611000</v>
      </c>
      <c r="C487" s="287" t="s">
        <v>418</v>
      </c>
      <c r="D487" s="287"/>
      <c r="E487" s="288">
        <f>SUM(E488:E500)</f>
        <v>0</v>
      </c>
      <c r="F487" s="288"/>
      <c r="G487" s="288">
        <f t="shared" si="142"/>
        <v>0</v>
      </c>
      <c r="H487" s="288"/>
      <c r="I487" s="288">
        <f t="shared" ref="I487:Q487" si="155">SUM(I488:I500)</f>
        <v>0</v>
      </c>
      <c r="J487" s="288">
        <f t="shared" si="155"/>
        <v>0</v>
      </c>
      <c r="K487" s="288"/>
      <c r="L487" s="288">
        <f t="shared" si="155"/>
        <v>0</v>
      </c>
      <c r="M487" s="288"/>
      <c r="N487" s="288">
        <f t="shared" si="155"/>
        <v>0</v>
      </c>
      <c r="O487" s="288">
        <f t="shared" si="155"/>
        <v>0</v>
      </c>
      <c r="P487" s="288"/>
      <c r="Q487" s="288">
        <f t="shared" si="155"/>
        <v>0</v>
      </c>
    </row>
    <row r="488" spans="1:17" ht="39" hidden="1" x14ac:dyDescent="0.25">
      <c r="A488" s="327">
        <v>5390</v>
      </c>
      <c r="B488" s="294">
        <v>611100</v>
      </c>
      <c r="C488" s="295" t="s">
        <v>419</v>
      </c>
      <c r="D488" s="295"/>
      <c r="E488" s="277"/>
      <c r="F488" s="277"/>
      <c r="G488" s="311">
        <f t="shared" si="142"/>
        <v>0</v>
      </c>
      <c r="H488" s="311"/>
      <c r="I488" s="277"/>
      <c r="J488" s="277"/>
      <c r="K488" s="277"/>
      <c r="L488" s="277"/>
      <c r="M488" s="277"/>
      <c r="N488" s="277"/>
      <c r="O488" s="277"/>
      <c r="P488" s="277"/>
      <c r="Q488" s="277"/>
    </row>
    <row r="489" spans="1:17" ht="26.25" hidden="1" x14ac:dyDescent="0.25">
      <c r="A489" s="327">
        <v>5391</v>
      </c>
      <c r="B489" s="294">
        <v>611200</v>
      </c>
      <c r="C489" s="295" t="s">
        <v>420</v>
      </c>
      <c r="D489" s="295"/>
      <c r="E489" s="277"/>
      <c r="F489" s="277"/>
      <c r="G489" s="311">
        <f t="shared" si="142"/>
        <v>0</v>
      </c>
      <c r="H489" s="311"/>
      <c r="I489" s="277"/>
      <c r="J489" s="277"/>
      <c r="K489" s="277"/>
      <c r="L489" s="277"/>
      <c r="M489" s="277"/>
      <c r="N489" s="277"/>
      <c r="O489" s="277"/>
      <c r="P489" s="277"/>
      <c r="Q489" s="277"/>
    </row>
    <row r="490" spans="1:17" ht="39" hidden="1" x14ac:dyDescent="0.25">
      <c r="A490" s="327">
        <v>5392</v>
      </c>
      <c r="B490" s="294">
        <v>611300</v>
      </c>
      <c r="C490" s="295" t="s">
        <v>421</v>
      </c>
      <c r="D490" s="295"/>
      <c r="E490" s="277"/>
      <c r="F490" s="277"/>
      <c r="G490" s="311">
        <f t="shared" si="142"/>
        <v>0</v>
      </c>
      <c r="H490" s="311"/>
      <c r="I490" s="277"/>
      <c r="J490" s="277"/>
      <c r="K490" s="277"/>
      <c r="L490" s="277"/>
      <c r="M490" s="277"/>
      <c r="N490" s="277"/>
      <c r="O490" s="277"/>
      <c r="P490" s="277"/>
      <c r="Q490" s="277"/>
    </row>
    <row r="491" spans="1:17" hidden="1" x14ac:dyDescent="0.25">
      <c r="A491" s="656" t="s">
        <v>0</v>
      </c>
      <c r="B491" s="657" t="s">
        <v>1</v>
      </c>
      <c r="C491" s="656" t="s">
        <v>2</v>
      </c>
      <c r="D491" s="492"/>
      <c r="E491" s="656" t="s">
        <v>217</v>
      </c>
      <c r="F491" s="492"/>
      <c r="G491" s="658" t="s">
        <v>198</v>
      </c>
      <c r="H491" s="658"/>
      <c r="I491" s="659"/>
      <c r="J491" s="659"/>
      <c r="K491" s="659"/>
      <c r="L491" s="659"/>
      <c r="M491" s="659"/>
      <c r="N491" s="659"/>
      <c r="O491" s="659"/>
      <c r="P491" s="659"/>
      <c r="Q491" s="659"/>
    </row>
    <row r="492" spans="1:17" hidden="1" x14ac:dyDescent="0.25">
      <c r="A492" s="656"/>
      <c r="B492" s="657"/>
      <c r="C492" s="656"/>
      <c r="D492" s="492"/>
      <c r="E492" s="656"/>
      <c r="F492" s="492"/>
      <c r="G492" s="658" t="s">
        <v>199</v>
      </c>
      <c r="H492" s="494"/>
      <c r="I492" s="658" t="s">
        <v>200</v>
      </c>
      <c r="J492" s="659"/>
      <c r="K492" s="659"/>
      <c r="L492" s="659"/>
      <c r="M492" s="659"/>
      <c r="N492" s="659"/>
      <c r="O492" s="658" t="s">
        <v>7</v>
      </c>
      <c r="P492" s="494"/>
      <c r="Q492" s="658" t="s">
        <v>8</v>
      </c>
    </row>
    <row r="493" spans="1:17" ht="39" hidden="1" x14ac:dyDescent="0.25">
      <c r="A493" s="656"/>
      <c r="B493" s="657"/>
      <c r="C493" s="656"/>
      <c r="D493" s="492"/>
      <c r="E493" s="656"/>
      <c r="F493" s="492"/>
      <c r="G493" s="659"/>
      <c r="H493" s="495"/>
      <c r="I493" s="494" t="s">
        <v>201</v>
      </c>
      <c r="J493" s="494" t="s">
        <v>10</v>
      </c>
      <c r="K493" s="494"/>
      <c r="L493" s="494" t="s">
        <v>11</v>
      </c>
      <c r="M493" s="494"/>
      <c r="N493" s="494" t="s">
        <v>12</v>
      </c>
      <c r="O493" s="659"/>
      <c r="P493" s="495"/>
      <c r="Q493" s="659"/>
    </row>
    <row r="494" spans="1:17" ht="26.25" hidden="1" x14ac:dyDescent="0.25">
      <c r="A494" s="493" t="s">
        <v>18</v>
      </c>
      <c r="B494" s="493" t="s">
        <v>19</v>
      </c>
      <c r="C494" s="493" t="s">
        <v>20</v>
      </c>
      <c r="D494" s="493"/>
      <c r="E494" s="493" t="s">
        <v>21</v>
      </c>
      <c r="F494" s="493"/>
      <c r="G494" s="493" t="s">
        <v>22</v>
      </c>
      <c r="H494" s="493"/>
      <c r="I494" s="493" t="s">
        <v>23</v>
      </c>
      <c r="J494" s="493" t="s">
        <v>24</v>
      </c>
      <c r="K494" s="493"/>
      <c r="L494" s="493" t="s">
        <v>25</v>
      </c>
      <c r="M494" s="493"/>
      <c r="N494" s="493" t="s">
        <v>26</v>
      </c>
      <c r="O494" s="493" t="s">
        <v>27</v>
      </c>
      <c r="P494" s="493"/>
      <c r="Q494" s="493" t="s">
        <v>28</v>
      </c>
    </row>
    <row r="495" spans="1:17" ht="26.25" hidden="1" x14ac:dyDescent="0.25">
      <c r="A495" s="327">
        <v>5393</v>
      </c>
      <c r="B495" s="294">
        <v>611400</v>
      </c>
      <c r="C495" s="295" t="s">
        <v>422</v>
      </c>
      <c r="D495" s="295"/>
      <c r="E495" s="277"/>
      <c r="F495" s="277"/>
      <c r="G495" s="311">
        <f t="shared" si="142"/>
        <v>0</v>
      </c>
      <c r="H495" s="311"/>
      <c r="I495" s="277"/>
      <c r="J495" s="277"/>
      <c r="K495" s="277"/>
      <c r="L495" s="277"/>
      <c r="M495" s="277"/>
      <c r="N495" s="277"/>
      <c r="O495" s="277"/>
      <c r="P495" s="277"/>
      <c r="Q495" s="277"/>
    </row>
    <row r="496" spans="1:17" ht="26.25" hidden="1" x14ac:dyDescent="0.25">
      <c r="A496" s="327">
        <v>5394</v>
      </c>
      <c r="B496" s="294">
        <v>611500</v>
      </c>
      <c r="C496" s="295" t="s">
        <v>423</v>
      </c>
      <c r="D496" s="295"/>
      <c r="E496" s="277"/>
      <c r="F496" s="277"/>
      <c r="G496" s="311">
        <f t="shared" si="142"/>
        <v>0</v>
      </c>
      <c r="H496" s="311"/>
      <c r="I496" s="277"/>
      <c r="J496" s="277"/>
      <c r="K496" s="277"/>
      <c r="L496" s="277"/>
      <c r="M496" s="277"/>
      <c r="N496" s="277"/>
      <c r="O496" s="277"/>
      <c r="P496" s="277"/>
      <c r="Q496" s="277"/>
    </row>
    <row r="497" spans="1:17" ht="26.25" hidden="1" x14ac:dyDescent="0.25">
      <c r="A497" s="327">
        <v>5395</v>
      </c>
      <c r="B497" s="294">
        <v>611600</v>
      </c>
      <c r="C497" s="295" t="s">
        <v>424</v>
      </c>
      <c r="D497" s="295"/>
      <c r="E497" s="277"/>
      <c r="F497" s="277"/>
      <c r="G497" s="311">
        <f t="shared" si="142"/>
        <v>0</v>
      </c>
      <c r="H497" s="311"/>
      <c r="I497" s="277"/>
      <c r="J497" s="277"/>
      <c r="K497" s="277"/>
      <c r="L497" s="277"/>
      <c r="M497" s="277"/>
      <c r="N497" s="277"/>
      <c r="O497" s="277"/>
      <c r="P497" s="277"/>
      <c r="Q497" s="277"/>
    </row>
    <row r="498" spans="1:17" ht="26.25" hidden="1" x14ac:dyDescent="0.25">
      <c r="A498" s="327">
        <v>5396</v>
      </c>
      <c r="B498" s="294">
        <v>611700</v>
      </c>
      <c r="C498" s="295" t="s">
        <v>425</v>
      </c>
      <c r="D498" s="295"/>
      <c r="E498" s="277"/>
      <c r="F498" s="277"/>
      <c r="G498" s="311">
        <f t="shared" si="142"/>
        <v>0</v>
      </c>
      <c r="H498" s="311"/>
      <c r="I498" s="277"/>
      <c r="J498" s="277"/>
      <c r="K498" s="277"/>
      <c r="L498" s="277"/>
      <c r="M498" s="277"/>
      <c r="N498" s="277"/>
      <c r="O498" s="277"/>
      <c r="P498" s="277"/>
      <c r="Q498" s="277"/>
    </row>
    <row r="499" spans="1:17" hidden="1" x14ac:dyDescent="0.25">
      <c r="A499" s="327">
        <v>5397</v>
      </c>
      <c r="B499" s="294">
        <v>611800</v>
      </c>
      <c r="C499" s="295" t="s">
        <v>426</v>
      </c>
      <c r="D499" s="295"/>
      <c r="E499" s="277"/>
      <c r="F499" s="277"/>
      <c r="G499" s="311">
        <f t="shared" si="142"/>
        <v>0</v>
      </c>
      <c r="H499" s="311"/>
      <c r="I499" s="277"/>
      <c r="J499" s="277"/>
      <c r="K499" s="277"/>
      <c r="L499" s="277"/>
      <c r="M499" s="277"/>
      <c r="N499" s="277"/>
      <c r="O499" s="277"/>
      <c r="P499" s="277"/>
      <c r="Q499" s="277"/>
    </row>
    <row r="500" spans="1:17" hidden="1" x14ac:dyDescent="0.25">
      <c r="A500" s="327">
        <v>5398</v>
      </c>
      <c r="B500" s="294">
        <v>611900</v>
      </c>
      <c r="C500" s="295" t="s">
        <v>165</v>
      </c>
      <c r="D500" s="295"/>
      <c r="E500" s="277"/>
      <c r="F500" s="277"/>
      <c r="G500" s="311">
        <f t="shared" si="142"/>
        <v>0</v>
      </c>
      <c r="H500" s="311"/>
      <c r="I500" s="277"/>
      <c r="J500" s="277"/>
      <c r="K500" s="277"/>
      <c r="L500" s="277"/>
      <c r="M500" s="277"/>
      <c r="N500" s="277"/>
      <c r="O500" s="277"/>
      <c r="P500" s="277"/>
      <c r="Q500" s="277"/>
    </row>
    <row r="501" spans="1:17" ht="39" hidden="1" x14ac:dyDescent="0.25">
      <c r="A501" s="498">
        <v>5399</v>
      </c>
      <c r="B501" s="494">
        <v>612000</v>
      </c>
      <c r="C501" s="287" t="s">
        <v>427</v>
      </c>
      <c r="D501" s="287"/>
      <c r="E501" s="288">
        <f>SUM(E502:E508)</f>
        <v>0</v>
      </c>
      <c r="F501" s="288"/>
      <c r="G501" s="288">
        <f t="shared" si="142"/>
        <v>0</v>
      </c>
      <c r="H501" s="288"/>
      <c r="I501" s="288">
        <f t="shared" ref="I501:Q501" si="156">SUM(I502:I508)</f>
        <v>0</v>
      </c>
      <c r="J501" s="288">
        <f t="shared" si="156"/>
        <v>0</v>
      </c>
      <c r="K501" s="288"/>
      <c r="L501" s="288">
        <f t="shared" si="156"/>
        <v>0</v>
      </c>
      <c r="M501" s="288"/>
      <c r="N501" s="288">
        <f t="shared" si="156"/>
        <v>0</v>
      </c>
      <c r="O501" s="288">
        <f t="shared" si="156"/>
        <v>0</v>
      </c>
      <c r="P501" s="288"/>
      <c r="Q501" s="288">
        <f t="shared" si="156"/>
        <v>0</v>
      </c>
    </row>
    <row r="502" spans="1:17" ht="51.75" hidden="1" x14ac:dyDescent="0.25">
      <c r="A502" s="327">
        <v>5400</v>
      </c>
      <c r="B502" s="294">
        <v>612100</v>
      </c>
      <c r="C502" s="295" t="s">
        <v>428</v>
      </c>
      <c r="D502" s="295"/>
      <c r="E502" s="277"/>
      <c r="F502" s="277"/>
      <c r="G502" s="311">
        <f t="shared" si="142"/>
        <v>0</v>
      </c>
      <c r="H502" s="311"/>
      <c r="I502" s="277"/>
      <c r="J502" s="277"/>
      <c r="K502" s="277"/>
      <c r="L502" s="277"/>
      <c r="M502" s="277"/>
      <c r="N502" s="277"/>
      <c r="O502" s="277"/>
      <c r="P502" s="277"/>
      <c r="Q502" s="277"/>
    </row>
    <row r="503" spans="1:17" ht="26.25" hidden="1" x14ac:dyDescent="0.25">
      <c r="A503" s="327">
        <v>5401</v>
      </c>
      <c r="B503" s="294">
        <v>612200</v>
      </c>
      <c r="C503" s="295" t="s">
        <v>429</v>
      </c>
      <c r="D503" s="295"/>
      <c r="E503" s="277"/>
      <c r="F503" s="277"/>
      <c r="G503" s="311">
        <f t="shared" si="142"/>
        <v>0</v>
      </c>
      <c r="H503" s="311"/>
      <c r="I503" s="277"/>
      <c r="J503" s="277"/>
      <c r="K503" s="277"/>
      <c r="L503" s="277"/>
      <c r="M503" s="277"/>
      <c r="N503" s="277"/>
      <c r="O503" s="277"/>
      <c r="P503" s="277"/>
      <c r="Q503" s="277"/>
    </row>
    <row r="504" spans="1:17" ht="26.25" hidden="1" x14ac:dyDescent="0.25">
      <c r="A504" s="327">
        <v>5402</v>
      </c>
      <c r="B504" s="294">
        <v>612300</v>
      </c>
      <c r="C504" s="295" t="s">
        <v>430</v>
      </c>
      <c r="D504" s="295"/>
      <c r="E504" s="277"/>
      <c r="F504" s="277"/>
      <c r="G504" s="311">
        <f t="shared" si="142"/>
        <v>0</v>
      </c>
      <c r="H504" s="311"/>
      <c r="I504" s="277"/>
      <c r="J504" s="277"/>
      <c r="K504" s="277"/>
      <c r="L504" s="277"/>
      <c r="M504" s="277"/>
      <c r="N504" s="277"/>
      <c r="O504" s="277"/>
      <c r="P504" s="277"/>
      <c r="Q504" s="277"/>
    </row>
    <row r="505" spans="1:17" ht="26.25" hidden="1" x14ac:dyDescent="0.25">
      <c r="A505" s="327">
        <v>5403</v>
      </c>
      <c r="B505" s="294">
        <v>612400</v>
      </c>
      <c r="C505" s="295" t="s">
        <v>431</v>
      </c>
      <c r="D505" s="295"/>
      <c r="E505" s="277"/>
      <c r="F505" s="277"/>
      <c r="G505" s="311">
        <f t="shared" si="142"/>
        <v>0</v>
      </c>
      <c r="H505" s="311"/>
      <c r="I505" s="277"/>
      <c r="J505" s="277"/>
      <c r="K505" s="277"/>
      <c r="L505" s="277"/>
      <c r="M505" s="277"/>
      <c r="N505" s="277"/>
      <c r="O505" s="277"/>
      <c r="P505" s="277"/>
      <c r="Q505" s="277"/>
    </row>
    <row r="506" spans="1:17" ht="26.25" hidden="1" x14ac:dyDescent="0.25">
      <c r="A506" s="327">
        <v>5404</v>
      </c>
      <c r="B506" s="294">
        <v>612500</v>
      </c>
      <c r="C506" s="295" t="s">
        <v>432</v>
      </c>
      <c r="D506" s="295"/>
      <c r="E506" s="277"/>
      <c r="F506" s="277"/>
      <c r="G506" s="311">
        <f t="shared" si="142"/>
        <v>0</v>
      </c>
      <c r="H506" s="311"/>
      <c r="I506" s="277"/>
      <c r="J506" s="277"/>
      <c r="K506" s="277"/>
      <c r="L506" s="277"/>
      <c r="M506" s="277"/>
      <c r="N506" s="277"/>
      <c r="O506" s="277"/>
      <c r="P506" s="277"/>
      <c r="Q506" s="277"/>
    </row>
    <row r="507" spans="1:17" ht="26.25" hidden="1" x14ac:dyDescent="0.25">
      <c r="A507" s="327">
        <v>5405</v>
      </c>
      <c r="B507" s="294">
        <v>612600</v>
      </c>
      <c r="C507" s="295" t="s">
        <v>433</v>
      </c>
      <c r="D507" s="295"/>
      <c r="E507" s="277"/>
      <c r="F507" s="277"/>
      <c r="G507" s="311">
        <f t="shared" si="142"/>
        <v>0</v>
      </c>
      <c r="H507" s="311"/>
      <c r="I507" s="277"/>
      <c r="J507" s="277"/>
      <c r="K507" s="277"/>
      <c r="L507" s="277"/>
      <c r="M507" s="277"/>
      <c r="N507" s="277"/>
      <c r="O507" s="277"/>
      <c r="P507" s="277"/>
      <c r="Q507" s="277"/>
    </row>
    <row r="508" spans="1:17" hidden="1" x14ac:dyDescent="0.25">
      <c r="A508" s="327">
        <v>5406</v>
      </c>
      <c r="B508" s="294">
        <v>612900</v>
      </c>
      <c r="C508" s="295" t="s">
        <v>173</v>
      </c>
      <c r="D508" s="295"/>
      <c r="E508" s="277"/>
      <c r="F508" s="277"/>
      <c r="G508" s="311">
        <f t="shared" si="142"/>
        <v>0</v>
      </c>
      <c r="H508" s="311"/>
      <c r="I508" s="277"/>
      <c r="J508" s="277"/>
      <c r="K508" s="277"/>
      <c r="L508" s="277"/>
      <c r="M508" s="277"/>
      <c r="N508" s="277"/>
      <c r="O508" s="277"/>
      <c r="P508" s="277"/>
      <c r="Q508" s="277"/>
    </row>
    <row r="509" spans="1:17" ht="26.25" hidden="1" x14ac:dyDescent="0.25">
      <c r="A509" s="498">
        <v>5407</v>
      </c>
      <c r="B509" s="494">
        <v>613000</v>
      </c>
      <c r="C509" s="287" t="s">
        <v>434</v>
      </c>
      <c r="D509" s="287"/>
      <c r="E509" s="288">
        <f>E510</f>
        <v>0</v>
      </c>
      <c r="F509" s="288"/>
      <c r="G509" s="288">
        <f t="shared" si="142"/>
        <v>0</v>
      </c>
      <c r="H509" s="288"/>
      <c r="I509" s="288">
        <f t="shared" ref="I509:Q509" si="157">I510</f>
        <v>0</v>
      </c>
      <c r="J509" s="288">
        <f t="shared" si="157"/>
        <v>0</v>
      </c>
      <c r="K509" s="288"/>
      <c r="L509" s="288">
        <f t="shared" si="157"/>
        <v>0</v>
      </c>
      <c r="M509" s="288"/>
      <c r="N509" s="288">
        <f t="shared" si="157"/>
        <v>0</v>
      </c>
      <c r="O509" s="288">
        <f t="shared" si="157"/>
        <v>0</v>
      </c>
      <c r="P509" s="288"/>
      <c r="Q509" s="288">
        <f t="shared" si="157"/>
        <v>0</v>
      </c>
    </row>
    <row r="510" spans="1:17" hidden="1" x14ac:dyDescent="0.25">
      <c r="A510" s="327">
        <v>5408</v>
      </c>
      <c r="B510" s="294">
        <v>613100</v>
      </c>
      <c r="C510" s="295" t="s">
        <v>435</v>
      </c>
      <c r="D510" s="295"/>
      <c r="E510" s="277"/>
      <c r="F510" s="277"/>
      <c r="G510" s="311">
        <f t="shared" si="142"/>
        <v>0</v>
      </c>
      <c r="H510" s="311"/>
      <c r="I510" s="277"/>
      <c r="J510" s="277"/>
      <c r="K510" s="277"/>
      <c r="L510" s="277"/>
      <c r="M510" s="277"/>
      <c r="N510" s="277"/>
      <c r="O510" s="277"/>
      <c r="P510" s="277"/>
      <c r="Q510" s="277"/>
    </row>
    <row r="511" spans="1:17" ht="39" hidden="1" x14ac:dyDescent="0.25">
      <c r="A511" s="498">
        <v>5409</v>
      </c>
      <c r="B511" s="494">
        <v>614000</v>
      </c>
      <c r="C511" s="287" t="s">
        <v>436</v>
      </c>
      <c r="D511" s="287"/>
      <c r="E511" s="288">
        <f>E512</f>
        <v>0</v>
      </c>
      <c r="F511" s="288"/>
      <c r="G511" s="288">
        <f t="shared" si="142"/>
        <v>0</v>
      </c>
      <c r="H511" s="288"/>
      <c r="I511" s="288">
        <f t="shared" ref="I511:Q513" si="158">I512</f>
        <v>0</v>
      </c>
      <c r="J511" s="288">
        <f t="shared" si="158"/>
        <v>0</v>
      </c>
      <c r="K511" s="288"/>
      <c r="L511" s="288">
        <f t="shared" si="158"/>
        <v>0</v>
      </c>
      <c r="M511" s="288"/>
      <c r="N511" s="288">
        <f t="shared" si="158"/>
        <v>0</v>
      </c>
      <c r="O511" s="288">
        <f t="shared" si="158"/>
        <v>0</v>
      </c>
      <c r="P511" s="288"/>
      <c r="Q511" s="288">
        <f t="shared" si="158"/>
        <v>0</v>
      </c>
    </row>
    <row r="512" spans="1:17" ht="26.25" hidden="1" x14ac:dyDescent="0.25">
      <c r="A512" s="327">
        <v>5410</v>
      </c>
      <c r="B512" s="294">
        <v>614100</v>
      </c>
      <c r="C512" s="295" t="s">
        <v>437</v>
      </c>
      <c r="D512" s="295"/>
      <c r="E512" s="277"/>
      <c r="F512" s="277"/>
      <c r="G512" s="311">
        <f t="shared" si="142"/>
        <v>0</v>
      </c>
      <c r="H512" s="311"/>
      <c r="I512" s="277"/>
      <c r="J512" s="277"/>
      <c r="K512" s="277"/>
      <c r="L512" s="277"/>
      <c r="M512" s="277"/>
      <c r="N512" s="277"/>
      <c r="O512" s="277"/>
      <c r="P512" s="277"/>
      <c r="Q512" s="277"/>
    </row>
    <row r="513" spans="1:17" ht="39" hidden="1" x14ac:dyDescent="0.25">
      <c r="A513" s="498">
        <v>5411</v>
      </c>
      <c r="B513" s="494">
        <v>615000</v>
      </c>
      <c r="C513" s="287" t="s">
        <v>438</v>
      </c>
      <c r="D513" s="287"/>
      <c r="E513" s="288">
        <f>E514</f>
        <v>0</v>
      </c>
      <c r="F513" s="288"/>
      <c r="G513" s="288">
        <f t="shared" si="142"/>
        <v>0</v>
      </c>
      <c r="H513" s="288"/>
      <c r="I513" s="288">
        <f t="shared" si="158"/>
        <v>0</v>
      </c>
      <c r="J513" s="288">
        <f t="shared" si="158"/>
        <v>0</v>
      </c>
      <c r="K513" s="288"/>
      <c r="L513" s="288">
        <f t="shared" si="158"/>
        <v>0</v>
      </c>
      <c r="M513" s="288"/>
      <c r="N513" s="288">
        <f t="shared" si="158"/>
        <v>0</v>
      </c>
      <c r="O513" s="288">
        <f t="shared" si="158"/>
        <v>0</v>
      </c>
      <c r="P513" s="288"/>
      <c r="Q513" s="288">
        <f t="shared" si="158"/>
        <v>0</v>
      </c>
    </row>
    <row r="514" spans="1:17" ht="26.25" hidden="1" x14ac:dyDescent="0.25">
      <c r="A514" s="327">
        <v>5412</v>
      </c>
      <c r="B514" s="294">
        <v>615100</v>
      </c>
      <c r="C514" s="295" t="s">
        <v>439</v>
      </c>
      <c r="D514" s="295"/>
      <c r="E514" s="277"/>
      <c r="F514" s="277"/>
      <c r="G514" s="311">
        <f t="shared" si="142"/>
        <v>0</v>
      </c>
      <c r="H514" s="311"/>
      <c r="I514" s="277"/>
      <c r="J514" s="277"/>
      <c r="K514" s="277"/>
      <c r="L514" s="277"/>
      <c r="M514" s="277"/>
      <c r="N514" s="277"/>
      <c r="O514" s="277"/>
      <c r="P514" s="277"/>
      <c r="Q514" s="277"/>
    </row>
    <row r="515" spans="1:17" ht="26.25" hidden="1" x14ac:dyDescent="0.25">
      <c r="A515" s="498">
        <v>5413</v>
      </c>
      <c r="B515" s="494">
        <v>620000</v>
      </c>
      <c r="C515" s="287" t="s">
        <v>440</v>
      </c>
      <c r="D515" s="287"/>
      <c r="E515" s="288">
        <f>E516+E530+E539</f>
        <v>0</v>
      </c>
      <c r="F515" s="288"/>
      <c r="G515" s="288">
        <f t="shared" si="142"/>
        <v>0</v>
      </c>
      <c r="H515" s="288"/>
      <c r="I515" s="288">
        <f t="shared" ref="I515:Q515" si="159">I516+I530+I539</f>
        <v>0</v>
      </c>
      <c r="J515" s="288">
        <f t="shared" si="159"/>
        <v>0</v>
      </c>
      <c r="K515" s="288"/>
      <c r="L515" s="288">
        <f t="shared" si="159"/>
        <v>0</v>
      </c>
      <c r="M515" s="288"/>
      <c r="N515" s="288">
        <f t="shared" si="159"/>
        <v>0</v>
      </c>
      <c r="O515" s="288">
        <f t="shared" si="159"/>
        <v>0</v>
      </c>
      <c r="P515" s="288"/>
      <c r="Q515" s="288">
        <f t="shared" si="159"/>
        <v>0</v>
      </c>
    </row>
    <row r="516" spans="1:17" ht="39" hidden="1" x14ac:dyDescent="0.25">
      <c r="A516" s="498">
        <v>5414</v>
      </c>
      <c r="B516" s="494">
        <v>621000</v>
      </c>
      <c r="C516" s="287" t="s">
        <v>441</v>
      </c>
      <c r="D516" s="287"/>
      <c r="E516" s="288">
        <f>SUM(E517:E529)</f>
        <v>0</v>
      </c>
      <c r="F516" s="288"/>
      <c r="G516" s="288">
        <f t="shared" si="142"/>
        <v>0</v>
      </c>
      <c r="H516" s="288"/>
      <c r="I516" s="288">
        <f t="shared" ref="I516:Q516" si="160">SUM(I517:I529)</f>
        <v>0</v>
      </c>
      <c r="J516" s="288">
        <f t="shared" si="160"/>
        <v>0</v>
      </c>
      <c r="K516" s="288"/>
      <c r="L516" s="288">
        <f t="shared" si="160"/>
        <v>0</v>
      </c>
      <c r="M516" s="288"/>
      <c r="N516" s="288">
        <f t="shared" si="160"/>
        <v>0</v>
      </c>
      <c r="O516" s="288">
        <f t="shared" si="160"/>
        <v>0</v>
      </c>
      <c r="P516" s="288"/>
      <c r="Q516" s="288">
        <f t="shared" si="160"/>
        <v>0</v>
      </c>
    </row>
    <row r="517" spans="1:17" ht="26.25" hidden="1" x14ac:dyDescent="0.25">
      <c r="A517" s="327">
        <v>5415</v>
      </c>
      <c r="B517" s="294">
        <v>621100</v>
      </c>
      <c r="C517" s="295" t="s">
        <v>442</v>
      </c>
      <c r="D517" s="295"/>
      <c r="E517" s="277"/>
      <c r="F517" s="277"/>
      <c r="G517" s="311">
        <f t="shared" si="142"/>
        <v>0</v>
      </c>
      <c r="H517" s="311"/>
      <c r="I517" s="277"/>
      <c r="J517" s="277"/>
      <c r="K517" s="277"/>
      <c r="L517" s="277"/>
      <c r="M517" s="277"/>
      <c r="N517" s="277"/>
      <c r="O517" s="277"/>
      <c r="P517" s="277"/>
      <c r="Q517" s="277"/>
    </row>
    <row r="518" spans="1:17" hidden="1" x14ac:dyDescent="0.25">
      <c r="A518" s="656" t="s">
        <v>0</v>
      </c>
      <c r="B518" s="657" t="s">
        <v>1</v>
      </c>
      <c r="C518" s="656" t="s">
        <v>2</v>
      </c>
      <c r="D518" s="492"/>
      <c r="E518" s="656" t="s">
        <v>217</v>
      </c>
      <c r="F518" s="492"/>
      <c r="G518" s="658" t="s">
        <v>198</v>
      </c>
      <c r="H518" s="658"/>
      <c r="I518" s="659"/>
      <c r="J518" s="659"/>
      <c r="K518" s="659"/>
      <c r="L518" s="659"/>
      <c r="M518" s="659"/>
      <c r="N518" s="659"/>
      <c r="O518" s="659"/>
      <c r="P518" s="659"/>
      <c r="Q518" s="659"/>
    </row>
    <row r="519" spans="1:17" hidden="1" x14ac:dyDescent="0.25">
      <c r="A519" s="656"/>
      <c r="B519" s="657"/>
      <c r="C519" s="656"/>
      <c r="D519" s="492"/>
      <c r="E519" s="656"/>
      <c r="F519" s="492"/>
      <c r="G519" s="658" t="s">
        <v>199</v>
      </c>
      <c r="H519" s="494"/>
      <c r="I519" s="658" t="s">
        <v>200</v>
      </c>
      <c r="J519" s="659"/>
      <c r="K519" s="659"/>
      <c r="L519" s="659"/>
      <c r="M519" s="659"/>
      <c r="N519" s="659"/>
      <c r="O519" s="658" t="s">
        <v>7</v>
      </c>
      <c r="P519" s="494"/>
      <c r="Q519" s="658" t="s">
        <v>8</v>
      </c>
    </row>
    <row r="520" spans="1:17" ht="39" hidden="1" x14ac:dyDescent="0.25">
      <c r="A520" s="656"/>
      <c r="B520" s="657"/>
      <c r="C520" s="656"/>
      <c r="D520" s="492"/>
      <c r="E520" s="656"/>
      <c r="F520" s="492"/>
      <c r="G520" s="659"/>
      <c r="H520" s="495"/>
      <c r="I520" s="494" t="s">
        <v>201</v>
      </c>
      <c r="J520" s="494" t="s">
        <v>10</v>
      </c>
      <c r="K520" s="494"/>
      <c r="L520" s="494" t="s">
        <v>11</v>
      </c>
      <c r="M520" s="494"/>
      <c r="N520" s="494" t="s">
        <v>12</v>
      </c>
      <c r="O520" s="659"/>
      <c r="P520" s="495"/>
      <c r="Q520" s="659"/>
    </row>
    <row r="521" spans="1:17" ht="26.25" hidden="1" x14ac:dyDescent="0.25">
      <c r="A521" s="493" t="s">
        <v>18</v>
      </c>
      <c r="B521" s="493" t="s">
        <v>19</v>
      </c>
      <c r="C521" s="493" t="s">
        <v>20</v>
      </c>
      <c r="D521" s="493"/>
      <c r="E521" s="493" t="s">
        <v>21</v>
      </c>
      <c r="F521" s="493"/>
      <c r="G521" s="493" t="s">
        <v>22</v>
      </c>
      <c r="H521" s="493"/>
      <c r="I521" s="493" t="s">
        <v>23</v>
      </c>
      <c r="J521" s="493" t="s">
        <v>24</v>
      </c>
      <c r="K521" s="493"/>
      <c r="L521" s="493" t="s">
        <v>25</v>
      </c>
      <c r="M521" s="493"/>
      <c r="N521" s="493" t="s">
        <v>26</v>
      </c>
      <c r="O521" s="493" t="s">
        <v>27</v>
      </c>
      <c r="P521" s="493"/>
      <c r="Q521" s="493" t="s">
        <v>28</v>
      </c>
    </row>
    <row r="522" spans="1:17" hidden="1" x14ac:dyDescent="0.25">
      <c r="A522" s="327">
        <v>5416</v>
      </c>
      <c r="B522" s="294">
        <v>621200</v>
      </c>
      <c r="C522" s="295" t="s">
        <v>443</v>
      </c>
      <c r="D522" s="295"/>
      <c r="E522" s="277"/>
      <c r="F522" s="277"/>
      <c r="G522" s="311">
        <f t="shared" si="142"/>
        <v>0</v>
      </c>
      <c r="H522" s="311"/>
      <c r="I522" s="277"/>
      <c r="J522" s="277"/>
      <c r="K522" s="277"/>
      <c r="L522" s="277"/>
      <c r="M522" s="277"/>
      <c r="N522" s="277"/>
      <c r="O522" s="277"/>
      <c r="P522" s="277"/>
      <c r="Q522" s="277"/>
    </row>
    <row r="523" spans="1:17" ht="26.25" hidden="1" x14ac:dyDescent="0.25">
      <c r="A523" s="327">
        <v>5417</v>
      </c>
      <c r="B523" s="294">
        <v>621300</v>
      </c>
      <c r="C523" s="295" t="s">
        <v>444</v>
      </c>
      <c r="D523" s="295"/>
      <c r="E523" s="277"/>
      <c r="F523" s="277"/>
      <c r="G523" s="311">
        <f t="shared" si="142"/>
        <v>0</v>
      </c>
      <c r="H523" s="311"/>
      <c r="I523" s="277"/>
      <c r="J523" s="277"/>
      <c r="K523" s="277"/>
      <c r="L523" s="277"/>
      <c r="M523" s="277"/>
      <c r="N523" s="277"/>
      <c r="O523" s="277"/>
      <c r="P523" s="277"/>
      <c r="Q523" s="277"/>
    </row>
    <row r="524" spans="1:17" ht="26.25" hidden="1" x14ac:dyDescent="0.25">
      <c r="A524" s="327">
        <v>5418</v>
      </c>
      <c r="B524" s="294">
        <v>621400</v>
      </c>
      <c r="C524" s="295" t="s">
        <v>445</v>
      </c>
      <c r="D524" s="295"/>
      <c r="E524" s="277"/>
      <c r="F524" s="277"/>
      <c r="G524" s="311">
        <f t="shared" si="142"/>
        <v>0</v>
      </c>
      <c r="H524" s="311"/>
      <c r="I524" s="277"/>
      <c r="J524" s="277"/>
      <c r="K524" s="277"/>
      <c r="L524" s="277"/>
      <c r="M524" s="277"/>
      <c r="N524" s="277"/>
      <c r="O524" s="277"/>
      <c r="P524" s="277"/>
      <c r="Q524" s="277"/>
    </row>
    <row r="525" spans="1:17" ht="39" hidden="1" x14ac:dyDescent="0.25">
      <c r="A525" s="327">
        <v>5419</v>
      </c>
      <c r="B525" s="294">
        <v>621500</v>
      </c>
      <c r="C525" s="295" t="s">
        <v>446</v>
      </c>
      <c r="D525" s="295"/>
      <c r="E525" s="277"/>
      <c r="F525" s="277"/>
      <c r="G525" s="311">
        <f t="shared" si="142"/>
        <v>0</v>
      </c>
      <c r="H525" s="311"/>
      <c r="I525" s="277"/>
      <c r="J525" s="277"/>
      <c r="K525" s="277"/>
      <c r="L525" s="277"/>
      <c r="M525" s="277"/>
      <c r="N525" s="277"/>
      <c r="O525" s="277"/>
      <c r="P525" s="277"/>
      <c r="Q525" s="277"/>
    </row>
    <row r="526" spans="1:17" ht="26.25" hidden="1" x14ac:dyDescent="0.25">
      <c r="A526" s="327">
        <v>5420</v>
      </c>
      <c r="B526" s="294">
        <v>621600</v>
      </c>
      <c r="C526" s="295" t="s">
        <v>447</v>
      </c>
      <c r="D526" s="295"/>
      <c r="E526" s="277"/>
      <c r="F526" s="277"/>
      <c r="G526" s="311">
        <f t="shared" si="142"/>
        <v>0</v>
      </c>
      <c r="H526" s="311"/>
      <c r="I526" s="277"/>
      <c r="J526" s="277"/>
      <c r="K526" s="277"/>
      <c r="L526" s="277"/>
      <c r="M526" s="277"/>
      <c r="N526" s="277"/>
      <c r="O526" s="277"/>
      <c r="P526" s="277"/>
      <c r="Q526" s="277"/>
    </row>
    <row r="527" spans="1:17" ht="26.25" hidden="1" x14ac:dyDescent="0.25">
      <c r="A527" s="327">
        <v>5421</v>
      </c>
      <c r="B527" s="294">
        <v>621700</v>
      </c>
      <c r="C527" s="295" t="s">
        <v>448</v>
      </c>
      <c r="D527" s="295"/>
      <c r="E527" s="277"/>
      <c r="F527" s="277"/>
      <c r="G527" s="311">
        <f t="shared" si="142"/>
        <v>0</v>
      </c>
      <c r="H527" s="311"/>
      <c r="I527" s="277"/>
      <c r="J527" s="277"/>
      <c r="K527" s="277"/>
      <c r="L527" s="277"/>
      <c r="M527" s="277"/>
      <c r="N527" s="277"/>
      <c r="O527" s="277"/>
      <c r="P527" s="277"/>
      <c r="Q527" s="277"/>
    </row>
    <row r="528" spans="1:17" ht="39" hidden="1" x14ac:dyDescent="0.25">
      <c r="A528" s="327">
        <v>5422</v>
      </c>
      <c r="B528" s="294">
        <v>621800</v>
      </c>
      <c r="C528" s="295" t="s">
        <v>449</v>
      </c>
      <c r="D528" s="295"/>
      <c r="E528" s="277"/>
      <c r="F528" s="277"/>
      <c r="G528" s="311">
        <f t="shared" si="142"/>
        <v>0</v>
      </c>
      <c r="H528" s="311"/>
      <c r="I528" s="277"/>
      <c r="J528" s="277"/>
      <c r="K528" s="277"/>
      <c r="L528" s="277"/>
      <c r="M528" s="277"/>
      <c r="N528" s="277"/>
      <c r="O528" s="277"/>
      <c r="P528" s="277"/>
      <c r="Q528" s="277"/>
    </row>
    <row r="529" spans="1:17" ht="26.25" hidden="1" x14ac:dyDescent="0.25">
      <c r="A529" s="327">
        <v>5423</v>
      </c>
      <c r="B529" s="294">
        <v>621900</v>
      </c>
      <c r="C529" s="295" t="s">
        <v>450</v>
      </c>
      <c r="D529" s="295"/>
      <c r="E529" s="277"/>
      <c r="F529" s="277"/>
      <c r="G529" s="311">
        <f t="shared" si="142"/>
        <v>0</v>
      </c>
      <c r="H529" s="311"/>
      <c r="I529" s="277"/>
      <c r="J529" s="277"/>
      <c r="K529" s="277"/>
      <c r="L529" s="277"/>
      <c r="M529" s="277"/>
      <c r="N529" s="277"/>
      <c r="O529" s="277"/>
      <c r="P529" s="277"/>
      <c r="Q529" s="277"/>
    </row>
    <row r="530" spans="1:17" ht="39" hidden="1" x14ac:dyDescent="0.25">
      <c r="A530" s="498">
        <v>5424</v>
      </c>
      <c r="B530" s="494">
        <v>622000</v>
      </c>
      <c r="C530" s="287" t="s">
        <v>451</v>
      </c>
      <c r="D530" s="287"/>
      <c r="E530" s="288">
        <f>SUM(E531:E538)</f>
        <v>0</v>
      </c>
      <c r="F530" s="288"/>
      <c r="G530" s="288">
        <f t="shared" si="142"/>
        <v>0</v>
      </c>
      <c r="H530" s="288"/>
      <c r="I530" s="288">
        <f t="shared" ref="I530:Q530" si="161">SUM(I531:I538)</f>
        <v>0</v>
      </c>
      <c r="J530" s="288">
        <f t="shared" si="161"/>
        <v>0</v>
      </c>
      <c r="K530" s="288"/>
      <c r="L530" s="288">
        <f t="shared" si="161"/>
        <v>0</v>
      </c>
      <c r="M530" s="288"/>
      <c r="N530" s="288">
        <f t="shared" si="161"/>
        <v>0</v>
      </c>
      <c r="O530" s="288">
        <f t="shared" si="161"/>
        <v>0</v>
      </c>
      <c r="P530" s="288"/>
      <c r="Q530" s="288">
        <f t="shared" si="161"/>
        <v>0</v>
      </c>
    </row>
    <row r="531" spans="1:17" ht="26.25" hidden="1" x14ac:dyDescent="0.25">
      <c r="A531" s="327">
        <v>5425</v>
      </c>
      <c r="B531" s="294">
        <v>622100</v>
      </c>
      <c r="C531" s="295" t="s">
        <v>452</v>
      </c>
      <c r="D531" s="295"/>
      <c r="E531" s="277"/>
      <c r="F531" s="277"/>
      <c r="G531" s="311">
        <f t="shared" si="142"/>
        <v>0</v>
      </c>
      <c r="H531" s="311"/>
      <c r="I531" s="277"/>
      <c r="J531" s="277"/>
      <c r="K531" s="277"/>
      <c r="L531" s="277"/>
      <c r="M531" s="277"/>
      <c r="N531" s="277"/>
      <c r="O531" s="277"/>
      <c r="P531" s="277"/>
      <c r="Q531" s="277"/>
    </row>
    <row r="532" spans="1:17" hidden="1" x14ac:dyDescent="0.25">
      <c r="A532" s="327">
        <v>5426</v>
      </c>
      <c r="B532" s="294">
        <v>622200</v>
      </c>
      <c r="C532" s="295" t="s">
        <v>453</v>
      </c>
      <c r="D532" s="295"/>
      <c r="E532" s="277"/>
      <c r="F532" s="277"/>
      <c r="G532" s="311">
        <f t="shared" si="142"/>
        <v>0</v>
      </c>
      <c r="H532" s="311"/>
      <c r="I532" s="277"/>
      <c r="J532" s="277"/>
      <c r="K532" s="277"/>
      <c r="L532" s="277"/>
      <c r="M532" s="277"/>
      <c r="N532" s="277"/>
      <c r="O532" s="277"/>
      <c r="P532" s="277"/>
      <c r="Q532" s="277"/>
    </row>
    <row r="533" spans="1:17" ht="26.25" hidden="1" x14ac:dyDescent="0.25">
      <c r="A533" s="327">
        <v>5427</v>
      </c>
      <c r="B533" s="294">
        <v>622300</v>
      </c>
      <c r="C533" s="295" t="s">
        <v>454</v>
      </c>
      <c r="D533" s="295"/>
      <c r="E533" s="277"/>
      <c r="F533" s="277"/>
      <c r="G533" s="311">
        <f t="shared" si="142"/>
        <v>0</v>
      </c>
      <c r="H533" s="311"/>
      <c r="I533" s="277"/>
      <c r="J533" s="277"/>
      <c r="K533" s="277"/>
      <c r="L533" s="277"/>
      <c r="M533" s="277"/>
      <c r="N533" s="277"/>
      <c r="O533" s="277"/>
      <c r="P533" s="277"/>
      <c r="Q533" s="277"/>
    </row>
    <row r="534" spans="1:17" ht="26.25" hidden="1" x14ac:dyDescent="0.25">
      <c r="A534" s="327">
        <v>5428</v>
      </c>
      <c r="B534" s="294">
        <v>622400</v>
      </c>
      <c r="C534" s="295" t="s">
        <v>455</v>
      </c>
      <c r="D534" s="295"/>
      <c r="E534" s="277"/>
      <c r="F534" s="277"/>
      <c r="G534" s="311">
        <f t="shared" si="142"/>
        <v>0</v>
      </c>
      <c r="H534" s="311"/>
      <c r="I534" s="277"/>
      <c r="J534" s="277"/>
      <c r="K534" s="277"/>
      <c r="L534" s="277"/>
      <c r="M534" s="277"/>
      <c r="N534" s="277"/>
      <c r="O534" s="277"/>
      <c r="P534" s="277"/>
      <c r="Q534" s="277"/>
    </row>
    <row r="535" spans="1:17" ht="26.25" hidden="1" x14ac:dyDescent="0.25">
      <c r="A535" s="327">
        <v>5429</v>
      </c>
      <c r="B535" s="294">
        <v>622500</v>
      </c>
      <c r="C535" s="295" t="s">
        <v>456</v>
      </c>
      <c r="D535" s="295"/>
      <c r="E535" s="277"/>
      <c r="F535" s="277"/>
      <c r="G535" s="311">
        <f t="shared" si="142"/>
        <v>0</v>
      </c>
      <c r="H535" s="311"/>
      <c r="I535" s="277"/>
      <c r="J535" s="277"/>
      <c r="K535" s="277"/>
      <c r="L535" s="277"/>
      <c r="M535" s="277"/>
      <c r="N535" s="277"/>
      <c r="O535" s="277"/>
      <c r="P535" s="277"/>
      <c r="Q535" s="277"/>
    </row>
    <row r="536" spans="1:17" ht="26.25" hidden="1" x14ac:dyDescent="0.25">
      <c r="A536" s="327">
        <v>5430</v>
      </c>
      <c r="B536" s="294">
        <v>622600</v>
      </c>
      <c r="C536" s="295" t="s">
        <v>457</v>
      </c>
      <c r="D536" s="295"/>
      <c r="E536" s="277"/>
      <c r="F536" s="277"/>
      <c r="G536" s="311">
        <f t="shared" ref="G536:G540" si="162">SUM(I536:Q536)</f>
        <v>0</v>
      </c>
      <c r="H536" s="311"/>
      <c r="I536" s="277"/>
      <c r="J536" s="277"/>
      <c r="K536" s="277"/>
      <c r="L536" s="277"/>
      <c r="M536" s="277"/>
      <c r="N536" s="277"/>
      <c r="O536" s="277"/>
      <c r="P536" s="277"/>
      <c r="Q536" s="277"/>
    </row>
    <row r="537" spans="1:17" ht="26.25" hidden="1" x14ac:dyDescent="0.25">
      <c r="A537" s="327">
        <v>5431</v>
      </c>
      <c r="B537" s="294">
        <v>622700</v>
      </c>
      <c r="C537" s="295" t="s">
        <v>458</v>
      </c>
      <c r="D537" s="295"/>
      <c r="E537" s="277"/>
      <c r="F537" s="277"/>
      <c r="G537" s="311">
        <f t="shared" si="162"/>
        <v>0</v>
      </c>
      <c r="H537" s="311"/>
      <c r="I537" s="277"/>
      <c r="J537" s="277"/>
      <c r="K537" s="277"/>
      <c r="L537" s="277"/>
      <c r="M537" s="277"/>
      <c r="N537" s="277"/>
      <c r="O537" s="277"/>
      <c r="P537" s="277"/>
      <c r="Q537" s="277"/>
    </row>
    <row r="538" spans="1:17" hidden="1" x14ac:dyDescent="0.25">
      <c r="A538" s="327">
        <v>5432</v>
      </c>
      <c r="B538" s="294">
        <v>622800</v>
      </c>
      <c r="C538" s="295" t="s">
        <v>459</v>
      </c>
      <c r="D538" s="295"/>
      <c r="E538" s="277"/>
      <c r="F538" s="277"/>
      <c r="G538" s="311">
        <f t="shared" si="162"/>
        <v>0</v>
      </c>
      <c r="H538" s="311"/>
      <c r="I538" s="277"/>
      <c r="J538" s="277"/>
      <c r="K538" s="277"/>
      <c r="L538" s="277"/>
      <c r="M538" s="277"/>
      <c r="N538" s="277"/>
      <c r="O538" s="277"/>
      <c r="P538" s="277"/>
      <c r="Q538" s="277"/>
    </row>
    <row r="539" spans="1:17" ht="90" hidden="1" x14ac:dyDescent="0.25">
      <c r="A539" s="498">
        <v>5433</v>
      </c>
      <c r="B539" s="494">
        <v>623000</v>
      </c>
      <c r="C539" s="287" t="s">
        <v>460</v>
      </c>
      <c r="D539" s="287"/>
      <c r="E539" s="288">
        <f>E540</f>
        <v>0</v>
      </c>
      <c r="F539" s="288"/>
      <c r="G539" s="288">
        <f t="shared" si="162"/>
        <v>0</v>
      </c>
      <c r="H539" s="288"/>
      <c r="I539" s="288">
        <f t="shared" ref="I539:Q539" si="163">I540</f>
        <v>0</v>
      </c>
      <c r="J539" s="288">
        <f t="shared" si="163"/>
        <v>0</v>
      </c>
      <c r="K539" s="288"/>
      <c r="L539" s="288">
        <f t="shared" si="163"/>
        <v>0</v>
      </c>
      <c r="M539" s="288"/>
      <c r="N539" s="288">
        <f t="shared" si="163"/>
        <v>0</v>
      </c>
      <c r="O539" s="288">
        <f t="shared" si="163"/>
        <v>0</v>
      </c>
      <c r="P539" s="288"/>
      <c r="Q539" s="288">
        <f t="shared" si="163"/>
        <v>0</v>
      </c>
    </row>
    <row r="540" spans="1:17" ht="51.75" hidden="1" x14ac:dyDescent="0.25">
      <c r="A540" s="327">
        <v>5434</v>
      </c>
      <c r="B540" s="294">
        <v>623100</v>
      </c>
      <c r="C540" s="295" t="s">
        <v>461</v>
      </c>
      <c r="D540" s="295"/>
      <c r="E540" s="277"/>
      <c r="F540" s="277"/>
      <c r="G540" s="311">
        <f t="shared" si="162"/>
        <v>0</v>
      </c>
      <c r="H540" s="311"/>
      <c r="I540" s="277"/>
      <c r="J540" s="277"/>
      <c r="K540" s="277"/>
      <c r="L540" s="277"/>
      <c r="M540" s="277"/>
      <c r="N540" s="277"/>
      <c r="O540" s="277"/>
      <c r="P540" s="277"/>
      <c r="Q540" s="277"/>
    </row>
    <row r="541" spans="1:17" ht="26.25" x14ac:dyDescent="0.25">
      <c r="A541" s="498">
        <v>5435</v>
      </c>
      <c r="B541" s="294"/>
      <c r="C541" s="287" t="s">
        <v>462</v>
      </c>
      <c r="D541" s="287"/>
      <c r="E541" s="288">
        <f t="shared" ref="E541:Q541" si="164">E219+E485</f>
        <v>1500538</v>
      </c>
      <c r="F541" s="288">
        <f t="shared" si="164"/>
        <v>1639545</v>
      </c>
      <c r="G541" s="288">
        <f t="shared" si="164"/>
        <v>1138166</v>
      </c>
      <c r="H541" s="288">
        <f t="shared" si="164"/>
        <v>26000</v>
      </c>
      <c r="I541" s="288">
        <f t="shared" si="164"/>
        <v>1577</v>
      </c>
      <c r="J541" s="288">
        <f t="shared" si="164"/>
        <v>0</v>
      </c>
      <c r="K541" s="288">
        <f t="shared" si="164"/>
        <v>1000</v>
      </c>
      <c r="L541" s="288">
        <f t="shared" si="164"/>
        <v>1273</v>
      </c>
      <c r="M541" s="288">
        <f t="shared" si="164"/>
        <v>1599334</v>
      </c>
      <c r="N541" s="288">
        <f t="shared" si="164"/>
        <v>1125638</v>
      </c>
      <c r="O541" s="288">
        <f t="shared" si="164"/>
        <v>0</v>
      </c>
      <c r="P541" s="288">
        <f t="shared" si="164"/>
        <v>13211</v>
      </c>
      <c r="Q541" s="288">
        <f t="shared" si="164"/>
        <v>9668</v>
      </c>
    </row>
    <row r="542" spans="1:17" hidden="1" x14ac:dyDescent="0.25"/>
    <row r="543" spans="1:17" hidden="1" x14ac:dyDescent="0.25">
      <c r="F543" s="326">
        <f>F210-F541</f>
        <v>-311</v>
      </c>
      <c r="G543" s="326"/>
      <c r="H543" s="326">
        <f>H210-H541</f>
        <v>0</v>
      </c>
      <c r="I543" s="326"/>
      <c r="J543" s="326">
        <f>J210-J541</f>
        <v>0</v>
      </c>
      <c r="K543" s="326">
        <f>K210-K541</f>
        <v>0</v>
      </c>
      <c r="L543" s="326"/>
      <c r="M543" s="326">
        <f>M210-M541</f>
        <v>0</v>
      </c>
      <c r="N543" s="326"/>
      <c r="O543" s="326">
        <f>O210-O541</f>
        <v>0</v>
      </c>
      <c r="P543" s="341">
        <f>P210-P541</f>
        <v>-311</v>
      </c>
      <c r="Q543" s="326" t="s">
        <v>469</v>
      </c>
    </row>
    <row r="544" spans="1:17" hidden="1" x14ac:dyDescent="0.25"/>
    <row r="545" spans="1:16" hidden="1" x14ac:dyDescent="0.25">
      <c r="M545" s="326">
        <v>55285</v>
      </c>
    </row>
    <row r="546" spans="1:16" hidden="1" x14ac:dyDescent="0.25">
      <c r="K546" s="281" t="s">
        <v>463</v>
      </c>
      <c r="L546" s="326">
        <v>50421</v>
      </c>
      <c r="M546" s="326">
        <f>M249+M251+M252+M253+M257+M264+M265+M266+M267+M269+M274+M278+M281+M282+M284+M285+M287+M289+M312+M313</f>
        <v>55285</v>
      </c>
      <c r="N546" s="326">
        <f>L546-M546</f>
        <v>-4864</v>
      </c>
      <c r="P546" s="326">
        <f>M546-M545</f>
        <v>0</v>
      </c>
    </row>
    <row r="547" spans="1:16" s="345" customFormat="1" ht="24.75" customHeight="1" x14ac:dyDescent="0.25">
      <c r="A547" s="653" t="s">
        <v>509</v>
      </c>
      <c r="B547" s="654"/>
      <c r="C547" s="655"/>
      <c r="D547" s="342"/>
      <c r="E547" s="343"/>
      <c r="F547" s="343">
        <f>F210-F541</f>
        <v>-311</v>
      </c>
      <c r="G547" s="343">
        <f t="shared" ref="G547" si="165">G210-G541</f>
        <v>1889772</v>
      </c>
      <c r="H547" s="344">
        <f>H210-H541</f>
        <v>0</v>
      </c>
      <c r="I547" s="343">
        <f t="shared" ref="I547:P547" si="166">I210-I541</f>
        <v>17161</v>
      </c>
      <c r="J547" s="343">
        <f t="shared" si="166"/>
        <v>0</v>
      </c>
      <c r="K547" s="344">
        <f t="shared" si="166"/>
        <v>0</v>
      </c>
      <c r="L547" s="344">
        <f t="shared" si="166"/>
        <v>-768</v>
      </c>
      <c r="M547" s="344">
        <f t="shared" si="166"/>
        <v>0</v>
      </c>
      <c r="N547" s="343">
        <f t="shared" si="166"/>
        <v>272554</v>
      </c>
      <c r="O547" s="343">
        <f t="shared" si="166"/>
        <v>0</v>
      </c>
      <c r="P547" s="343">
        <f t="shared" si="166"/>
        <v>-311</v>
      </c>
    </row>
  </sheetData>
  <mergeCells count="187">
    <mergeCell ref="A547:C547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</mergeCells>
  <dataValidations count="1">
    <dataValidation type="whole" allowBlank="1" showErrorMessage="1" errorTitle="Upozorenje" error="Niste uneli korektnu vrednost!_x000a_Ponovite unos." sqref="E495:Q517 E238:Q269 H432:H443 I432:Q462 E432:G462 E104:E127 G120:M121 G104:Q119 E467:Q490 E379:Q399 E353:Q374 E323:Q348 E404:Q427 E522:Q541 E219:Q233 E274:Q318 H445:H462 E132:E154 G132:Q154 G122:Q127 G74:Q99 E74:E99 E6:Q10 E207:Q211 E185:Q202 E159:Q180 E47:Q69 E15:Q42 F74:F154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A1:V549"/>
  <sheetViews>
    <sheetView topLeftCell="C443" workbookViewId="0">
      <selection activeCell="X547" sqref="X541:AH547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10.42578125" style="12" customWidth="1"/>
    <col min="7" max="7" width="1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7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2" width="0" style="12" hidden="1" customWidth="1"/>
    <col min="23" max="23" width="4.85546875" style="12" customWidth="1"/>
    <col min="24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1639334</v>
      </c>
      <c r="G6" s="19">
        <f t="shared" ref="G6:Q6" si="0">G7+G133</f>
        <v>3027938</v>
      </c>
      <c r="H6" s="19">
        <f t="shared" si="0"/>
        <v>26000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1599334</v>
      </c>
      <c r="N6" s="19">
        <f t="shared" si="0"/>
        <v>1398192</v>
      </c>
      <c r="O6" s="19">
        <f t="shared" si="0"/>
        <v>0</v>
      </c>
      <c r="P6" s="19">
        <f t="shared" si="0"/>
        <v>13000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1639134</v>
      </c>
      <c r="G7" s="19">
        <f>G8+G60+G74+G86+G115+G122+G126</f>
        <v>3027754</v>
      </c>
      <c r="H7" s="19">
        <f t="shared" ref="H7:Q7" si="1">H8+H60+H74+H86+H115+H122+H126</f>
        <v>26000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1599334</v>
      </c>
      <c r="N7" s="19">
        <f t="shared" si="1"/>
        <v>1398192</v>
      </c>
      <c r="O7" s="19">
        <f t="shared" si="1"/>
        <v>0</v>
      </c>
      <c r="P7" s="19">
        <f t="shared" si="1"/>
        <v>12800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15300</v>
      </c>
      <c r="G86" s="19">
        <f t="shared" ref="G86:Q86" si="21">G87+G94+G99+G110+G113</f>
        <v>14780</v>
      </c>
      <c r="H86" s="19">
        <f>H87+H94+H99+H110+H113</f>
        <v>1000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f>M87+M94+M120</f>
        <v>1500</v>
      </c>
      <c r="N86" s="19">
        <f t="shared" si="21"/>
        <v>1130</v>
      </c>
      <c r="O86" s="19">
        <f t="shared" si="21"/>
        <v>0</v>
      </c>
      <c r="P86" s="19">
        <f>P87+P94+P99+P110+P113+P120</f>
        <v>12800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1500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1500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1500</v>
      </c>
      <c r="G91" s="37">
        <f>SUM(I91:Q91)-K91-M91-P91</f>
        <v>1130</v>
      </c>
      <c r="H91" s="37"/>
      <c r="I91" s="38"/>
      <c r="J91" s="38"/>
      <c r="K91" s="38"/>
      <c r="L91" s="38"/>
      <c r="M91" s="38">
        <v>1500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1000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12700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1000</v>
      </c>
      <c r="I97" s="36">
        <v>1165</v>
      </c>
      <c r="J97" s="36"/>
      <c r="K97" s="36"/>
      <c r="L97" s="36"/>
      <c r="M97" s="36"/>
      <c r="N97" s="36"/>
      <c r="O97" s="36"/>
      <c r="P97" s="36">
        <v>7700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22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22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22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22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22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22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22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22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2994896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22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22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1597834</v>
      </c>
      <c r="G122" s="19">
        <f t="shared" ref="G122:Q122" si="33">G123</f>
        <v>2994896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1597834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22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1597834</v>
      </c>
      <c r="G123" s="19">
        <f t="shared" ref="G123:Q123" si="34">G124+G125</f>
        <v>2994896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1597834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22" ht="28.5" x14ac:dyDescent="0.4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1597834</v>
      </c>
      <c r="G124" s="37">
        <f>SUM(I124:Q124)</f>
        <v>2994896</v>
      </c>
      <c r="H124" s="37"/>
      <c r="I124" s="36"/>
      <c r="J124" s="36"/>
      <c r="K124" s="36"/>
      <c r="L124" s="36"/>
      <c r="M124" s="36">
        <v>1597834</v>
      </c>
      <c r="N124" s="36">
        <v>1397062</v>
      </c>
      <c r="O124" s="36"/>
      <c r="P124" s="36"/>
      <c r="Q124" s="72"/>
      <c r="V124" s="388" t="s">
        <v>538</v>
      </c>
    </row>
    <row r="125" spans="1:22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22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26000</v>
      </c>
      <c r="G126" s="19">
        <f t="shared" ref="G126:Q126" si="36">G127</f>
        <v>18078</v>
      </c>
      <c r="H126" s="19">
        <f>H127</f>
        <v>25000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22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26000</v>
      </c>
      <c r="G127" s="19">
        <f t="shared" ref="G127:Q127" si="37">G132</f>
        <v>18078</v>
      </c>
      <c r="H127" s="19">
        <f t="shared" si="37"/>
        <v>25000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22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22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22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22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22" ht="26.25" x14ac:dyDescent="0.4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26000</v>
      </c>
      <c r="G132" s="389">
        <f>SUM(I132:Q132)-K132-M132-P132</f>
        <v>18078</v>
      </c>
      <c r="H132" s="389">
        <v>25000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  <c r="V132" s="388" t="s">
        <v>538</v>
      </c>
    </row>
    <row r="133" spans="1:22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22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>K135+K137+K139</f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22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22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22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22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22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22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22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22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22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22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1639334</v>
      </c>
      <c r="G210" s="42">
        <f t="shared" si="61"/>
        <v>3027938</v>
      </c>
      <c r="H210" s="42">
        <f t="shared" si="61"/>
        <v>26000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1599334</v>
      </c>
      <c r="N210" s="42">
        <f t="shared" si="61"/>
        <v>1398192</v>
      </c>
      <c r="O210" s="42">
        <f t="shared" si="61"/>
        <v>0</v>
      </c>
      <c r="P210" s="42">
        <f t="shared" si="61"/>
        <v>13000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1639055</v>
      </c>
      <c r="G219" s="19">
        <f t="shared" si="62"/>
        <v>1138166</v>
      </c>
      <c r="H219" s="19">
        <f t="shared" si="62"/>
        <v>26000</v>
      </c>
      <c r="I219" s="19">
        <f t="shared" si="62"/>
        <v>1577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1599334</v>
      </c>
      <c r="N219" s="19">
        <f t="shared" si="62"/>
        <v>1125638</v>
      </c>
      <c r="O219" s="19">
        <f t="shared" si="62"/>
        <v>0</v>
      </c>
      <c r="P219" s="19">
        <f t="shared" si="62"/>
        <v>12721</v>
      </c>
      <c r="Q219" s="19">
        <f t="shared" si="62"/>
        <v>9668</v>
      </c>
      <c r="R219" s="44">
        <f>H219+K219+M219+P219</f>
        <v>1639055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1611726</v>
      </c>
      <c r="G220" s="19">
        <f t="shared" ref="G220:Q220" si="63">G221+G247+G314+G333+G361+G374+G394+G413</f>
        <v>1134903</v>
      </c>
      <c r="H220" s="19">
        <f t="shared" si="63"/>
        <v>1000</v>
      </c>
      <c r="I220" s="19">
        <f t="shared" si="63"/>
        <v>127</v>
      </c>
      <c r="J220" s="19">
        <f t="shared" si="63"/>
        <v>0</v>
      </c>
      <c r="K220" s="19">
        <f t="shared" si="63"/>
        <v>0</v>
      </c>
      <c r="L220" s="19">
        <f t="shared" si="63"/>
        <v>1273</v>
      </c>
      <c r="M220" s="19">
        <f t="shared" si="63"/>
        <v>1599334</v>
      </c>
      <c r="N220" s="19">
        <f t="shared" si="63"/>
        <v>1125638</v>
      </c>
      <c r="O220" s="19">
        <f t="shared" si="63"/>
        <v>0</v>
      </c>
      <c r="P220" s="19">
        <f t="shared" si="63"/>
        <v>11392</v>
      </c>
      <c r="Q220" s="19">
        <f t="shared" si="63"/>
        <v>7855</v>
      </c>
      <c r="R220" s="44">
        <f>F220+F434</f>
        <v>1639055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1216506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1212877</v>
      </c>
      <c r="N221" s="19">
        <f t="shared" si="64"/>
        <v>1025065</v>
      </c>
      <c r="O221" s="19">
        <f t="shared" si="64"/>
        <v>0</v>
      </c>
      <c r="P221" s="19">
        <f t="shared" si="64"/>
        <v>3629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1010985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1008061</v>
      </c>
      <c r="N222" s="19">
        <f t="shared" si="65"/>
        <v>849796</v>
      </c>
      <c r="O222" s="19">
        <f t="shared" si="65"/>
        <v>0</v>
      </c>
      <c r="P222" s="19">
        <f t="shared" si="65"/>
        <v>2924</v>
      </c>
      <c r="Q222" s="19">
        <f t="shared" si="65"/>
        <v>1989</v>
      </c>
    </row>
    <row r="223" spans="1:18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1010985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1008061</v>
      </c>
      <c r="N223" s="36">
        <f>851785-1989</f>
        <v>849796</v>
      </c>
      <c r="O223" s="36"/>
      <c r="P223" s="36">
        <v>2924</v>
      </c>
      <c r="Q223" s="36">
        <v>1989</v>
      </c>
      <c r="R223" s="44">
        <f>M223+P223</f>
        <v>1010985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153194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152721</v>
      </c>
      <c r="N224" s="19">
        <f t="shared" si="66"/>
        <v>141535</v>
      </c>
      <c r="O224" s="19">
        <f t="shared" si="66"/>
        <v>0</v>
      </c>
      <c r="P224" s="19">
        <f t="shared" si="66"/>
        <v>473</v>
      </c>
      <c r="Q224" s="19">
        <f t="shared" si="66"/>
        <v>331</v>
      </c>
    </row>
    <row r="225" spans="1:22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101128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100806</v>
      </c>
      <c r="N225" s="36">
        <f>97986-229</f>
        <v>97757</v>
      </c>
      <c r="O225" s="36"/>
      <c r="P225" s="36">
        <v>322</v>
      </c>
      <c r="Q225" s="36">
        <v>229</v>
      </c>
    </row>
    <row r="226" spans="1:22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52066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51915</v>
      </c>
      <c r="N226" s="36">
        <f>43880-102</f>
        <v>43778</v>
      </c>
      <c r="O226" s="36"/>
      <c r="P226" s="36">
        <v>151</v>
      </c>
      <c r="Q226" s="36">
        <v>102</v>
      </c>
    </row>
    <row r="227" spans="1:22" hidden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22" hidden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22" hidden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22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9632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9400</v>
      </c>
      <c r="N230" s="19">
        <f t="shared" si="69"/>
        <v>4959</v>
      </c>
      <c r="O230" s="19">
        <f t="shared" si="69"/>
        <v>0</v>
      </c>
      <c r="P230" s="19">
        <f t="shared" si="69"/>
        <v>232</v>
      </c>
      <c r="Q230" s="19">
        <f t="shared" si="69"/>
        <v>280</v>
      </c>
    </row>
    <row r="231" spans="1:22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22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22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8432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v>8200</v>
      </c>
      <c r="N233" s="36">
        <v>3654</v>
      </c>
      <c r="O233" s="36"/>
      <c r="P233" s="36">
        <v>232</v>
      </c>
      <c r="Q233" s="36">
        <v>280</v>
      </c>
    </row>
    <row r="234" spans="1:22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22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22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22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22" ht="54" x14ac:dyDescent="0.4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1200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1200</v>
      </c>
      <c r="N238" s="36">
        <v>1305</v>
      </c>
      <c r="O238" s="36"/>
      <c r="P238" s="36"/>
      <c r="Q238" s="36"/>
      <c r="V238" s="388" t="s">
        <v>538</v>
      </c>
    </row>
    <row r="239" spans="1:22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28788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28788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22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28788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28788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13907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13907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13907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13907</v>
      </c>
      <c r="N242" s="36">
        <v>9143</v>
      </c>
      <c r="O242" s="36"/>
      <c r="P242" s="36"/>
      <c r="Q242" s="36"/>
    </row>
    <row r="243" spans="1:18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384240</v>
      </c>
      <c r="G247" s="19">
        <f t="shared" si="74"/>
        <v>99459</v>
      </c>
      <c r="H247" s="19">
        <f t="shared" si="74"/>
        <v>1000</v>
      </c>
      <c r="I247" s="19">
        <f t="shared" si="74"/>
        <v>127</v>
      </c>
      <c r="J247" s="19">
        <f t="shared" si="74"/>
        <v>0</v>
      </c>
      <c r="K247" s="19">
        <f t="shared" si="74"/>
        <v>0</v>
      </c>
      <c r="L247" s="19">
        <f t="shared" si="74"/>
        <v>1273</v>
      </c>
      <c r="M247" s="19">
        <f t="shared" si="74"/>
        <v>376377</v>
      </c>
      <c r="N247" s="19">
        <f t="shared" si="74"/>
        <v>93155</v>
      </c>
      <c r="O247" s="19">
        <f t="shared" si="74"/>
        <v>0</v>
      </c>
      <c r="P247" s="19">
        <f t="shared" si="74"/>
        <v>6863</v>
      </c>
      <c r="Q247" s="19">
        <f t="shared" si="74"/>
        <v>4904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117092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115962</v>
      </c>
      <c r="N248" s="19">
        <f t="shared" si="75"/>
        <v>80545</v>
      </c>
      <c r="O248" s="19">
        <f t="shared" si="75"/>
        <v>0</v>
      </c>
      <c r="P248" s="19">
        <f t="shared" si="75"/>
        <v>1130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1580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1500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98556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v>98306</v>
      </c>
      <c r="N250" s="36">
        <v>65188</v>
      </c>
      <c r="O250" s="36"/>
      <c r="P250" s="36">
        <v>250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11740</v>
      </c>
      <c r="G251" s="37">
        <f t="shared" si="76"/>
        <v>9465</v>
      </c>
      <c r="H251" s="37"/>
      <c r="I251" s="36"/>
      <c r="J251" s="36"/>
      <c r="K251" s="36"/>
      <c r="L251" s="36"/>
      <c r="M251" s="36">
        <f>11500-360</f>
        <v>11140</v>
      </c>
      <c r="N251" s="36">
        <v>9410</v>
      </c>
      <c r="O251" s="36"/>
      <c r="P251" s="36">
        <v>600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2016</v>
      </c>
      <c r="G252" s="37">
        <f t="shared" si="76"/>
        <v>2113</v>
      </c>
      <c r="H252" s="37"/>
      <c r="I252" s="36"/>
      <c r="J252" s="36"/>
      <c r="K252" s="36"/>
      <c r="L252" s="36"/>
      <c r="M252" s="36">
        <v>2016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3200</v>
      </c>
      <c r="G253" s="37">
        <f t="shared" si="76"/>
        <v>2612</v>
      </c>
      <c r="H253" s="37"/>
      <c r="I253" s="36"/>
      <c r="J253" s="36"/>
      <c r="K253" s="36"/>
      <c r="L253" s="36"/>
      <c r="M253" s="36">
        <v>3000</v>
      </c>
      <c r="N253" s="36">
        <v>2591</v>
      </c>
      <c r="O253" s="36"/>
      <c r="P253" s="36">
        <v>200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624</v>
      </c>
      <c r="G256" s="19">
        <f t="shared" si="77"/>
        <v>451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184</v>
      </c>
      <c r="N256" s="19">
        <f t="shared" si="77"/>
        <v>0</v>
      </c>
      <c r="O256" s="19">
        <f t="shared" si="77"/>
        <v>0</v>
      </c>
      <c r="P256" s="19">
        <f t="shared" si="77"/>
        <v>440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624</v>
      </c>
      <c r="G257" s="37">
        <f t="shared" ref="G257" si="78">SUM(I257:Q257)-K257-M257-P257</f>
        <v>451</v>
      </c>
      <c r="H257" s="37"/>
      <c r="I257" s="36"/>
      <c r="J257" s="36"/>
      <c r="K257" s="36"/>
      <c r="L257" s="36"/>
      <c r="M257" s="36">
        <v>184</v>
      </c>
      <c r="N257" s="36"/>
      <c r="O257" s="36"/>
      <c r="P257" s="36">
        <v>440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9869</v>
      </c>
      <c r="G262" s="19">
        <f t="shared" si="79"/>
        <v>70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7274</v>
      </c>
      <c r="N262" s="19">
        <f t="shared" si="79"/>
        <v>0</v>
      </c>
      <c r="O262" s="19">
        <f t="shared" si="79"/>
        <v>0</v>
      </c>
      <c r="P262" s="19">
        <f t="shared" si="79"/>
        <v>2595</v>
      </c>
      <c r="Q262" s="19">
        <f t="shared" si="79"/>
        <v>70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3852</v>
      </c>
      <c r="G264" s="37">
        <f t="shared" ref="G264" si="80">SUM(I264:Q264)-K264-M264-P264</f>
        <v>70</v>
      </c>
      <c r="H264" s="37"/>
      <c r="I264" s="36"/>
      <c r="J264" s="36"/>
      <c r="K264" s="36"/>
      <c r="L264" s="36"/>
      <c r="M264" s="36">
        <f>3900-48</f>
        <v>3852</v>
      </c>
      <c r="N264" s="36"/>
      <c r="O264" s="36"/>
      <c r="P264" s="36"/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3772</v>
      </c>
      <c r="G265" s="37"/>
      <c r="H265" s="37"/>
      <c r="I265" s="36"/>
      <c r="J265" s="36"/>
      <c r="K265" s="36"/>
      <c r="L265" s="36"/>
      <c r="M265" s="36">
        <f>2800+522</f>
        <v>3322</v>
      </c>
      <c r="N265" s="36"/>
      <c r="O265" s="36"/>
      <c r="P265" s="36">
        <f>900-522+72</f>
        <v>450</v>
      </c>
      <c r="Q265" s="36"/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100</v>
      </c>
      <c r="G266" s="37"/>
      <c r="H266" s="37"/>
      <c r="I266" s="36"/>
      <c r="J266" s="36"/>
      <c r="K266" s="36"/>
      <c r="L266" s="36"/>
      <c r="M266" s="36">
        <v>100</v>
      </c>
      <c r="N266" s="36"/>
      <c r="O266" s="36"/>
      <c r="P266" s="36"/>
      <c r="Q266" s="36"/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1667</v>
      </c>
      <c r="G267" s="37"/>
      <c r="H267" s="37"/>
      <c r="I267" s="36"/>
      <c r="J267" s="36"/>
      <c r="K267" s="36"/>
      <c r="L267" s="36"/>
      <c r="M267" s="36"/>
      <c r="N267" s="36"/>
      <c r="O267" s="36"/>
      <c r="P267" s="36">
        <v>1667</v>
      </c>
      <c r="Q267" s="36"/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/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/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/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/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/>
      <c r="H271" s="476"/>
      <c r="I271" s="544"/>
      <c r="J271" s="545"/>
      <c r="K271" s="545"/>
      <c r="L271" s="545"/>
      <c r="M271" s="545"/>
      <c r="N271" s="545"/>
      <c r="O271" s="544"/>
      <c r="P271" s="476"/>
      <c r="Q271" s="544"/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/>
      <c r="J272" s="476"/>
      <c r="K272" s="476"/>
      <c r="L272" s="476"/>
      <c r="M272" s="476"/>
      <c r="N272" s="476"/>
      <c r="O272" s="545"/>
      <c r="P272" s="477"/>
      <c r="Q272" s="545"/>
    </row>
    <row r="273" spans="1:22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</row>
    <row r="274" spans="1:22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278</v>
      </c>
      <c r="G274" s="37"/>
      <c r="H274" s="37"/>
      <c r="I274" s="36"/>
      <c r="J274" s="36"/>
      <c r="K274" s="36"/>
      <c r="L274" s="36"/>
      <c r="M274" s="36"/>
      <c r="N274" s="36"/>
      <c r="O274" s="36"/>
      <c r="P274" s="36">
        <v>278</v>
      </c>
      <c r="Q274" s="36"/>
    </row>
    <row r="275" spans="1:22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1">SUM(F276:F282)</f>
        <v>3554</v>
      </c>
      <c r="G275" s="19">
        <f t="shared" si="81"/>
        <v>450</v>
      </c>
      <c r="H275" s="19">
        <f t="shared" si="81"/>
        <v>0</v>
      </c>
      <c r="I275" s="19">
        <f t="shared" si="81"/>
        <v>0</v>
      </c>
      <c r="J275" s="19">
        <f t="shared" si="81"/>
        <v>0</v>
      </c>
      <c r="K275" s="19">
        <f t="shared" si="81"/>
        <v>0</v>
      </c>
      <c r="L275" s="19">
        <f t="shared" si="81"/>
        <v>0</v>
      </c>
      <c r="M275" s="19">
        <f t="shared" si="81"/>
        <v>3228</v>
      </c>
      <c r="N275" s="19">
        <f t="shared" si="81"/>
        <v>0</v>
      </c>
      <c r="O275" s="19">
        <f t="shared" si="81"/>
        <v>0</v>
      </c>
      <c r="P275" s="19">
        <f t="shared" si="81"/>
        <v>326</v>
      </c>
      <c r="Q275" s="19">
        <f t="shared" si="81"/>
        <v>450</v>
      </c>
    </row>
    <row r="276" spans="1:22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2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2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1400</v>
      </c>
      <c r="G278" s="37">
        <f t="shared" ref="G278" si="82">SUM(I278:Q278)-K278-M278-P278</f>
        <v>109</v>
      </c>
      <c r="H278" s="37"/>
      <c r="I278" s="36"/>
      <c r="J278" s="36"/>
      <c r="K278" s="36"/>
      <c r="L278" s="36"/>
      <c r="M278" s="36">
        <v>1400</v>
      </c>
      <c r="N278" s="36"/>
      <c r="O278" s="36"/>
      <c r="P278" s="36"/>
      <c r="Q278" s="36">
        <v>109</v>
      </c>
      <c r="R278" s="47"/>
      <c r="T278" s="47"/>
    </row>
    <row r="279" spans="1:22" ht="15" hidden="1" customHeight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2" ht="26.25" hidden="1" customHeight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2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342</v>
      </c>
      <c r="G281" s="37">
        <f t="shared" ref="G281:G282" si="83">SUM(I281:Q281)-K281-M281-P281</f>
        <v>51</v>
      </c>
      <c r="H281" s="37"/>
      <c r="I281" s="36"/>
      <c r="J281" s="36"/>
      <c r="K281" s="36"/>
      <c r="L281" s="36"/>
      <c r="M281" s="36">
        <f>300-72</f>
        <v>228</v>
      </c>
      <c r="N281" s="36"/>
      <c r="O281" s="36"/>
      <c r="P281" s="36">
        <v>114</v>
      </c>
      <c r="Q281" s="36">
        <v>51</v>
      </c>
    </row>
    <row r="282" spans="1:22" ht="23.25" x14ac:dyDescent="0.3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1812</v>
      </c>
      <c r="G282" s="37">
        <f t="shared" si="83"/>
        <v>290</v>
      </c>
      <c r="H282" s="37"/>
      <c r="I282" s="36"/>
      <c r="J282" s="36"/>
      <c r="K282" s="36"/>
      <c r="L282" s="36"/>
      <c r="M282" s="36">
        <v>1600</v>
      </c>
      <c r="N282" s="36"/>
      <c r="O282" s="36"/>
      <c r="P282" s="36">
        <v>212</v>
      </c>
      <c r="Q282" s="36">
        <v>290</v>
      </c>
      <c r="R282" s="12">
        <v>1059</v>
      </c>
      <c r="S282" s="12" t="s">
        <v>504</v>
      </c>
      <c r="V282" s="393" t="s">
        <v>540</v>
      </c>
    </row>
    <row r="283" spans="1:22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4">F284+F285</f>
        <v>15138</v>
      </c>
      <c r="G283" s="19">
        <f t="shared" si="84"/>
        <v>755</v>
      </c>
      <c r="H283" s="19">
        <f t="shared" si="84"/>
        <v>0</v>
      </c>
      <c r="I283" s="19">
        <f t="shared" si="84"/>
        <v>0</v>
      </c>
      <c r="J283" s="19">
        <f t="shared" si="84"/>
        <v>0</v>
      </c>
      <c r="K283" s="19">
        <f t="shared" si="84"/>
        <v>0</v>
      </c>
      <c r="L283" s="19">
        <f t="shared" si="84"/>
        <v>0</v>
      </c>
      <c r="M283" s="19">
        <f t="shared" si="84"/>
        <v>15138</v>
      </c>
      <c r="N283" s="19">
        <f t="shared" si="84"/>
        <v>100</v>
      </c>
      <c r="O283" s="19">
        <f t="shared" si="84"/>
        <v>0</v>
      </c>
      <c r="P283" s="19">
        <f t="shared" si="84"/>
        <v>0</v>
      </c>
      <c r="Q283" s="19">
        <f t="shared" si="84"/>
        <v>655</v>
      </c>
    </row>
    <row r="284" spans="1:22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5000</v>
      </c>
      <c r="G284" s="37">
        <f t="shared" ref="G284:G285" si="85">SUM(I284:Q284)-K284-M284-P284</f>
        <v>100</v>
      </c>
      <c r="H284" s="37"/>
      <c r="I284" s="36"/>
      <c r="J284" s="36"/>
      <c r="K284" s="36"/>
      <c r="L284" s="36"/>
      <c r="M284" s="36">
        <v>5000</v>
      </c>
      <c r="N284" s="36">
        <v>100</v>
      </c>
      <c r="O284" s="36"/>
      <c r="P284" s="36"/>
      <c r="Q284" s="36"/>
    </row>
    <row r="285" spans="1:22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10138</v>
      </c>
      <c r="G285" s="37">
        <f t="shared" si="85"/>
        <v>655</v>
      </c>
      <c r="H285" s="37"/>
      <c r="I285" s="36"/>
      <c r="J285" s="36"/>
      <c r="K285" s="36"/>
      <c r="L285" s="36"/>
      <c r="M285" s="36">
        <f>10500-362</f>
        <v>10138</v>
      </c>
      <c r="N285" s="36"/>
      <c r="O285" s="36"/>
      <c r="P285" s="36"/>
      <c r="Q285" s="36">
        <v>655</v>
      </c>
      <c r="R285" s="12" t="s">
        <v>505</v>
      </c>
    </row>
    <row r="286" spans="1:22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237963</v>
      </c>
      <c r="G286" s="19">
        <f>SUM(G287:G313)</f>
        <v>16735</v>
      </c>
      <c r="H286" s="19">
        <f t="shared" ref="H286:Q286" si="86">SUM(H287:H313)</f>
        <v>1000</v>
      </c>
      <c r="I286" s="19">
        <f t="shared" si="86"/>
        <v>127</v>
      </c>
      <c r="J286" s="19">
        <f t="shared" si="86"/>
        <v>0</v>
      </c>
      <c r="K286" s="19">
        <f t="shared" si="86"/>
        <v>0</v>
      </c>
      <c r="L286" s="19">
        <f t="shared" si="86"/>
        <v>1273</v>
      </c>
      <c r="M286" s="19">
        <f>M287+M289+M290+M293+M311+M312+M313</f>
        <v>234591</v>
      </c>
      <c r="N286" s="19">
        <f t="shared" si="86"/>
        <v>12510</v>
      </c>
      <c r="O286" s="19">
        <f t="shared" si="86"/>
        <v>0</v>
      </c>
      <c r="P286" s="19">
        <f>P287+P289+P290+P293+P311+P312+P313</f>
        <v>2372</v>
      </c>
      <c r="Q286" s="19">
        <f t="shared" si="86"/>
        <v>2825</v>
      </c>
      <c r="R286" s="44">
        <f>H286+K286+M286+P286</f>
        <v>237963</v>
      </c>
    </row>
    <row r="287" spans="1:22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4490</v>
      </c>
      <c r="G287" s="37">
        <f t="shared" ref="G287" si="87">SUM(I287:Q287)-K287-M287-P287</f>
        <v>0</v>
      </c>
      <c r="H287" s="37"/>
      <c r="I287" s="36"/>
      <c r="J287" s="36"/>
      <c r="K287" s="36"/>
      <c r="L287" s="36"/>
      <c r="M287" s="36">
        <f>4500-520</f>
        <v>3980</v>
      </c>
      <c r="N287" s="36"/>
      <c r="O287" s="36"/>
      <c r="P287" s="36">
        <v>510</v>
      </c>
      <c r="Q287" s="36"/>
      <c r="R287" s="12" t="s">
        <v>506</v>
      </c>
    </row>
    <row r="288" spans="1:22" ht="15" hidden="1" customHeight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110</v>
      </c>
      <c r="G289" s="37">
        <f t="shared" ref="G289:G290" si="88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v>110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2040</v>
      </c>
      <c r="G290" s="37">
        <f t="shared" si="88"/>
        <v>7</v>
      </c>
      <c r="H290" s="37"/>
      <c r="I290" s="38"/>
      <c r="J290" s="38"/>
      <c r="K290" s="38"/>
      <c r="L290" s="38"/>
      <c r="M290" s="38">
        <v>2040</v>
      </c>
      <c r="N290" s="38"/>
      <c r="O290" s="38"/>
      <c r="P290" s="38"/>
      <c r="Q290" s="38">
        <v>7</v>
      </c>
    </row>
    <row r="291" spans="1:19" ht="26.25" hidden="1" customHeight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89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customHeight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89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209806</v>
      </c>
      <c r="G293" s="37">
        <f t="shared" ref="G293:G313" si="90">SUM(I293:Q293)-K293-M293-P293</f>
        <v>1917</v>
      </c>
      <c r="H293" s="37"/>
      <c r="I293" s="36">
        <v>127</v>
      </c>
      <c r="J293" s="36"/>
      <c r="K293" s="36"/>
      <c r="L293" s="36"/>
      <c r="M293" s="48">
        <f>M294+M299+M300+M303+M309+M310</f>
        <v>208546</v>
      </c>
      <c r="N293" s="48">
        <f t="shared" ref="N293:P293" si="91">N294+N299+N300+N303+N309+N310</f>
        <v>0</v>
      </c>
      <c r="O293" s="48">
        <f t="shared" si="91"/>
        <v>0</v>
      </c>
      <c r="P293" s="48">
        <f t="shared" si="91"/>
        <v>1260</v>
      </c>
      <c r="Q293" s="36">
        <v>1790</v>
      </c>
      <c r="R293" s="44">
        <f>M294+M299+M300+M303+M309+M310</f>
        <v>208546</v>
      </c>
      <c r="S293" s="44">
        <f>R293+P293</f>
        <v>209806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107652</v>
      </c>
      <c r="G294" s="37"/>
      <c r="H294" s="37"/>
      <c r="I294" s="36"/>
      <c r="J294" s="36"/>
      <c r="K294" s="36"/>
      <c r="L294" s="36"/>
      <c r="M294" s="48">
        <f>M295+M296+M297+M298</f>
        <v>107652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65179</v>
      </c>
      <c r="G295" s="37"/>
      <c r="H295" s="37"/>
      <c r="I295" s="36"/>
      <c r="J295" s="36"/>
      <c r="K295" s="36"/>
      <c r="L295" s="36"/>
      <c r="M295" s="38">
        <f>46590+18589</f>
        <v>65179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14745</v>
      </c>
      <c r="G296" s="37"/>
      <c r="H296" s="37"/>
      <c r="I296" s="36"/>
      <c r="J296" s="36"/>
      <c r="K296" s="36"/>
      <c r="L296" s="36"/>
      <c r="M296" s="38">
        <v>14745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53731</v>
      </c>
      <c r="G300" s="54"/>
      <c r="H300" s="54"/>
      <c r="I300" s="48"/>
      <c r="J300" s="48"/>
      <c r="K300" s="48"/>
      <c r="L300" s="48"/>
      <c r="M300" s="48">
        <f>M301+M302</f>
        <v>53731</v>
      </c>
      <c r="N300" s="48">
        <f t="shared" ref="N300:P300" si="93">N301+N302</f>
        <v>0</v>
      </c>
      <c r="O300" s="48">
        <f t="shared" si="93"/>
        <v>0</v>
      </c>
      <c r="P300" s="48">
        <f t="shared" si="93"/>
        <v>1260</v>
      </c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51519</v>
      </c>
      <c r="G301" s="37"/>
      <c r="H301" s="37"/>
      <c r="I301" s="36"/>
      <c r="J301" s="36"/>
      <c r="K301" s="36"/>
      <c r="L301" s="36"/>
      <c r="M301" s="38">
        <f>36195+15324</f>
        <v>51519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2212</v>
      </c>
      <c r="G302" s="37"/>
      <c r="H302" s="37"/>
      <c r="I302" s="36"/>
      <c r="J302" s="36"/>
      <c r="K302" s="36"/>
      <c r="L302" s="36"/>
      <c r="M302" s="38">
        <v>2212</v>
      </c>
      <c r="N302" s="36"/>
      <c r="O302" s="36"/>
      <c r="P302" s="36">
        <f>1400-140</f>
        <v>1260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7000</v>
      </c>
      <c r="G310" s="54"/>
      <c r="H310" s="54"/>
      <c r="I310" s="48"/>
      <c r="J310" s="48"/>
      <c r="K310" s="48"/>
      <c r="L310" s="48"/>
      <c r="M310" s="48">
        <v>7000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12200</v>
      </c>
      <c r="G311" s="37">
        <f t="shared" si="90"/>
        <v>9570</v>
      </c>
      <c r="H311" s="37"/>
      <c r="I311" s="36"/>
      <c r="J311" s="36"/>
      <c r="K311" s="36"/>
      <c r="L311" s="36"/>
      <c r="M311" s="36">
        <v>12200</v>
      </c>
      <c r="N311" s="36">
        <v>9570</v>
      </c>
      <c r="O311" s="36"/>
      <c r="P311" s="36"/>
      <c r="Q311" s="36"/>
    </row>
    <row r="312" spans="1:17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4660</v>
      </c>
      <c r="G312" s="37">
        <f t="shared" si="90"/>
        <v>2940</v>
      </c>
      <c r="H312" s="37"/>
      <c r="I312" s="36"/>
      <c r="J312" s="36"/>
      <c r="K312" s="36"/>
      <c r="L312" s="36"/>
      <c r="M312" s="36">
        <f>2500+2160</f>
        <v>4660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8">
        <f>H313+K313+M313+P313</f>
        <v>4657</v>
      </c>
      <c r="G313" s="389">
        <f t="shared" si="90"/>
        <v>2154</v>
      </c>
      <c r="H313" s="389">
        <v>1000</v>
      </c>
      <c r="I313" s="38"/>
      <c r="J313" s="38"/>
      <c r="K313" s="38"/>
      <c r="L313" s="38">
        <v>1273</v>
      </c>
      <c r="M313" s="38">
        <f>4485-1230-90</f>
        <v>3165</v>
      </c>
      <c r="N313" s="38"/>
      <c r="O313" s="38"/>
      <c r="P313" s="38">
        <v>492</v>
      </c>
      <c r="Q313" s="36">
        <v>881</v>
      </c>
    </row>
    <row r="314" spans="1:17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89"/>
        <v>0</v>
      </c>
      <c r="H314" s="19"/>
      <c r="I314" s="19">
        <f t="shared" ref="I314:Q314" si="94">I315+I323+I325+I327+I331</f>
        <v>0</v>
      </c>
      <c r="J314" s="19">
        <f t="shared" si="94"/>
        <v>0</v>
      </c>
      <c r="K314" s="19"/>
      <c r="L314" s="19">
        <f t="shared" si="94"/>
        <v>0</v>
      </c>
      <c r="M314" s="19"/>
      <c r="N314" s="19">
        <f t="shared" si="94"/>
        <v>0</v>
      </c>
      <c r="O314" s="19">
        <f t="shared" si="94"/>
        <v>0</v>
      </c>
      <c r="P314" s="19"/>
      <c r="Q314" s="19">
        <f t="shared" si="94"/>
        <v>0</v>
      </c>
    </row>
    <row r="315" spans="1:17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89"/>
        <v>0</v>
      </c>
      <c r="H315" s="19"/>
      <c r="I315" s="19">
        <f t="shared" ref="I315:Q315" si="95">SUM(I316:I318)</f>
        <v>0</v>
      </c>
      <c r="J315" s="19">
        <f t="shared" si="95"/>
        <v>0</v>
      </c>
      <c r="K315" s="19"/>
      <c r="L315" s="19">
        <f t="shared" si="95"/>
        <v>0</v>
      </c>
      <c r="M315" s="19"/>
      <c r="N315" s="19">
        <f t="shared" si="95"/>
        <v>0</v>
      </c>
      <c r="O315" s="19">
        <f t="shared" si="95"/>
        <v>0</v>
      </c>
      <c r="P315" s="19"/>
      <c r="Q315" s="19">
        <f t="shared" si="95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89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89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89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89"/>
        <v>0</v>
      </c>
      <c r="H323" s="19"/>
      <c r="I323" s="19">
        <f t="shared" ref="I323:Q323" si="96">I324</f>
        <v>0</v>
      </c>
      <c r="J323" s="19">
        <f t="shared" si="96"/>
        <v>0</v>
      </c>
      <c r="K323" s="19"/>
      <c r="L323" s="19">
        <f t="shared" si="96"/>
        <v>0</v>
      </c>
      <c r="M323" s="19"/>
      <c r="N323" s="19">
        <f t="shared" si="96"/>
        <v>0</v>
      </c>
      <c r="O323" s="19">
        <f t="shared" si="96"/>
        <v>0</v>
      </c>
      <c r="P323" s="19"/>
      <c r="Q323" s="19">
        <f t="shared" si="96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89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89"/>
        <v>0</v>
      </c>
      <c r="H325" s="19"/>
      <c r="I325" s="19">
        <f t="shared" ref="I325:Q325" si="97">I326</f>
        <v>0</v>
      </c>
      <c r="J325" s="19">
        <f t="shared" si="97"/>
        <v>0</v>
      </c>
      <c r="K325" s="19"/>
      <c r="L325" s="19">
        <f t="shared" si="97"/>
        <v>0</v>
      </c>
      <c r="M325" s="19"/>
      <c r="N325" s="19">
        <f t="shared" si="97"/>
        <v>0</v>
      </c>
      <c r="O325" s="19">
        <f t="shared" si="97"/>
        <v>0</v>
      </c>
      <c r="P325" s="19"/>
      <c r="Q325" s="19">
        <f t="shared" si="97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89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89"/>
        <v>0</v>
      </c>
      <c r="H327" s="19"/>
      <c r="I327" s="19">
        <f t="shared" ref="I327:Q327" si="98">SUM(I328:I330)</f>
        <v>0</v>
      </c>
      <c r="J327" s="19">
        <f t="shared" si="98"/>
        <v>0</v>
      </c>
      <c r="K327" s="19"/>
      <c r="L327" s="19">
        <f t="shared" si="98"/>
        <v>0</v>
      </c>
      <c r="M327" s="19"/>
      <c r="N327" s="19">
        <f t="shared" si="98"/>
        <v>0</v>
      </c>
      <c r="O327" s="19">
        <f t="shared" si="98"/>
        <v>0</v>
      </c>
      <c r="P327" s="19"/>
      <c r="Q327" s="19">
        <f t="shared" si="98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89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89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89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89"/>
        <v>0</v>
      </c>
      <c r="H331" s="19"/>
      <c r="I331" s="19">
        <f t="shared" ref="I331:Q331" si="99">I332</f>
        <v>0</v>
      </c>
      <c r="J331" s="19">
        <f t="shared" si="99"/>
        <v>0</v>
      </c>
      <c r="K331" s="19"/>
      <c r="L331" s="19">
        <f t="shared" si="99"/>
        <v>0</v>
      </c>
      <c r="M331" s="19"/>
      <c r="N331" s="19">
        <f t="shared" si="99"/>
        <v>0</v>
      </c>
      <c r="O331" s="19">
        <f t="shared" si="99"/>
        <v>0</v>
      </c>
      <c r="P331" s="19"/>
      <c r="Q331" s="19">
        <f t="shared" si="99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89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100">F334+F344+F355+F357</f>
        <v>600</v>
      </c>
      <c r="G333" s="19">
        <f t="shared" si="100"/>
        <v>251</v>
      </c>
      <c r="H333" s="19">
        <f t="shared" si="100"/>
        <v>0</v>
      </c>
      <c r="I333" s="19">
        <f t="shared" si="100"/>
        <v>0</v>
      </c>
      <c r="J333" s="19">
        <f t="shared" si="100"/>
        <v>0</v>
      </c>
      <c r="K333" s="19">
        <f t="shared" si="100"/>
        <v>0</v>
      </c>
      <c r="L333" s="19">
        <f t="shared" si="100"/>
        <v>0</v>
      </c>
      <c r="M333" s="19">
        <f t="shared" si="100"/>
        <v>0</v>
      </c>
      <c r="N333" s="19">
        <f t="shared" si="100"/>
        <v>0</v>
      </c>
      <c r="O333" s="19">
        <f t="shared" si="100"/>
        <v>0</v>
      </c>
      <c r="P333" s="19">
        <f t="shared" si="100"/>
        <v>600</v>
      </c>
      <c r="Q333" s="19">
        <f t="shared" si="100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1">SUM(F335:F343)</f>
        <v>600</v>
      </c>
      <c r="G334" s="19">
        <f t="shared" si="101"/>
        <v>251</v>
      </c>
      <c r="H334" s="19">
        <f t="shared" si="101"/>
        <v>0</v>
      </c>
      <c r="I334" s="19">
        <f t="shared" si="101"/>
        <v>0</v>
      </c>
      <c r="J334" s="19">
        <f t="shared" si="101"/>
        <v>0</v>
      </c>
      <c r="K334" s="19">
        <f t="shared" si="101"/>
        <v>0</v>
      </c>
      <c r="L334" s="19">
        <f t="shared" si="101"/>
        <v>0</v>
      </c>
      <c r="M334" s="19">
        <f t="shared" si="101"/>
        <v>0</v>
      </c>
      <c r="N334" s="19">
        <f t="shared" si="101"/>
        <v>0</v>
      </c>
      <c r="O334" s="19">
        <f t="shared" si="101"/>
        <v>0</v>
      </c>
      <c r="P334" s="19">
        <f t="shared" si="101"/>
        <v>600</v>
      </c>
      <c r="Q334" s="19">
        <f t="shared" si="101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89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89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89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89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600</v>
      </c>
      <c r="G339" s="37">
        <f t="shared" ref="G339" si="102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600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89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89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89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89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89"/>
        <v>0</v>
      </c>
      <c r="H344" s="19"/>
      <c r="I344" s="19">
        <f t="shared" ref="I344:Q344" si="103">SUM(I345:I354)</f>
        <v>0</v>
      </c>
      <c r="J344" s="19">
        <f t="shared" si="103"/>
        <v>0</v>
      </c>
      <c r="K344" s="19"/>
      <c r="L344" s="19">
        <f t="shared" si="103"/>
        <v>0</v>
      </c>
      <c r="M344" s="19"/>
      <c r="N344" s="19">
        <f t="shared" si="103"/>
        <v>0</v>
      </c>
      <c r="O344" s="19">
        <f t="shared" si="103"/>
        <v>0</v>
      </c>
      <c r="P344" s="19"/>
      <c r="Q344" s="19">
        <f t="shared" si="103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89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89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89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89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89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89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89"/>
        <v>0</v>
      </c>
      <c r="H355" s="19"/>
      <c r="I355" s="19">
        <f t="shared" ref="I355:Q355" si="104">I356</f>
        <v>0</v>
      </c>
      <c r="J355" s="19">
        <f t="shared" si="104"/>
        <v>0</v>
      </c>
      <c r="K355" s="19"/>
      <c r="L355" s="19">
        <f t="shared" si="104"/>
        <v>0</v>
      </c>
      <c r="M355" s="19"/>
      <c r="N355" s="19">
        <f t="shared" si="104"/>
        <v>0</v>
      </c>
      <c r="O355" s="19">
        <f t="shared" si="104"/>
        <v>0</v>
      </c>
      <c r="P355" s="19"/>
      <c r="Q355" s="19">
        <f t="shared" si="104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89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89"/>
        <v>0</v>
      </c>
      <c r="H357" s="19"/>
      <c r="I357" s="19">
        <f t="shared" ref="I357:Q357" si="105">SUM(I358:I360)</f>
        <v>0</v>
      </c>
      <c r="J357" s="19">
        <f t="shared" si="105"/>
        <v>0</v>
      </c>
      <c r="K357" s="19"/>
      <c r="L357" s="19">
        <f t="shared" si="105"/>
        <v>0</v>
      </c>
      <c r="M357" s="19"/>
      <c r="N357" s="19">
        <f t="shared" si="105"/>
        <v>0</v>
      </c>
      <c r="O357" s="19">
        <f t="shared" si="105"/>
        <v>0</v>
      </c>
      <c r="P357" s="19"/>
      <c r="Q357" s="19">
        <f t="shared" si="105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89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89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89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89"/>
        <v>0</v>
      </c>
      <c r="H361" s="19"/>
      <c r="I361" s="19">
        <f t="shared" ref="I361:Q361" si="106">I362+I365+I368+I371</f>
        <v>0</v>
      </c>
      <c r="J361" s="19">
        <f t="shared" si="106"/>
        <v>0</v>
      </c>
      <c r="K361" s="19"/>
      <c r="L361" s="19">
        <f t="shared" si="106"/>
        <v>0</v>
      </c>
      <c r="M361" s="19"/>
      <c r="N361" s="19">
        <f t="shared" si="106"/>
        <v>0</v>
      </c>
      <c r="O361" s="19">
        <f t="shared" si="106"/>
        <v>0</v>
      </c>
      <c r="P361" s="19"/>
      <c r="Q361" s="19">
        <f t="shared" si="106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89"/>
        <v>0</v>
      </c>
      <c r="H362" s="19"/>
      <c r="I362" s="19">
        <f t="shared" ref="I362:Q362" si="107">I363+I364</f>
        <v>0</v>
      </c>
      <c r="J362" s="19">
        <f t="shared" si="107"/>
        <v>0</v>
      </c>
      <c r="K362" s="19"/>
      <c r="L362" s="19">
        <f t="shared" si="107"/>
        <v>0</v>
      </c>
      <c r="M362" s="19"/>
      <c r="N362" s="19">
        <f t="shared" si="107"/>
        <v>0</v>
      </c>
      <c r="O362" s="19">
        <f t="shared" si="107"/>
        <v>0</v>
      </c>
      <c r="P362" s="19"/>
      <c r="Q362" s="19">
        <f t="shared" si="107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89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89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89"/>
        <v>0</v>
      </c>
      <c r="H365" s="19"/>
      <c r="I365" s="19">
        <f t="shared" ref="I365:Q365" si="108">I366+I367</f>
        <v>0</v>
      </c>
      <c r="J365" s="19">
        <f t="shared" si="108"/>
        <v>0</v>
      </c>
      <c r="K365" s="19"/>
      <c r="L365" s="19">
        <f t="shared" si="108"/>
        <v>0</v>
      </c>
      <c r="M365" s="19"/>
      <c r="N365" s="19">
        <f t="shared" si="108"/>
        <v>0</v>
      </c>
      <c r="O365" s="19">
        <f t="shared" si="108"/>
        <v>0</v>
      </c>
      <c r="P365" s="19"/>
      <c r="Q365" s="19">
        <f t="shared" si="108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89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89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89"/>
        <v>0</v>
      </c>
      <c r="H368" s="19"/>
      <c r="I368" s="19">
        <f t="shared" ref="I368:Q368" si="109">I369+I370</f>
        <v>0</v>
      </c>
      <c r="J368" s="19">
        <f t="shared" si="109"/>
        <v>0</v>
      </c>
      <c r="K368" s="19"/>
      <c r="L368" s="19">
        <f t="shared" si="109"/>
        <v>0</v>
      </c>
      <c r="M368" s="19"/>
      <c r="N368" s="19">
        <f t="shared" si="109"/>
        <v>0</v>
      </c>
      <c r="O368" s="19">
        <f t="shared" si="109"/>
        <v>0</v>
      </c>
      <c r="P368" s="19"/>
      <c r="Q368" s="19">
        <f t="shared" si="109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89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89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89"/>
        <v>0</v>
      </c>
      <c r="H371" s="19"/>
      <c r="I371" s="19">
        <f t="shared" ref="I371:Q371" si="110">I372+I373</f>
        <v>0</v>
      </c>
      <c r="J371" s="19">
        <f t="shared" si="110"/>
        <v>0</v>
      </c>
      <c r="K371" s="19"/>
      <c r="L371" s="19">
        <f t="shared" si="110"/>
        <v>0</v>
      </c>
      <c r="M371" s="19"/>
      <c r="N371" s="19">
        <f t="shared" si="110"/>
        <v>0</v>
      </c>
      <c r="O371" s="19">
        <f t="shared" si="110"/>
        <v>0</v>
      </c>
      <c r="P371" s="19"/>
      <c r="Q371" s="19">
        <f t="shared" si="110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89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89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1">F379+F382+F385+F388+F391</f>
        <v>10080</v>
      </c>
      <c r="G374" s="19">
        <f t="shared" si="111"/>
        <v>7410</v>
      </c>
      <c r="H374" s="37">
        <f t="shared" si="111"/>
        <v>0</v>
      </c>
      <c r="I374" s="19">
        <f t="shared" si="111"/>
        <v>0</v>
      </c>
      <c r="J374" s="19">
        <f t="shared" si="111"/>
        <v>0</v>
      </c>
      <c r="K374" s="19">
        <f t="shared" si="111"/>
        <v>0</v>
      </c>
      <c r="L374" s="19">
        <f t="shared" si="111"/>
        <v>0</v>
      </c>
      <c r="M374" s="19">
        <f t="shared" si="111"/>
        <v>10080</v>
      </c>
      <c r="N374" s="19">
        <f t="shared" si="111"/>
        <v>7410</v>
      </c>
      <c r="O374" s="19">
        <f t="shared" si="111"/>
        <v>0</v>
      </c>
      <c r="P374" s="19">
        <f t="shared" si="111"/>
        <v>0</v>
      </c>
      <c r="Q374" s="19">
        <f t="shared" si="111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89"/>
        <v>0</v>
      </c>
      <c r="H379" s="19"/>
      <c r="I379" s="19">
        <f t="shared" ref="I379:Q379" si="112">I380+I381</f>
        <v>0</v>
      </c>
      <c r="J379" s="19">
        <f t="shared" si="112"/>
        <v>0</v>
      </c>
      <c r="K379" s="19"/>
      <c r="L379" s="19">
        <f t="shared" si="112"/>
        <v>0</v>
      </c>
      <c r="M379" s="19"/>
      <c r="N379" s="19">
        <f t="shared" si="112"/>
        <v>0</v>
      </c>
      <c r="O379" s="19">
        <f t="shared" si="112"/>
        <v>0</v>
      </c>
      <c r="P379" s="19"/>
      <c r="Q379" s="19">
        <f t="shared" si="112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89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89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89"/>
        <v>0</v>
      </c>
      <c r="H382" s="19"/>
      <c r="I382" s="19">
        <f t="shared" ref="I382:Q382" si="113">I383+I384</f>
        <v>0</v>
      </c>
      <c r="J382" s="19">
        <f t="shared" si="113"/>
        <v>0</v>
      </c>
      <c r="K382" s="19"/>
      <c r="L382" s="19">
        <f t="shared" si="113"/>
        <v>0</v>
      </c>
      <c r="M382" s="19"/>
      <c r="N382" s="19">
        <f t="shared" si="113"/>
        <v>0</v>
      </c>
      <c r="O382" s="19">
        <f t="shared" si="113"/>
        <v>0</v>
      </c>
      <c r="P382" s="19"/>
      <c r="Q382" s="19">
        <f t="shared" si="113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89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89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4">SUM(I385:Q385)</f>
        <v>0</v>
      </c>
      <c r="H385" s="19"/>
      <c r="I385" s="19">
        <f t="shared" ref="I385:Q385" si="115">I386+I387</f>
        <v>0</v>
      </c>
      <c r="J385" s="19">
        <f t="shared" si="115"/>
        <v>0</v>
      </c>
      <c r="K385" s="19"/>
      <c r="L385" s="19">
        <f t="shared" si="115"/>
        <v>0</v>
      </c>
      <c r="M385" s="19"/>
      <c r="N385" s="19">
        <f t="shared" si="115"/>
        <v>0</v>
      </c>
      <c r="O385" s="19">
        <f t="shared" si="115"/>
        <v>0</v>
      </c>
      <c r="P385" s="19"/>
      <c r="Q385" s="19">
        <f t="shared" si="115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4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4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4"/>
        <v>0</v>
      </c>
      <c r="H388" s="19"/>
      <c r="I388" s="19">
        <f t="shared" ref="I388:Q388" si="116">I389+I390</f>
        <v>0</v>
      </c>
      <c r="J388" s="19">
        <f t="shared" si="116"/>
        <v>0</v>
      </c>
      <c r="K388" s="19"/>
      <c r="L388" s="19">
        <f t="shared" si="116"/>
        <v>0</v>
      </c>
      <c r="M388" s="19"/>
      <c r="N388" s="19">
        <f t="shared" si="116"/>
        <v>0</v>
      </c>
      <c r="O388" s="19">
        <f t="shared" si="116"/>
        <v>0</v>
      </c>
      <c r="P388" s="19"/>
      <c r="Q388" s="19">
        <f t="shared" si="116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4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4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7">F392+F393</f>
        <v>10080</v>
      </c>
      <c r="G391" s="19">
        <f t="shared" si="117"/>
        <v>7410</v>
      </c>
      <c r="H391" s="19">
        <f t="shared" si="117"/>
        <v>0</v>
      </c>
      <c r="I391" s="19">
        <f t="shared" si="117"/>
        <v>0</v>
      </c>
      <c r="J391" s="19">
        <f t="shared" si="117"/>
        <v>0</v>
      </c>
      <c r="K391" s="19">
        <f t="shared" si="117"/>
        <v>0</v>
      </c>
      <c r="L391" s="19">
        <f t="shared" si="117"/>
        <v>0</v>
      </c>
      <c r="M391" s="19">
        <f t="shared" si="117"/>
        <v>10080</v>
      </c>
      <c r="N391" s="19">
        <f t="shared" si="117"/>
        <v>7410</v>
      </c>
      <c r="O391" s="19">
        <f t="shared" si="117"/>
        <v>0</v>
      </c>
      <c r="P391" s="19">
        <f t="shared" si="117"/>
        <v>0</v>
      </c>
      <c r="Q391" s="19">
        <f t="shared" si="117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10080</v>
      </c>
      <c r="G392" s="37">
        <f t="shared" ref="G392" si="118">SUM(I392:Q392)-K392-M392-P392</f>
        <v>7410</v>
      </c>
      <c r="H392" s="37"/>
      <c r="I392" s="36"/>
      <c r="J392" s="36"/>
      <c r="K392" s="36"/>
      <c r="L392" s="36"/>
      <c r="M392" s="36">
        <v>10080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4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4"/>
        <v>0</v>
      </c>
      <c r="H394" s="19"/>
      <c r="I394" s="19">
        <f t="shared" ref="I394:Q394" si="119">I395+I399</f>
        <v>0</v>
      </c>
      <c r="J394" s="19">
        <f t="shared" si="119"/>
        <v>0</v>
      </c>
      <c r="K394" s="19"/>
      <c r="L394" s="19">
        <f t="shared" si="119"/>
        <v>0</v>
      </c>
      <c r="M394" s="19"/>
      <c r="N394" s="19">
        <f t="shared" si="119"/>
        <v>0</v>
      </c>
      <c r="O394" s="19">
        <f t="shared" si="119"/>
        <v>0</v>
      </c>
      <c r="P394" s="19"/>
      <c r="Q394" s="19">
        <f t="shared" si="119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4"/>
        <v>0</v>
      </c>
      <c r="H395" s="19"/>
      <c r="I395" s="19">
        <f t="shared" ref="I395:Q395" si="120">SUM(I396:I398)</f>
        <v>0</v>
      </c>
      <c r="J395" s="19">
        <f t="shared" si="120"/>
        <v>0</v>
      </c>
      <c r="K395" s="19"/>
      <c r="L395" s="19">
        <f t="shared" si="120"/>
        <v>0</v>
      </c>
      <c r="M395" s="19"/>
      <c r="N395" s="19">
        <f t="shared" si="120"/>
        <v>0</v>
      </c>
      <c r="O395" s="19">
        <f t="shared" si="120"/>
        <v>0</v>
      </c>
      <c r="P395" s="19"/>
      <c r="Q395" s="19">
        <f t="shared" si="120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4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4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4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4"/>
        <v>0</v>
      </c>
      <c r="H399" s="19"/>
      <c r="I399" s="19">
        <f t="shared" ref="I399:Q399" si="121">SUM(I404:I412)</f>
        <v>0</v>
      </c>
      <c r="J399" s="19">
        <f t="shared" si="121"/>
        <v>0</v>
      </c>
      <c r="K399" s="19"/>
      <c r="L399" s="19">
        <f t="shared" si="121"/>
        <v>0</v>
      </c>
      <c r="M399" s="19"/>
      <c r="N399" s="19">
        <f t="shared" si="121"/>
        <v>0</v>
      </c>
      <c r="O399" s="19">
        <f t="shared" si="121"/>
        <v>0</v>
      </c>
      <c r="P399" s="19"/>
      <c r="Q399" s="19">
        <f t="shared" si="121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4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4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4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4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4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4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4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4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4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2">F414+F417+F421+F423+F426+F432</f>
        <v>300</v>
      </c>
      <c r="G413" s="19">
        <f t="shared" si="122"/>
        <v>118</v>
      </c>
      <c r="H413" s="19">
        <f t="shared" si="122"/>
        <v>0</v>
      </c>
      <c r="I413" s="19">
        <f t="shared" si="122"/>
        <v>0</v>
      </c>
      <c r="J413" s="19">
        <f t="shared" si="122"/>
        <v>0</v>
      </c>
      <c r="K413" s="19">
        <f t="shared" si="122"/>
        <v>0</v>
      </c>
      <c r="L413" s="19">
        <f t="shared" si="122"/>
        <v>0</v>
      </c>
      <c r="M413" s="19">
        <f t="shared" si="122"/>
        <v>0</v>
      </c>
      <c r="N413" s="19">
        <f t="shared" si="122"/>
        <v>8</v>
      </c>
      <c r="O413" s="19">
        <f t="shared" si="122"/>
        <v>0</v>
      </c>
      <c r="P413" s="19">
        <f t="shared" si="122"/>
        <v>300</v>
      </c>
      <c r="Q413" s="19">
        <f t="shared" si="122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3">F415+F416</f>
        <v>35</v>
      </c>
      <c r="G414" s="19">
        <f t="shared" si="123"/>
        <v>35</v>
      </c>
      <c r="H414" s="19">
        <f t="shared" si="123"/>
        <v>0</v>
      </c>
      <c r="I414" s="19">
        <f t="shared" si="123"/>
        <v>0</v>
      </c>
      <c r="J414" s="19">
        <f t="shared" si="123"/>
        <v>0</v>
      </c>
      <c r="K414" s="19">
        <f t="shared" si="123"/>
        <v>0</v>
      </c>
      <c r="L414" s="19">
        <f t="shared" si="123"/>
        <v>0</v>
      </c>
      <c r="M414" s="19">
        <f t="shared" si="123"/>
        <v>0</v>
      </c>
      <c r="N414" s="19">
        <f t="shared" si="123"/>
        <v>0</v>
      </c>
      <c r="O414" s="19">
        <f t="shared" si="123"/>
        <v>0</v>
      </c>
      <c r="P414" s="19">
        <f t="shared" si="123"/>
        <v>35</v>
      </c>
      <c r="Q414" s="19">
        <f t="shared" si="123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4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4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22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5">SUM(F418:F420)</f>
        <v>65</v>
      </c>
      <c r="G417" s="19">
        <f t="shared" si="125"/>
        <v>68</v>
      </c>
      <c r="H417" s="19">
        <f t="shared" si="125"/>
        <v>0</v>
      </c>
      <c r="I417" s="19">
        <f t="shared" si="125"/>
        <v>0</v>
      </c>
      <c r="J417" s="19">
        <f t="shared" si="125"/>
        <v>0</v>
      </c>
      <c r="K417" s="19">
        <f t="shared" si="125"/>
        <v>0</v>
      </c>
      <c r="L417" s="19">
        <f t="shared" si="125"/>
        <v>0</v>
      </c>
      <c r="M417" s="19">
        <f t="shared" si="125"/>
        <v>0</v>
      </c>
      <c r="N417" s="19">
        <f t="shared" si="125"/>
        <v>8</v>
      </c>
      <c r="O417" s="19">
        <f t="shared" si="125"/>
        <v>0</v>
      </c>
      <c r="P417" s="19">
        <f t="shared" si="125"/>
        <v>65</v>
      </c>
      <c r="Q417" s="19">
        <f t="shared" si="125"/>
        <v>50</v>
      </c>
    </row>
    <row r="418" spans="1:22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30</v>
      </c>
      <c r="G418" s="37">
        <f t="shared" ref="G418:G419" si="126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30</v>
      </c>
      <c r="Q418" s="36">
        <v>9</v>
      </c>
    </row>
    <row r="419" spans="1:22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25</v>
      </c>
      <c r="G419" s="37">
        <f t="shared" si="126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25</v>
      </c>
      <c r="Q419" s="36">
        <v>41</v>
      </c>
      <c r="V419" s="12" t="s">
        <v>539</v>
      </c>
    </row>
    <row r="420" spans="1:22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4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22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7">F422</f>
        <v>200</v>
      </c>
      <c r="G421" s="19">
        <f t="shared" si="127"/>
        <v>15</v>
      </c>
      <c r="H421" s="19">
        <f t="shared" si="127"/>
        <v>0</v>
      </c>
      <c r="I421" s="19">
        <f t="shared" si="127"/>
        <v>0</v>
      </c>
      <c r="J421" s="19">
        <f t="shared" si="127"/>
        <v>0</v>
      </c>
      <c r="K421" s="19">
        <f t="shared" si="127"/>
        <v>0</v>
      </c>
      <c r="L421" s="19">
        <f t="shared" si="127"/>
        <v>0</v>
      </c>
      <c r="M421" s="19">
        <f t="shared" si="127"/>
        <v>0</v>
      </c>
      <c r="N421" s="19">
        <f t="shared" si="127"/>
        <v>0</v>
      </c>
      <c r="O421" s="19">
        <f t="shared" si="127"/>
        <v>0</v>
      </c>
      <c r="P421" s="19">
        <f t="shared" si="127"/>
        <v>200</v>
      </c>
      <c r="Q421" s="19">
        <f t="shared" si="127"/>
        <v>15</v>
      </c>
    </row>
    <row r="422" spans="1:22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200</v>
      </c>
      <c r="G422" s="37">
        <f t="shared" ref="G422" si="128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200</v>
      </c>
      <c r="Q422" s="36">
        <v>15</v>
      </c>
    </row>
    <row r="423" spans="1:22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4"/>
        <v>0</v>
      </c>
      <c r="H423" s="19"/>
      <c r="I423" s="19">
        <f t="shared" ref="I423:Q423" si="129">I424+I425</f>
        <v>0</v>
      </c>
      <c r="J423" s="19">
        <f t="shared" si="129"/>
        <v>0</v>
      </c>
      <c r="K423" s="19"/>
      <c r="L423" s="19">
        <f t="shared" si="129"/>
        <v>0</v>
      </c>
      <c r="M423" s="19"/>
      <c r="N423" s="19">
        <f t="shared" si="129"/>
        <v>0</v>
      </c>
      <c r="O423" s="19">
        <f t="shared" si="129"/>
        <v>0</v>
      </c>
      <c r="P423" s="19"/>
      <c r="Q423" s="19">
        <f t="shared" si="129"/>
        <v>0</v>
      </c>
    </row>
    <row r="424" spans="1:22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4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22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4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22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4"/>
        <v>0</v>
      </c>
      <c r="H426" s="19"/>
      <c r="I426" s="19">
        <f t="shared" ref="I426:Q426" si="130">I427</f>
        <v>0</v>
      </c>
      <c r="J426" s="19">
        <f t="shared" si="130"/>
        <v>0</v>
      </c>
      <c r="K426" s="19"/>
      <c r="L426" s="19">
        <f t="shared" si="130"/>
        <v>0</v>
      </c>
      <c r="M426" s="19"/>
      <c r="N426" s="19">
        <f t="shared" si="130"/>
        <v>0</v>
      </c>
      <c r="O426" s="19">
        <f t="shared" si="130"/>
        <v>0</v>
      </c>
      <c r="P426" s="19"/>
      <c r="Q426" s="19">
        <f t="shared" si="130"/>
        <v>0</v>
      </c>
    </row>
    <row r="427" spans="1:22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4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22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22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22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22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22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4"/>
        <v>0</v>
      </c>
      <c r="H432" s="19"/>
      <c r="I432" s="19">
        <f t="shared" ref="I432:Q432" si="131">I433</f>
        <v>0</v>
      </c>
      <c r="J432" s="19">
        <f t="shared" si="131"/>
        <v>0</v>
      </c>
      <c r="K432" s="19"/>
      <c r="L432" s="19">
        <f t="shared" si="131"/>
        <v>0</v>
      </c>
      <c r="M432" s="19"/>
      <c r="N432" s="19">
        <f t="shared" si="131"/>
        <v>0</v>
      </c>
      <c r="O432" s="19">
        <f t="shared" si="131"/>
        <v>0</v>
      </c>
      <c r="P432" s="19"/>
      <c r="Q432" s="19">
        <f t="shared" si="131"/>
        <v>0</v>
      </c>
    </row>
    <row r="433" spans="1:22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4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2">F435+F458+F471+F474+F482</f>
        <v>27329</v>
      </c>
      <c r="G434" s="19">
        <f t="shared" si="132"/>
        <v>3263</v>
      </c>
      <c r="H434" s="19">
        <f t="shared" si="132"/>
        <v>25000</v>
      </c>
      <c r="I434" s="19">
        <f t="shared" si="132"/>
        <v>1450</v>
      </c>
      <c r="J434" s="19">
        <f t="shared" si="132"/>
        <v>0</v>
      </c>
      <c r="K434" s="19">
        <f t="shared" si="132"/>
        <v>1000</v>
      </c>
      <c r="L434" s="19">
        <f t="shared" si="132"/>
        <v>0</v>
      </c>
      <c r="M434" s="19">
        <f t="shared" si="132"/>
        <v>0</v>
      </c>
      <c r="N434" s="19">
        <f t="shared" si="132"/>
        <v>0</v>
      </c>
      <c r="O434" s="19">
        <f t="shared" si="132"/>
        <v>0</v>
      </c>
      <c r="P434" s="19">
        <f t="shared" si="132"/>
        <v>1329</v>
      </c>
      <c r="Q434" s="19">
        <f t="shared" si="132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3">F436+F441+F452+F454+F456</f>
        <v>27329</v>
      </c>
      <c r="G435" s="19">
        <f t="shared" si="133"/>
        <v>3263</v>
      </c>
      <c r="H435" s="19">
        <f t="shared" si="133"/>
        <v>25000</v>
      </c>
      <c r="I435" s="19">
        <f t="shared" si="133"/>
        <v>1450</v>
      </c>
      <c r="J435" s="19">
        <f t="shared" si="133"/>
        <v>0</v>
      </c>
      <c r="K435" s="19">
        <f t="shared" si="133"/>
        <v>1000</v>
      </c>
      <c r="L435" s="19">
        <f t="shared" si="133"/>
        <v>0</v>
      </c>
      <c r="M435" s="19">
        <f t="shared" si="133"/>
        <v>0</v>
      </c>
      <c r="N435" s="19">
        <f t="shared" si="133"/>
        <v>0</v>
      </c>
      <c r="O435" s="19">
        <f t="shared" si="133"/>
        <v>0</v>
      </c>
      <c r="P435" s="19">
        <f t="shared" si="133"/>
        <v>1329</v>
      </c>
      <c r="Q435" s="19">
        <f t="shared" si="133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4">SUM(F437:F440)</f>
        <v>5000</v>
      </c>
      <c r="G436" s="19">
        <f t="shared" si="134"/>
        <v>1450</v>
      </c>
      <c r="H436" s="19">
        <f t="shared" si="134"/>
        <v>5000</v>
      </c>
      <c r="I436" s="19">
        <f t="shared" si="134"/>
        <v>1450</v>
      </c>
      <c r="J436" s="19">
        <f t="shared" si="134"/>
        <v>0</v>
      </c>
      <c r="K436" s="19">
        <f t="shared" si="134"/>
        <v>0</v>
      </c>
      <c r="L436" s="19">
        <f t="shared" si="134"/>
        <v>0</v>
      </c>
      <c r="M436" s="19">
        <f t="shared" si="134"/>
        <v>0</v>
      </c>
      <c r="N436" s="19">
        <f t="shared" si="134"/>
        <v>0</v>
      </c>
      <c r="O436" s="19">
        <f t="shared" si="134"/>
        <v>0</v>
      </c>
      <c r="P436" s="19">
        <f t="shared" si="134"/>
        <v>0</v>
      </c>
      <c r="Q436" s="19">
        <f t="shared" si="134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4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4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5000</v>
      </c>
      <c r="G439" s="37">
        <f t="shared" ref="G439" si="135">SUM(I439:Q439)-K439-M439-P439</f>
        <v>1450</v>
      </c>
      <c r="H439" s="37">
        <v>5000</v>
      </c>
      <c r="I439" s="36">
        <v>1450</v>
      </c>
      <c r="J439" s="36"/>
      <c r="K439" s="36"/>
      <c r="L439" s="36"/>
      <c r="M439" s="36"/>
      <c r="N439" s="36"/>
      <c r="O439" s="36"/>
      <c r="P439" s="36"/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4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6">SUM(F442:F451)</f>
        <v>22329</v>
      </c>
      <c r="G441" s="19">
        <f t="shared" si="136"/>
        <v>1813</v>
      </c>
      <c r="H441" s="19">
        <f t="shared" si="136"/>
        <v>20000</v>
      </c>
      <c r="I441" s="19">
        <f t="shared" si="136"/>
        <v>0</v>
      </c>
      <c r="J441" s="19">
        <f t="shared" si="136"/>
        <v>0</v>
      </c>
      <c r="K441" s="19">
        <f t="shared" si="136"/>
        <v>1000</v>
      </c>
      <c r="L441" s="19">
        <f t="shared" si="136"/>
        <v>0</v>
      </c>
      <c r="M441" s="19">
        <f t="shared" si="136"/>
        <v>0</v>
      </c>
      <c r="N441" s="19">
        <f t="shared" si="136"/>
        <v>0</v>
      </c>
      <c r="O441" s="19">
        <f t="shared" si="136"/>
        <v>0</v>
      </c>
      <c r="P441" s="19">
        <f t="shared" si="136"/>
        <v>1329</v>
      </c>
      <c r="Q441" s="19">
        <f t="shared" si="136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4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0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/>
      <c r="Q443" s="36"/>
    </row>
    <row r="444" spans="1:22" ht="28.5" x14ac:dyDescent="0.4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1018</v>
      </c>
      <c r="G444" s="37">
        <f t="shared" ref="G444" si="137">SUM(I444:Q444)-K444-M444-P444</f>
        <v>1258</v>
      </c>
      <c r="H444" s="522"/>
      <c r="I444" s="36"/>
      <c r="J444" s="36"/>
      <c r="K444" s="36"/>
      <c r="L444" s="36"/>
      <c r="M444" s="36"/>
      <c r="N444" s="36"/>
      <c r="O444" s="36"/>
      <c r="P444" s="36">
        <f>918+100</f>
        <v>1018</v>
      </c>
      <c r="Q444" s="36">
        <v>1258</v>
      </c>
      <c r="R444" s="12">
        <v>809</v>
      </c>
      <c r="S444" s="12">
        <v>1124</v>
      </c>
      <c r="T444" s="12">
        <f>S444-R444</f>
        <v>315</v>
      </c>
      <c r="V444" s="400" t="s">
        <v>538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4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4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21311</v>
      </c>
      <c r="G447" s="37">
        <f t="shared" ref="G447" si="138">SUM(I447:Q447)-K447-M447-P447</f>
        <v>555</v>
      </c>
      <c r="H447" s="37">
        <v>20000</v>
      </c>
      <c r="I447" s="36"/>
      <c r="J447" s="36"/>
      <c r="K447" s="36">
        <v>1000</v>
      </c>
      <c r="L447" s="36"/>
      <c r="M447" s="36"/>
      <c r="N447" s="36"/>
      <c r="O447" s="36"/>
      <c r="P447" s="38">
        <v>311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4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4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4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4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4"/>
        <v>0</v>
      </c>
      <c r="H452" s="19"/>
      <c r="I452" s="19">
        <f t="shared" ref="I452:Q452" si="139">I453</f>
        <v>0</v>
      </c>
      <c r="J452" s="19">
        <f t="shared" si="139"/>
        <v>0</v>
      </c>
      <c r="K452" s="19"/>
      <c r="L452" s="19">
        <f t="shared" si="139"/>
        <v>0</v>
      </c>
      <c r="M452" s="19"/>
      <c r="N452" s="19">
        <f t="shared" si="139"/>
        <v>0</v>
      </c>
      <c r="O452" s="19">
        <f t="shared" si="139"/>
        <v>0</v>
      </c>
      <c r="P452" s="19"/>
      <c r="Q452" s="19">
        <f t="shared" si="139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4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4"/>
        <v>0</v>
      </c>
      <c r="H454" s="19"/>
      <c r="I454" s="19">
        <f t="shared" ref="I454:Q454" si="140">I455</f>
        <v>0</v>
      </c>
      <c r="J454" s="19">
        <f t="shared" si="140"/>
        <v>0</v>
      </c>
      <c r="K454" s="19"/>
      <c r="L454" s="19">
        <f t="shared" si="140"/>
        <v>0</v>
      </c>
      <c r="M454" s="19"/>
      <c r="N454" s="19">
        <f t="shared" si="140"/>
        <v>0</v>
      </c>
      <c r="O454" s="19">
        <f t="shared" si="140"/>
        <v>0</v>
      </c>
      <c r="P454" s="19"/>
      <c r="Q454" s="19">
        <f t="shared" si="140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4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1">F457</f>
        <v>0</v>
      </c>
      <c r="G456" s="19">
        <f t="shared" si="141"/>
        <v>0</v>
      </c>
      <c r="H456" s="19">
        <f t="shared" si="141"/>
        <v>0</v>
      </c>
      <c r="I456" s="19">
        <f t="shared" si="141"/>
        <v>0</v>
      </c>
      <c r="J456" s="19">
        <f t="shared" si="141"/>
        <v>0</v>
      </c>
      <c r="K456" s="19">
        <f t="shared" si="141"/>
        <v>0</v>
      </c>
      <c r="L456" s="19">
        <f t="shared" si="141"/>
        <v>0</v>
      </c>
      <c r="M456" s="19">
        <f t="shared" si="141"/>
        <v>0</v>
      </c>
      <c r="N456" s="19">
        <f t="shared" si="141"/>
        <v>0</v>
      </c>
      <c r="O456" s="19">
        <f t="shared" si="141"/>
        <v>0</v>
      </c>
      <c r="P456" s="19">
        <f t="shared" si="141"/>
        <v>0</v>
      </c>
      <c r="Q456" s="19">
        <f t="shared" si="141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0</v>
      </c>
      <c r="G457" s="37">
        <f t="shared" si="114"/>
        <v>0</v>
      </c>
      <c r="H457" s="37"/>
      <c r="I457" s="36"/>
      <c r="J457" s="36"/>
      <c r="K457" s="36"/>
      <c r="L457" s="36"/>
      <c r="M457" s="36"/>
      <c r="N457" s="36"/>
      <c r="O457" s="36"/>
      <c r="P457" s="36">
        <v>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2">SUM(I458:Q458)</f>
        <v>0</v>
      </c>
      <c r="H458" s="19"/>
      <c r="I458" s="19">
        <f t="shared" ref="I458:Q458" si="143">I459+I461+I469</f>
        <v>0</v>
      </c>
      <c r="J458" s="19">
        <f t="shared" si="143"/>
        <v>0</v>
      </c>
      <c r="K458" s="19"/>
      <c r="L458" s="19">
        <f t="shared" si="143"/>
        <v>0</v>
      </c>
      <c r="M458" s="19"/>
      <c r="N458" s="19">
        <f t="shared" si="143"/>
        <v>0</v>
      </c>
      <c r="O458" s="19">
        <f t="shared" si="143"/>
        <v>0</v>
      </c>
      <c r="P458" s="19"/>
      <c r="Q458" s="19">
        <f t="shared" si="143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2"/>
        <v>0</v>
      </c>
      <c r="H459" s="19"/>
      <c r="I459" s="19">
        <f t="shared" ref="I459:Q459" si="144">I460</f>
        <v>0</v>
      </c>
      <c r="J459" s="19">
        <f t="shared" si="144"/>
        <v>0</v>
      </c>
      <c r="K459" s="19"/>
      <c r="L459" s="19">
        <f t="shared" si="144"/>
        <v>0</v>
      </c>
      <c r="M459" s="19"/>
      <c r="N459" s="19">
        <f t="shared" si="144"/>
        <v>0</v>
      </c>
      <c r="O459" s="19">
        <f t="shared" si="144"/>
        <v>0</v>
      </c>
      <c r="P459" s="19"/>
      <c r="Q459" s="19">
        <f t="shared" si="144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2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2"/>
        <v>0</v>
      </c>
      <c r="H461" s="19"/>
      <c r="I461" s="19">
        <f t="shared" ref="I461:Q461" si="145">SUM(I462:I468)</f>
        <v>0</v>
      </c>
      <c r="J461" s="19">
        <f t="shared" si="145"/>
        <v>0</v>
      </c>
      <c r="K461" s="19"/>
      <c r="L461" s="19">
        <f t="shared" si="145"/>
        <v>0</v>
      </c>
      <c r="M461" s="19"/>
      <c r="N461" s="19">
        <f t="shared" si="145"/>
        <v>0</v>
      </c>
      <c r="O461" s="19">
        <f t="shared" si="145"/>
        <v>0</v>
      </c>
      <c r="P461" s="19"/>
      <c r="Q461" s="19">
        <f t="shared" si="145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2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2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2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2"/>
        <v>0</v>
      </c>
      <c r="H469" s="19"/>
      <c r="I469" s="19">
        <f t="shared" ref="I469:Q469" si="146">I470</f>
        <v>0</v>
      </c>
      <c r="J469" s="19">
        <f t="shared" si="146"/>
        <v>0</v>
      </c>
      <c r="K469" s="19"/>
      <c r="L469" s="19">
        <f t="shared" si="146"/>
        <v>0</v>
      </c>
      <c r="M469" s="19"/>
      <c r="N469" s="19">
        <f t="shared" si="146"/>
        <v>0</v>
      </c>
      <c r="O469" s="19">
        <f t="shared" si="146"/>
        <v>0</v>
      </c>
      <c r="P469" s="19"/>
      <c r="Q469" s="19">
        <f t="shared" si="146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2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2"/>
        <v>0</v>
      </c>
      <c r="H471" s="19"/>
      <c r="I471" s="19">
        <f t="shared" ref="I471:Q472" si="147">I472</f>
        <v>0</v>
      </c>
      <c r="J471" s="19">
        <f t="shared" si="147"/>
        <v>0</v>
      </c>
      <c r="K471" s="19"/>
      <c r="L471" s="19">
        <f t="shared" si="147"/>
        <v>0</v>
      </c>
      <c r="M471" s="19"/>
      <c r="N471" s="19">
        <f t="shared" si="147"/>
        <v>0</v>
      </c>
      <c r="O471" s="19">
        <f t="shared" si="147"/>
        <v>0</v>
      </c>
      <c r="P471" s="19"/>
      <c r="Q471" s="19">
        <f t="shared" si="147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2"/>
        <v>0</v>
      </c>
      <c r="H472" s="19"/>
      <c r="I472" s="19">
        <f t="shared" si="147"/>
        <v>0</v>
      </c>
      <c r="J472" s="19">
        <f t="shared" si="147"/>
        <v>0</v>
      </c>
      <c r="K472" s="19"/>
      <c r="L472" s="19">
        <f t="shared" si="147"/>
        <v>0</v>
      </c>
      <c r="M472" s="19"/>
      <c r="N472" s="19">
        <f t="shared" si="147"/>
        <v>0</v>
      </c>
      <c r="O472" s="19">
        <f t="shared" si="147"/>
        <v>0</v>
      </c>
      <c r="P472" s="19"/>
      <c r="Q472" s="19">
        <f t="shared" si="147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2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2"/>
        <v>0</v>
      </c>
      <c r="H474" s="19"/>
      <c r="I474" s="19">
        <f t="shared" ref="I474:Q474" si="148">I475+I477+I479</f>
        <v>0</v>
      </c>
      <c r="J474" s="19">
        <f t="shared" si="148"/>
        <v>0</v>
      </c>
      <c r="K474" s="19"/>
      <c r="L474" s="19">
        <f t="shared" si="148"/>
        <v>0</v>
      </c>
      <c r="M474" s="19"/>
      <c r="N474" s="19">
        <f t="shared" si="148"/>
        <v>0</v>
      </c>
      <c r="O474" s="19">
        <f t="shared" si="148"/>
        <v>0</v>
      </c>
      <c r="P474" s="19"/>
      <c r="Q474" s="19">
        <f t="shared" si="148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2"/>
        <v>0</v>
      </c>
      <c r="H475" s="19"/>
      <c r="I475" s="19">
        <f t="shared" ref="I475:Q475" si="149">I476</f>
        <v>0</v>
      </c>
      <c r="J475" s="19">
        <f t="shared" si="149"/>
        <v>0</v>
      </c>
      <c r="K475" s="19"/>
      <c r="L475" s="19">
        <f t="shared" si="149"/>
        <v>0</v>
      </c>
      <c r="M475" s="19"/>
      <c r="N475" s="19">
        <f t="shared" si="149"/>
        <v>0</v>
      </c>
      <c r="O475" s="19">
        <f t="shared" si="149"/>
        <v>0</v>
      </c>
      <c r="P475" s="19"/>
      <c r="Q475" s="19">
        <f t="shared" si="149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2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2"/>
        <v>0</v>
      </c>
      <c r="H477" s="19"/>
      <c r="I477" s="19">
        <f t="shared" ref="I477:Q477" si="150">I478</f>
        <v>0</v>
      </c>
      <c r="J477" s="19">
        <f t="shared" si="150"/>
        <v>0</v>
      </c>
      <c r="K477" s="19"/>
      <c r="L477" s="19">
        <f t="shared" si="150"/>
        <v>0</v>
      </c>
      <c r="M477" s="19"/>
      <c r="N477" s="19">
        <f t="shared" si="150"/>
        <v>0</v>
      </c>
      <c r="O477" s="19">
        <f t="shared" si="150"/>
        <v>0</v>
      </c>
      <c r="P477" s="19"/>
      <c r="Q477" s="19">
        <f t="shared" si="150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2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2"/>
        <v>0</v>
      </c>
      <c r="H479" s="19"/>
      <c r="I479" s="19">
        <f t="shared" ref="I479:Q479" si="151">I480+I481</f>
        <v>0</v>
      </c>
      <c r="J479" s="19">
        <f t="shared" si="151"/>
        <v>0</v>
      </c>
      <c r="K479" s="19"/>
      <c r="L479" s="19">
        <f t="shared" si="151"/>
        <v>0</v>
      </c>
      <c r="M479" s="19"/>
      <c r="N479" s="19">
        <f t="shared" si="151"/>
        <v>0</v>
      </c>
      <c r="O479" s="19">
        <f t="shared" si="151"/>
        <v>0</v>
      </c>
      <c r="P479" s="19"/>
      <c r="Q479" s="19">
        <f t="shared" si="151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2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2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2"/>
        <v>0</v>
      </c>
      <c r="H482" s="19"/>
      <c r="I482" s="19">
        <f t="shared" ref="I482:Q483" si="152">I483</f>
        <v>0</v>
      </c>
      <c r="J482" s="19">
        <f t="shared" si="152"/>
        <v>0</v>
      </c>
      <c r="K482" s="19"/>
      <c r="L482" s="19">
        <f t="shared" si="152"/>
        <v>0</v>
      </c>
      <c r="M482" s="19"/>
      <c r="N482" s="19">
        <f t="shared" si="152"/>
        <v>0</v>
      </c>
      <c r="O482" s="19">
        <f t="shared" si="152"/>
        <v>0</v>
      </c>
      <c r="P482" s="19"/>
      <c r="Q482" s="19">
        <f t="shared" si="152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2"/>
        <v>0</v>
      </c>
      <c r="H483" s="19"/>
      <c r="I483" s="19">
        <f t="shared" si="152"/>
        <v>0</v>
      </c>
      <c r="J483" s="19">
        <f t="shared" si="152"/>
        <v>0</v>
      </c>
      <c r="K483" s="19"/>
      <c r="L483" s="19">
        <f t="shared" si="152"/>
        <v>0</v>
      </c>
      <c r="M483" s="19"/>
      <c r="N483" s="19">
        <f t="shared" si="152"/>
        <v>0</v>
      </c>
      <c r="O483" s="19">
        <f t="shared" si="152"/>
        <v>0</v>
      </c>
      <c r="P483" s="19"/>
      <c r="Q483" s="19">
        <f t="shared" si="152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2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2"/>
        <v>0</v>
      </c>
      <c r="H485" s="19"/>
      <c r="I485" s="19">
        <f t="shared" ref="I485:Q485" si="153">I486+I515</f>
        <v>0</v>
      </c>
      <c r="J485" s="19">
        <f t="shared" si="153"/>
        <v>0</v>
      </c>
      <c r="K485" s="19"/>
      <c r="L485" s="19">
        <f t="shared" si="153"/>
        <v>0</v>
      </c>
      <c r="M485" s="19"/>
      <c r="N485" s="19">
        <f t="shared" si="153"/>
        <v>0</v>
      </c>
      <c r="O485" s="19">
        <f t="shared" si="153"/>
        <v>0</v>
      </c>
      <c r="P485" s="19"/>
      <c r="Q485" s="19">
        <f t="shared" si="153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2"/>
        <v>0</v>
      </c>
      <c r="H486" s="19"/>
      <c r="I486" s="19">
        <f t="shared" ref="I486:Q486" si="154">I487+I501+I509+I511+I513</f>
        <v>0</v>
      </c>
      <c r="J486" s="19">
        <f t="shared" si="154"/>
        <v>0</v>
      </c>
      <c r="K486" s="19"/>
      <c r="L486" s="19">
        <f t="shared" si="154"/>
        <v>0</v>
      </c>
      <c r="M486" s="19"/>
      <c r="N486" s="19">
        <f t="shared" si="154"/>
        <v>0</v>
      </c>
      <c r="O486" s="19">
        <f t="shared" si="154"/>
        <v>0</v>
      </c>
      <c r="P486" s="19"/>
      <c r="Q486" s="19">
        <f t="shared" si="154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2"/>
        <v>0</v>
      </c>
      <c r="H487" s="19"/>
      <c r="I487" s="19">
        <f t="shared" ref="I487:Q487" si="155">SUM(I488:I500)</f>
        <v>0</v>
      </c>
      <c r="J487" s="19">
        <f t="shared" si="155"/>
        <v>0</v>
      </c>
      <c r="K487" s="19"/>
      <c r="L487" s="19">
        <f t="shared" si="155"/>
        <v>0</v>
      </c>
      <c r="M487" s="19"/>
      <c r="N487" s="19">
        <f t="shared" si="155"/>
        <v>0</v>
      </c>
      <c r="O487" s="19">
        <f t="shared" si="155"/>
        <v>0</v>
      </c>
      <c r="P487" s="19"/>
      <c r="Q487" s="19">
        <f t="shared" si="155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2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2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2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2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2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2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2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2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2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2"/>
        <v>0</v>
      </c>
      <c r="H501" s="19"/>
      <c r="I501" s="19">
        <f t="shared" ref="I501:Q501" si="156">SUM(I502:I508)</f>
        <v>0</v>
      </c>
      <c r="J501" s="19">
        <f t="shared" si="156"/>
        <v>0</v>
      </c>
      <c r="K501" s="19"/>
      <c r="L501" s="19">
        <f t="shared" si="156"/>
        <v>0</v>
      </c>
      <c r="M501" s="19"/>
      <c r="N501" s="19">
        <f t="shared" si="156"/>
        <v>0</v>
      </c>
      <c r="O501" s="19">
        <f t="shared" si="156"/>
        <v>0</v>
      </c>
      <c r="P501" s="19"/>
      <c r="Q501" s="19">
        <f t="shared" si="156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2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2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2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2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2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2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2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2"/>
        <v>0</v>
      </c>
      <c r="H509" s="19"/>
      <c r="I509" s="19">
        <f t="shared" ref="I509:Q509" si="157">I510</f>
        <v>0</v>
      </c>
      <c r="J509" s="19">
        <f t="shared" si="157"/>
        <v>0</v>
      </c>
      <c r="K509" s="19"/>
      <c r="L509" s="19">
        <f t="shared" si="157"/>
        <v>0</v>
      </c>
      <c r="M509" s="19"/>
      <c r="N509" s="19">
        <f t="shared" si="157"/>
        <v>0</v>
      </c>
      <c r="O509" s="19">
        <f t="shared" si="157"/>
        <v>0</v>
      </c>
      <c r="P509" s="19"/>
      <c r="Q509" s="19">
        <f t="shared" si="157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2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2"/>
        <v>0</v>
      </c>
      <c r="H511" s="19"/>
      <c r="I511" s="19">
        <f t="shared" ref="I511:Q513" si="158">I512</f>
        <v>0</v>
      </c>
      <c r="J511" s="19">
        <f t="shared" si="158"/>
        <v>0</v>
      </c>
      <c r="K511" s="19"/>
      <c r="L511" s="19">
        <f t="shared" si="158"/>
        <v>0</v>
      </c>
      <c r="M511" s="19"/>
      <c r="N511" s="19">
        <f t="shared" si="158"/>
        <v>0</v>
      </c>
      <c r="O511" s="19">
        <f t="shared" si="158"/>
        <v>0</v>
      </c>
      <c r="P511" s="19"/>
      <c r="Q511" s="19">
        <f t="shared" si="158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2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2"/>
        <v>0</v>
      </c>
      <c r="H513" s="19"/>
      <c r="I513" s="19">
        <f t="shared" si="158"/>
        <v>0</v>
      </c>
      <c r="J513" s="19">
        <f t="shared" si="158"/>
        <v>0</v>
      </c>
      <c r="K513" s="19"/>
      <c r="L513" s="19">
        <f t="shared" si="158"/>
        <v>0</v>
      </c>
      <c r="M513" s="19"/>
      <c r="N513" s="19">
        <f t="shared" si="158"/>
        <v>0</v>
      </c>
      <c r="O513" s="19">
        <f t="shared" si="158"/>
        <v>0</v>
      </c>
      <c r="P513" s="19"/>
      <c r="Q513" s="19">
        <f t="shared" si="158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2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2"/>
        <v>0</v>
      </c>
      <c r="H515" s="19"/>
      <c r="I515" s="19">
        <f t="shared" ref="I515:Q515" si="159">I516+I530+I539</f>
        <v>0</v>
      </c>
      <c r="J515" s="19">
        <f t="shared" si="159"/>
        <v>0</v>
      </c>
      <c r="K515" s="19"/>
      <c r="L515" s="19">
        <f t="shared" si="159"/>
        <v>0</v>
      </c>
      <c r="M515" s="19"/>
      <c r="N515" s="19">
        <f t="shared" si="159"/>
        <v>0</v>
      </c>
      <c r="O515" s="19">
        <f t="shared" si="159"/>
        <v>0</v>
      </c>
      <c r="P515" s="19"/>
      <c r="Q515" s="19">
        <f t="shared" si="159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2"/>
        <v>0</v>
      </c>
      <c r="H516" s="19"/>
      <c r="I516" s="19">
        <f t="shared" ref="I516:Q516" si="160">SUM(I517:I529)</f>
        <v>0</v>
      </c>
      <c r="J516" s="19">
        <f t="shared" si="160"/>
        <v>0</v>
      </c>
      <c r="K516" s="19"/>
      <c r="L516" s="19">
        <f t="shared" si="160"/>
        <v>0</v>
      </c>
      <c r="M516" s="19"/>
      <c r="N516" s="19">
        <f t="shared" si="160"/>
        <v>0</v>
      </c>
      <c r="O516" s="19">
        <f t="shared" si="160"/>
        <v>0</v>
      </c>
      <c r="P516" s="19"/>
      <c r="Q516" s="19">
        <f t="shared" si="160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2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2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2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2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2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2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2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2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2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2"/>
        <v>0</v>
      </c>
      <c r="H530" s="19"/>
      <c r="I530" s="19">
        <f t="shared" ref="I530:Q530" si="161">SUM(I531:I538)</f>
        <v>0</v>
      </c>
      <c r="J530" s="19">
        <f t="shared" si="161"/>
        <v>0</v>
      </c>
      <c r="K530" s="19"/>
      <c r="L530" s="19">
        <f t="shared" si="161"/>
        <v>0</v>
      </c>
      <c r="M530" s="19"/>
      <c r="N530" s="19">
        <f t="shared" si="161"/>
        <v>0</v>
      </c>
      <c r="O530" s="19">
        <f t="shared" si="161"/>
        <v>0</v>
      </c>
      <c r="P530" s="19"/>
      <c r="Q530" s="19">
        <f t="shared" si="161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2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2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2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2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2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2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2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2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2"/>
        <v>0</v>
      </c>
      <c r="H539" s="19"/>
      <c r="I539" s="19">
        <f t="shared" ref="I539:Q539" si="163">I540</f>
        <v>0</v>
      </c>
      <c r="J539" s="19">
        <f t="shared" si="163"/>
        <v>0</v>
      </c>
      <c r="K539" s="19"/>
      <c r="L539" s="19">
        <f t="shared" si="163"/>
        <v>0</v>
      </c>
      <c r="M539" s="19"/>
      <c r="N539" s="19">
        <f t="shared" si="163"/>
        <v>0</v>
      </c>
      <c r="O539" s="19">
        <f t="shared" si="163"/>
        <v>0</v>
      </c>
      <c r="P539" s="19"/>
      <c r="Q539" s="19">
        <f t="shared" si="163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2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4">E219+E485</f>
        <v>1500538</v>
      </c>
      <c r="F541" s="19">
        <f t="shared" si="164"/>
        <v>1639055</v>
      </c>
      <c r="G541" s="19">
        <f t="shared" si="164"/>
        <v>1138166</v>
      </c>
      <c r="H541" s="19">
        <f t="shared" si="164"/>
        <v>26000</v>
      </c>
      <c r="I541" s="19">
        <f t="shared" si="164"/>
        <v>1577</v>
      </c>
      <c r="J541" s="19">
        <f t="shared" si="164"/>
        <v>0</v>
      </c>
      <c r="K541" s="19">
        <f t="shared" si="164"/>
        <v>1000</v>
      </c>
      <c r="L541" s="19">
        <f t="shared" si="164"/>
        <v>1273</v>
      </c>
      <c r="M541" s="19">
        <f t="shared" si="164"/>
        <v>1599334</v>
      </c>
      <c r="N541" s="19">
        <f t="shared" si="164"/>
        <v>1125638</v>
      </c>
      <c r="O541" s="19">
        <f t="shared" si="164"/>
        <v>0</v>
      </c>
      <c r="P541" s="19">
        <f t="shared" si="164"/>
        <v>12721</v>
      </c>
      <c r="Q541" s="19">
        <f t="shared" si="164"/>
        <v>9668</v>
      </c>
    </row>
    <row r="542" spans="1:17" hidden="1" x14ac:dyDescent="0.25"/>
    <row r="543" spans="1:17" hidden="1" x14ac:dyDescent="0.25">
      <c r="F543" s="44">
        <f>F210-F541</f>
        <v>279</v>
      </c>
      <c r="G543" s="44"/>
      <c r="H543" s="44">
        <f>H210-H541</f>
        <v>0</v>
      </c>
      <c r="I543" s="44"/>
      <c r="J543" s="44">
        <f>J210-J541</f>
        <v>0</v>
      </c>
      <c r="K543" s="44">
        <f>K210-K541</f>
        <v>0</v>
      </c>
      <c r="L543" s="44"/>
      <c r="M543" s="44">
        <f>M210-M541</f>
        <v>0</v>
      </c>
      <c r="N543" s="44"/>
      <c r="O543" s="44">
        <f>O210-O541</f>
        <v>0</v>
      </c>
      <c r="P543" s="60">
        <f>P210-P541</f>
        <v>279</v>
      </c>
      <c r="Q543" s="44" t="s">
        <v>469</v>
      </c>
    </row>
    <row r="544" spans="1:17" hidden="1" x14ac:dyDescent="0.25"/>
    <row r="545" spans="1:16" hidden="1" x14ac:dyDescent="0.25">
      <c r="M545" s="44">
        <v>55285</v>
      </c>
    </row>
    <row r="546" spans="1:16" hidden="1" x14ac:dyDescent="0.25">
      <c r="K546" s="12" t="s">
        <v>463</v>
      </c>
      <c r="L546" s="44">
        <v>50421</v>
      </c>
      <c r="M546" s="44">
        <f>M249+M251+M252+M253+M257+M264+M265+M266+M267+M269+M274+M278+M281+M282+M284+M285+M287+M289+M312+M313</f>
        <v>55285</v>
      </c>
      <c r="N546" s="44">
        <f>L546-M546</f>
        <v>-4864</v>
      </c>
      <c r="P546" s="44">
        <f>M546-M545</f>
        <v>0</v>
      </c>
    </row>
    <row r="547" spans="1:16" s="127" customFormat="1" ht="24.75" customHeight="1" x14ac:dyDescent="0.25">
      <c r="A547" s="531" t="s">
        <v>509</v>
      </c>
      <c r="B547" s="532"/>
      <c r="C547" s="533"/>
      <c r="D547" s="124"/>
      <c r="E547" s="125"/>
      <c r="F547" s="125">
        <f>F210-F541</f>
        <v>279</v>
      </c>
      <c r="G547" s="125">
        <f t="shared" ref="G547" si="165">G210-G541</f>
        <v>1889772</v>
      </c>
      <c r="H547" s="126">
        <f>H210-H541</f>
        <v>0</v>
      </c>
      <c r="I547" s="125">
        <f t="shared" ref="I547:P547" si="166">I210-I541</f>
        <v>17161</v>
      </c>
      <c r="J547" s="125">
        <f t="shared" si="166"/>
        <v>0</v>
      </c>
      <c r="K547" s="126">
        <f t="shared" si="166"/>
        <v>0</v>
      </c>
      <c r="L547" s="126">
        <f t="shared" si="166"/>
        <v>-768</v>
      </c>
      <c r="M547" s="126">
        <f t="shared" si="166"/>
        <v>0</v>
      </c>
      <c r="N547" s="125">
        <f t="shared" si="166"/>
        <v>272554</v>
      </c>
      <c r="O547" s="125">
        <f t="shared" si="166"/>
        <v>0</v>
      </c>
      <c r="P547" s="125">
        <f t="shared" si="166"/>
        <v>279</v>
      </c>
    </row>
    <row r="549" spans="1:16" hidden="1" x14ac:dyDescent="0.25">
      <c r="F549" s="44">
        <f>F210-F541</f>
        <v>279</v>
      </c>
      <c r="M549" s="44">
        <f>M249+M251+M252+M253+M257+M264+M265+M266+M267+M269+M274+M278+M281+M282+M284+M285+M287+M289+M312+M313</f>
        <v>55285</v>
      </c>
    </row>
  </sheetData>
  <mergeCells count="187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47:C547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E238:Q269 H432:H443 I432:Q462 E432:G462 E104:E127 G120:M121 G104:Q119 E467:Q490 E379:Q399 E353:Q374 E323:Q348 E404:Q427 E522:Q541 E219:Q233 E274:Q318 H445:H462 E132:E154 G132:Q154 G122:Q127 G74:Q99 E74:E99 E6:Q10 E207:Q211 E185:Q202 E159:Q180 E47:Q69 E15:Q42 F74:F154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1"/>
  <sheetViews>
    <sheetView topLeftCell="A139" zoomScale="106" zoomScaleNormal="106" workbookViewId="0">
      <selection activeCell="A139" sqref="A1:XFD1048576"/>
    </sheetView>
  </sheetViews>
  <sheetFormatPr defaultRowHeight="12.75" customHeight="1" x14ac:dyDescent="0.25"/>
  <cols>
    <col min="1" max="1" width="5.85546875" style="350" customWidth="1"/>
    <col min="2" max="2" width="6.85546875" style="350" customWidth="1"/>
    <col min="3" max="3" width="52.5703125" style="350" customWidth="1"/>
    <col min="4" max="4" width="10" style="350" customWidth="1"/>
    <col min="5" max="6" width="10.28515625" style="350" customWidth="1"/>
    <col min="7" max="7" width="10" style="350" customWidth="1"/>
    <col min="8" max="8" width="8.5703125" style="350" customWidth="1"/>
    <col min="9" max="9" width="8.7109375" style="350" hidden="1" customWidth="1"/>
    <col min="10" max="11" width="9.140625" style="350"/>
    <col min="12" max="12" width="0" style="350" hidden="1" customWidth="1"/>
    <col min="13" max="13" width="9.140625" style="350"/>
    <col min="14" max="14" width="9" style="523" customWidth="1"/>
    <col min="15" max="16384" width="9.140625" style="350"/>
  </cols>
  <sheetData>
    <row r="1" spans="1:14" ht="12.75" customHeight="1" x14ac:dyDescent="0.25">
      <c r="A1" s="78" t="s">
        <v>513</v>
      </c>
      <c r="B1" s="78"/>
      <c r="C1" s="78"/>
      <c r="D1" s="78"/>
      <c r="E1" s="78"/>
      <c r="F1" s="78"/>
      <c r="G1" s="78"/>
    </row>
    <row r="2" spans="1:14" ht="12.75" customHeight="1" x14ac:dyDescent="0.25">
      <c r="A2" s="116" t="s">
        <v>562</v>
      </c>
      <c r="B2" s="79"/>
      <c r="C2" s="79"/>
      <c r="D2" s="79"/>
      <c r="E2" s="79"/>
      <c r="F2" s="79"/>
      <c r="G2" s="79"/>
    </row>
    <row r="3" spans="1:14" ht="12.75" customHeight="1" x14ac:dyDescent="0.25">
      <c r="A3" s="92" t="s">
        <v>514</v>
      </c>
    </row>
    <row r="4" spans="1:14" ht="12.75" customHeight="1" thickBot="1" x14ac:dyDescent="0.3">
      <c r="A4" s="524"/>
      <c r="M4" s="525" t="s">
        <v>196</v>
      </c>
    </row>
    <row r="5" spans="1:14" ht="12.75" customHeight="1" thickBot="1" x14ac:dyDescent="0.3">
      <c r="A5" s="637" t="s">
        <v>0</v>
      </c>
      <c r="B5" s="572" t="s">
        <v>1</v>
      </c>
      <c r="C5" s="574" t="s">
        <v>2</v>
      </c>
      <c r="D5" s="700" t="s">
        <v>561</v>
      </c>
      <c r="E5" s="700" t="s">
        <v>3</v>
      </c>
      <c r="F5" s="700" t="s">
        <v>547</v>
      </c>
      <c r="G5" s="694" t="s">
        <v>4</v>
      </c>
      <c r="H5" s="694"/>
      <c r="I5" s="694"/>
      <c r="J5" s="694"/>
      <c r="K5" s="694"/>
      <c r="L5" s="694"/>
      <c r="M5" s="694"/>
      <c r="N5" s="695" t="s">
        <v>548</v>
      </c>
    </row>
    <row r="6" spans="1:14" ht="12.75" customHeight="1" thickBot="1" x14ac:dyDescent="0.3">
      <c r="A6" s="638"/>
      <c r="B6" s="573"/>
      <c r="C6" s="576"/>
      <c r="D6" s="701"/>
      <c r="E6" s="701"/>
      <c r="F6" s="701"/>
      <c r="G6" s="697" t="s">
        <v>549</v>
      </c>
      <c r="H6" s="698" t="s">
        <v>6</v>
      </c>
      <c r="I6" s="698"/>
      <c r="J6" s="698"/>
      <c r="K6" s="698"/>
      <c r="L6" s="698" t="s">
        <v>7</v>
      </c>
      <c r="M6" s="699" t="s">
        <v>8</v>
      </c>
      <c r="N6" s="696"/>
    </row>
    <row r="7" spans="1:14" ht="53.25" customHeight="1" x14ac:dyDescent="0.25">
      <c r="A7" s="638"/>
      <c r="B7" s="573"/>
      <c r="C7" s="576"/>
      <c r="D7" s="701"/>
      <c r="E7" s="701"/>
      <c r="F7" s="701"/>
      <c r="G7" s="697"/>
      <c r="H7" s="526" t="s">
        <v>9</v>
      </c>
      <c r="I7" s="526" t="s">
        <v>10</v>
      </c>
      <c r="J7" s="526" t="s">
        <v>550</v>
      </c>
      <c r="K7" s="526" t="s">
        <v>12</v>
      </c>
      <c r="L7" s="698"/>
      <c r="M7" s="699"/>
      <c r="N7" s="696"/>
    </row>
    <row r="8" spans="1:14" ht="12.75" customHeight="1" x14ac:dyDescent="0.25">
      <c r="A8" s="490">
        <v>1</v>
      </c>
      <c r="B8" s="488">
        <v>2</v>
      </c>
      <c r="C8" s="487">
        <v>3</v>
      </c>
      <c r="D8" s="526">
        <v>4</v>
      </c>
      <c r="E8" s="526">
        <v>5</v>
      </c>
      <c r="F8" s="526" t="s">
        <v>551</v>
      </c>
      <c r="G8" s="526">
        <v>7</v>
      </c>
      <c r="H8" s="526">
        <v>8</v>
      </c>
      <c r="I8" s="526">
        <v>7</v>
      </c>
      <c r="J8" s="526">
        <v>9</v>
      </c>
      <c r="K8" s="526">
        <v>10</v>
      </c>
      <c r="L8" s="526">
        <v>10</v>
      </c>
      <c r="M8" s="527">
        <v>11</v>
      </c>
      <c r="N8" s="528" t="s">
        <v>552</v>
      </c>
    </row>
    <row r="9" spans="1:14" ht="12.75" customHeight="1" x14ac:dyDescent="0.25">
      <c r="A9" s="269">
        <v>5001</v>
      </c>
      <c r="B9" s="488"/>
      <c r="C9" s="82" t="s">
        <v>13</v>
      </c>
      <c r="D9" s="100">
        <f>D10+D134</f>
        <v>185</v>
      </c>
      <c r="E9" s="100">
        <f>E10+E134</f>
        <v>1639334</v>
      </c>
      <c r="F9" s="100">
        <f>F10+F134</f>
        <v>1639519</v>
      </c>
      <c r="G9" s="100">
        <f t="shared" ref="G9:G72" si="0">SUM(H9:M9)</f>
        <v>385214</v>
      </c>
      <c r="H9" s="100">
        <f t="shared" ref="H9:M9" si="1">H10+H134</f>
        <v>51</v>
      </c>
      <c r="I9" s="100">
        <f t="shared" si="1"/>
        <v>0</v>
      </c>
      <c r="J9" s="100">
        <f t="shared" si="1"/>
        <v>0</v>
      </c>
      <c r="K9" s="100">
        <f t="shared" si="1"/>
        <v>381946</v>
      </c>
      <c r="L9" s="100">
        <f t="shared" si="1"/>
        <v>0</v>
      </c>
      <c r="M9" s="101">
        <f t="shared" si="1"/>
        <v>3217</v>
      </c>
      <c r="N9" s="137">
        <f>G9/F9</f>
        <v>0.23495549609367136</v>
      </c>
    </row>
    <row r="10" spans="1:14" ht="12.75" customHeight="1" x14ac:dyDescent="0.25">
      <c r="A10" s="269">
        <v>5002</v>
      </c>
      <c r="B10" s="488">
        <v>700000</v>
      </c>
      <c r="C10" s="82" t="s">
        <v>532</v>
      </c>
      <c r="D10" s="100">
        <f>D11+D63+D77+D89+D118+D123+D127</f>
        <v>185</v>
      </c>
      <c r="E10" s="100">
        <f>E11+E63+E77+E89+E118+E123+E127</f>
        <v>1639134</v>
      </c>
      <c r="F10" s="100">
        <f>F11+F63+F77+F89+F118+F123+F127</f>
        <v>1639319</v>
      </c>
      <c r="G10" s="100">
        <f t="shared" si="0"/>
        <v>385214</v>
      </c>
      <c r="H10" s="100">
        <f t="shared" ref="H10:M10" si="2">H11+H63+H77+H89+H118+H123+H127</f>
        <v>51</v>
      </c>
      <c r="I10" s="100">
        <f t="shared" si="2"/>
        <v>0</v>
      </c>
      <c r="J10" s="100">
        <f t="shared" si="2"/>
        <v>0</v>
      </c>
      <c r="K10" s="100">
        <f t="shared" si="2"/>
        <v>381946</v>
      </c>
      <c r="L10" s="100">
        <f t="shared" si="2"/>
        <v>0</v>
      </c>
      <c r="M10" s="101">
        <f t="shared" si="2"/>
        <v>3217</v>
      </c>
      <c r="N10" s="137">
        <f t="shared" ref="N10:N73" si="3">G10/F10</f>
        <v>0.23498416110592263</v>
      </c>
    </row>
    <row r="11" spans="1:14" ht="16.5" hidden="1" customHeight="1" x14ac:dyDescent="0.25">
      <c r="A11" s="490">
        <v>5003</v>
      </c>
      <c r="B11" s="488">
        <v>710000</v>
      </c>
      <c r="C11" s="82" t="s">
        <v>15</v>
      </c>
      <c r="D11" s="82">
        <f>D12+D20+D22+D29+D35+D42+D45+D56</f>
        <v>0</v>
      </c>
      <c r="E11" s="102">
        <f>E12+E20+E22+E29+E35+E42+E45+E56</f>
        <v>0</v>
      </c>
      <c r="F11" s="102">
        <f>F12+F20+F22+F29+F35+F42+F45+F56</f>
        <v>0</v>
      </c>
      <c r="G11" s="102">
        <f t="shared" si="0"/>
        <v>0</v>
      </c>
      <c r="H11" s="102">
        <f t="shared" ref="H11:M11" si="4">H12+H20+H22+H29+H35+H42+H45+H56</f>
        <v>0</v>
      </c>
      <c r="I11" s="102">
        <f t="shared" si="4"/>
        <v>0</v>
      </c>
      <c r="J11" s="102">
        <f t="shared" si="4"/>
        <v>0</v>
      </c>
      <c r="K11" s="102">
        <f t="shared" si="4"/>
        <v>0</v>
      </c>
      <c r="L11" s="102">
        <f t="shared" si="4"/>
        <v>0</v>
      </c>
      <c r="M11" s="103">
        <f t="shared" si="4"/>
        <v>0</v>
      </c>
      <c r="N11" s="137" t="e">
        <f t="shared" si="3"/>
        <v>#DIV/0!</v>
      </c>
    </row>
    <row r="12" spans="1:14" ht="16.5" hidden="1" customHeight="1" x14ac:dyDescent="0.25">
      <c r="A12" s="490">
        <v>5004</v>
      </c>
      <c r="B12" s="488">
        <v>711000</v>
      </c>
      <c r="C12" s="82" t="s">
        <v>16</v>
      </c>
      <c r="D12" s="82">
        <f>SUM(D13:D19)</f>
        <v>0</v>
      </c>
      <c r="E12" s="102">
        <f>SUM(E13:E19)</f>
        <v>0</v>
      </c>
      <c r="F12" s="102">
        <f>SUM(F13:F19)</f>
        <v>0</v>
      </c>
      <c r="G12" s="102">
        <f t="shared" si="0"/>
        <v>0</v>
      </c>
      <c r="H12" s="102">
        <f t="shared" ref="H12:M12" si="5">SUM(H13:H19)</f>
        <v>0</v>
      </c>
      <c r="I12" s="102">
        <f t="shared" si="5"/>
        <v>0</v>
      </c>
      <c r="J12" s="102">
        <f t="shared" si="5"/>
        <v>0</v>
      </c>
      <c r="K12" s="102">
        <f t="shared" si="5"/>
        <v>0</v>
      </c>
      <c r="L12" s="102">
        <f t="shared" si="5"/>
        <v>0</v>
      </c>
      <c r="M12" s="103">
        <f t="shared" si="5"/>
        <v>0</v>
      </c>
      <c r="N12" s="137" t="e">
        <f t="shared" si="3"/>
        <v>#DIV/0!</v>
      </c>
    </row>
    <row r="13" spans="1:14" ht="16.5" hidden="1" customHeight="1" x14ac:dyDescent="0.25">
      <c r="A13" s="266">
        <v>5005</v>
      </c>
      <c r="B13" s="83">
        <v>711100</v>
      </c>
      <c r="C13" s="84" t="s">
        <v>17</v>
      </c>
      <c r="D13" s="247"/>
      <c r="E13" s="104"/>
      <c r="F13" s="104"/>
      <c r="G13" s="104">
        <f t="shared" si="0"/>
        <v>0</v>
      </c>
      <c r="H13" s="104"/>
      <c r="I13" s="104"/>
      <c r="J13" s="104"/>
      <c r="K13" s="104"/>
      <c r="L13" s="104"/>
      <c r="M13" s="105"/>
      <c r="N13" s="137" t="e">
        <f t="shared" si="3"/>
        <v>#DIV/0!</v>
      </c>
    </row>
    <row r="14" spans="1:14" ht="16.5" hidden="1" customHeight="1" x14ac:dyDescent="0.25">
      <c r="A14" s="645" t="s">
        <v>0</v>
      </c>
      <c r="B14" s="646" t="s">
        <v>1</v>
      </c>
      <c r="C14" s="585" t="s">
        <v>2</v>
      </c>
      <c r="D14" s="486" t="s">
        <v>3</v>
      </c>
      <c r="E14" s="575" t="s">
        <v>3</v>
      </c>
      <c r="F14" s="487" t="s">
        <v>3</v>
      </c>
      <c r="G14" s="575" t="s">
        <v>4</v>
      </c>
      <c r="H14" s="575"/>
      <c r="I14" s="575"/>
      <c r="J14" s="575"/>
      <c r="K14" s="575"/>
      <c r="L14" s="575"/>
      <c r="M14" s="582"/>
      <c r="N14" s="137" t="e">
        <f t="shared" si="3"/>
        <v>#VALUE!</v>
      </c>
    </row>
    <row r="15" spans="1:14" ht="16.5" hidden="1" customHeight="1" x14ac:dyDescent="0.25">
      <c r="A15" s="645"/>
      <c r="B15" s="646"/>
      <c r="C15" s="585"/>
      <c r="D15" s="486"/>
      <c r="E15" s="575"/>
      <c r="F15" s="487"/>
      <c r="G15" s="581" t="s">
        <v>5</v>
      </c>
      <c r="H15" s="575" t="s">
        <v>6</v>
      </c>
      <c r="I15" s="575"/>
      <c r="J15" s="575"/>
      <c r="K15" s="575"/>
      <c r="L15" s="575" t="s">
        <v>7</v>
      </c>
      <c r="M15" s="582" t="s">
        <v>8</v>
      </c>
      <c r="N15" s="137" t="e">
        <f t="shared" si="3"/>
        <v>#VALUE!</v>
      </c>
    </row>
    <row r="16" spans="1:14" ht="16.5" hidden="1" customHeight="1" x14ac:dyDescent="0.25">
      <c r="A16" s="645"/>
      <c r="B16" s="646"/>
      <c r="C16" s="585"/>
      <c r="D16" s="486"/>
      <c r="E16" s="575"/>
      <c r="F16" s="487"/>
      <c r="G16" s="581"/>
      <c r="H16" s="487" t="s">
        <v>9</v>
      </c>
      <c r="I16" s="487" t="s">
        <v>10</v>
      </c>
      <c r="J16" s="487" t="s">
        <v>11</v>
      </c>
      <c r="K16" s="487" t="s">
        <v>12</v>
      </c>
      <c r="L16" s="575"/>
      <c r="M16" s="582"/>
      <c r="N16" s="137" t="e">
        <f t="shared" si="3"/>
        <v>#DIV/0!</v>
      </c>
    </row>
    <row r="17" spans="1:14" ht="16.5" hidden="1" customHeight="1" x14ac:dyDescent="0.25">
      <c r="A17" s="270" t="s">
        <v>18</v>
      </c>
      <c r="B17" s="491" t="s">
        <v>19</v>
      </c>
      <c r="C17" s="485" t="s">
        <v>20</v>
      </c>
      <c r="D17" s="485" t="s">
        <v>21</v>
      </c>
      <c r="E17" s="86" t="s">
        <v>21</v>
      </c>
      <c r="F17" s="86" t="s">
        <v>21</v>
      </c>
      <c r="G17" s="86" t="s">
        <v>22</v>
      </c>
      <c r="H17" s="86" t="s">
        <v>23</v>
      </c>
      <c r="I17" s="86" t="s">
        <v>24</v>
      </c>
      <c r="J17" s="86" t="s">
        <v>25</v>
      </c>
      <c r="K17" s="86" t="s">
        <v>26</v>
      </c>
      <c r="L17" s="86" t="s">
        <v>27</v>
      </c>
      <c r="M17" s="98" t="s">
        <v>28</v>
      </c>
      <c r="N17" s="137">
        <f t="shared" si="3"/>
        <v>1.25</v>
      </c>
    </row>
    <row r="18" spans="1:14" ht="16.5" hidden="1" customHeight="1" x14ac:dyDescent="0.25">
      <c r="A18" s="266">
        <v>5006</v>
      </c>
      <c r="B18" s="83">
        <v>711200</v>
      </c>
      <c r="C18" s="84" t="s">
        <v>29</v>
      </c>
      <c r="D18" s="84"/>
      <c r="E18" s="106"/>
      <c r="F18" s="106"/>
      <c r="G18" s="106">
        <f t="shared" si="0"/>
        <v>0</v>
      </c>
      <c r="H18" s="106"/>
      <c r="I18" s="106"/>
      <c r="J18" s="106"/>
      <c r="K18" s="106"/>
      <c r="L18" s="106"/>
      <c r="M18" s="107"/>
      <c r="N18" s="137" t="e">
        <f t="shared" si="3"/>
        <v>#DIV/0!</v>
      </c>
    </row>
    <row r="19" spans="1:14" ht="16.5" hidden="1" customHeight="1" x14ac:dyDescent="0.25">
      <c r="A19" s="266">
        <v>5007</v>
      </c>
      <c r="B19" s="83">
        <v>711300</v>
      </c>
      <c r="C19" s="84" t="s">
        <v>30</v>
      </c>
      <c r="D19" s="84"/>
      <c r="E19" s="106"/>
      <c r="F19" s="106"/>
      <c r="G19" s="106">
        <f t="shared" si="0"/>
        <v>0</v>
      </c>
      <c r="H19" s="106"/>
      <c r="I19" s="106"/>
      <c r="J19" s="106"/>
      <c r="K19" s="106"/>
      <c r="L19" s="106"/>
      <c r="M19" s="107"/>
      <c r="N19" s="137" t="e">
        <f t="shared" si="3"/>
        <v>#DIV/0!</v>
      </c>
    </row>
    <row r="20" spans="1:14" ht="16.5" hidden="1" customHeight="1" x14ac:dyDescent="0.25">
      <c r="A20" s="490">
        <v>5008</v>
      </c>
      <c r="B20" s="488">
        <v>712000</v>
      </c>
      <c r="C20" s="82" t="s">
        <v>31</v>
      </c>
      <c r="D20" s="82">
        <f>D21</f>
        <v>0</v>
      </c>
      <c r="E20" s="102">
        <f>E21</f>
        <v>0</v>
      </c>
      <c r="F20" s="102">
        <f>F21</f>
        <v>0</v>
      </c>
      <c r="G20" s="102">
        <f t="shared" si="0"/>
        <v>0</v>
      </c>
      <c r="H20" s="102">
        <f t="shared" ref="H20:M20" si="6">H21</f>
        <v>0</v>
      </c>
      <c r="I20" s="102">
        <f t="shared" si="6"/>
        <v>0</v>
      </c>
      <c r="J20" s="102">
        <f t="shared" si="6"/>
        <v>0</v>
      </c>
      <c r="K20" s="102">
        <f t="shared" si="6"/>
        <v>0</v>
      </c>
      <c r="L20" s="102">
        <f t="shared" si="6"/>
        <v>0</v>
      </c>
      <c r="M20" s="103">
        <f t="shared" si="6"/>
        <v>0</v>
      </c>
      <c r="N20" s="137" t="e">
        <f t="shared" si="3"/>
        <v>#DIV/0!</v>
      </c>
    </row>
    <row r="21" spans="1:14" ht="16.5" hidden="1" customHeight="1" x14ac:dyDescent="0.25">
      <c r="A21" s="266">
        <v>5009</v>
      </c>
      <c r="B21" s="83">
        <v>712100</v>
      </c>
      <c r="C21" s="84" t="s">
        <v>32</v>
      </c>
      <c r="D21" s="84"/>
      <c r="E21" s="106"/>
      <c r="F21" s="106"/>
      <c r="G21" s="106">
        <f t="shared" si="0"/>
        <v>0</v>
      </c>
      <c r="H21" s="106"/>
      <c r="I21" s="106"/>
      <c r="J21" s="106"/>
      <c r="K21" s="106"/>
      <c r="L21" s="106"/>
      <c r="M21" s="107"/>
      <c r="N21" s="137" t="e">
        <f t="shared" si="3"/>
        <v>#DIV/0!</v>
      </c>
    </row>
    <row r="22" spans="1:14" ht="16.5" hidden="1" customHeight="1" x14ac:dyDescent="0.25">
      <c r="A22" s="490">
        <v>5010</v>
      </c>
      <c r="B22" s="488">
        <v>713000</v>
      </c>
      <c r="C22" s="82" t="s">
        <v>33</v>
      </c>
      <c r="D22" s="82">
        <f>SUM(D23:D28)</f>
        <v>0</v>
      </c>
      <c r="E22" s="102">
        <f>SUM(E23:E28)</f>
        <v>0</v>
      </c>
      <c r="F22" s="102">
        <f>SUM(F23:F28)</f>
        <v>0</v>
      </c>
      <c r="G22" s="102">
        <f t="shared" si="0"/>
        <v>0</v>
      </c>
      <c r="H22" s="102">
        <f t="shared" ref="H22:M22" si="7">SUM(H23:H28)</f>
        <v>0</v>
      </c>
      <c r="I22" s="102">
        <f t="shared" si="7"/>
        <v>0</v>
      </c>
      <c r="J22" s="102">
        <f t="shared" si="7"/>
        <v>0</v>
      </c>
      <c r="K22" s="102">
        <f t="shared" si="7"/>
        <v>0</v>
      </c>
      <c r="L22" s="102">
        <f t="shared" si="7"/>
        <v>0</v>
      </c>
      <c r="M22" s="103">
        <f t="shared" si="7"/>
        <v>0</v>
      </c>
      <c r="N22" s="137" t="e">
        <f t="shared" si="3"/>
        <v>#DIV/0!</v>
      </c>
    </row>
    <row r="23" spans="1:14" ht="16.5" hidden="1" customHeight="1" x14ac:dyDescent="0.25">
      <c r="A23" s="266">
        <v>5011</v>
      </c>
      <c r="B23" s="83">
        <v>713100</v>
      </c>
      <c r="C23" s="84" t="s">
        <v>34</v>
      </c>
      <c r="D23" s="84"/>
      <c r="E23" s="106"/>
      <c r="F23" s="106"/>
      <c r="G23" s="106">
        <f t="shared" si="0"/>
        <v>0</v>
      </c>
      <c r="H23" s="106"/>
      <c r="I23" s="106"/>
      <c r="J23" s="106"/>
      <c r="K23" s="106"/>
      <c r="L23" s="106"/>
      <c r="M23" s="107"/>
      <c r="N23" s="137" t="e">
        <f t="shared" si="3"/>
        <v>#DIV/0!</v>
      </c>
    </row>
    <row r="24" spans="1:14" ht="16.5" hidden="1" customHeight="1" x14ac:dyDescent="0.25">
      <c r="A24" s="266">
        <v>5012</v>
      </c>
      <c r="B24" s="83">
        <v>713200</v>
      </c>
      <c r="C24" s="84" t="s">
        <v>35</v>
      </c>
      <c r="D24" s="84"/>
      <c r="E24" s="106"/>
      <c r="F24" s="106"/>
      <c r="G24" s="106">
        <f t="shared" si="0"/>
        <v>0</v>
      </c>
      <c r="H24" s="106"/>
      <c r="I24" s="106"/>
      <c r="J24" s="106"/>
      <c r="K24" s="106"/>
      <c r="L24" s="106"/>
      <c r="M24" s="107"/>
      <c r="N24" s="137" t="e">
        <f t="shared" si="3"/>
        <v>#DIV/0!</v>
      </c>
    </row>
    <row r="25" spans="1:14" ht="16.5" hidden="1" customHeight="1" x14ac:dyDescent="0.25">
      <c r="A25" s="266">
        <v>5013</v>
      </c>
      <c r="B25" s="83">
        <v>713300</v>
      </c>
      <c r="C25" s="84" t="s">
        <v>36</v>
      </c>
      <c r="D25" s="84"/>
      <c r="E25" s="106"/>
      <c r="F25" s="106"/>
      <c r="G25" s="106">
        <f t="shared" si="0"/>
        <v>0</v>
      </c>
      <c r="H25" s="106"/>
      <c r="I25" s="106"/>
      <c r="J25" s="106"/>
      <c r="K25" s="106"/>
      <c r="L25" s="106"/>
      <c r="M25" s="107"/>
      <c r="N25" s="137" t="e">
        <f t="shared" si="3"/>
        <v>#DIV/0!</v>
      </c>
    </row>
    <row r="26" spans="1:14" ht="16.5" hidden="1" customHeight="1" x14ac:dyDescent="0.25">
      <c r="A26" s="266">
        <v>5014</v>
      </c>
      <c r="B26" s="83">
        <v>713400</v>
      </c>
      <c r="C26" s="84" t="s">
        <v>37</v>
      </c>
      <c r="D26" s="84"/>
      <c r="E26" s="106"/>
      <c r="F26" s="106"/>
      <c r="G26" s="106">
        <f t="shared" si="0"/>
        <v>0</v>
      </c>
      <c r="H26" s="106"/>
      <c r="I26" s="106"/>
      <c r="J26" s="106"/>
      <c r="K26" s="106"/>
      <c r="L26" s="106"/>
      <c r="M26" s="107"/>
      <c r="N26" s="137" t="e">
        <f t="shared" si="3"/>
        <v>#DIV/0!</v>
      </c>
    </row>
    <row r="27" spans="1:14" ht="16.5" hidden="1" customHeight="1" x14ac:dyDescent="0.25">
      <c r="A27" s="266">
        <v>5015</v>
      </c>
      <c r="B27" s="83">
        <v>713500</v>
      </c>
      <c r="C27" s="84" t="s">
        <v>38</v>
      </c>
      <c r="D27" s="84"/>
      <c r="E27" s="106"/>
      <c r="F27" s="106"/>
      <c r="G27" s="106">
        <f t="shared" si="0"/>
        <v>0</v>
      </c>
      <c r="H27" s="106"/>
      <c r="I27" s="106"/>
      <c r="J27" s="106"/>
      <c r="K27" s="106"/>
      <c r="L27" s="106"/>
      <c r="M27" s="107"/>
      <c r="N27" s="137" t="e">
        <f t="shared" si="3"/>
        <v>#DIV/0!</v>
      </c>
    </row>
    <row r="28" spans="1:14" ht="16.5" hidden="1" customHeight="1" x14ac:dyDescent="0.25">
      <c r="A28" s="266">
        <v>5016</v>
      </c>
      <c r="B28" s="83">
        <v>713600</v>
      </c>
      <c r="C28" s="84" t="s">
        <v>39</v>
      </c>
      <c r="D28" s="84"/>
      <c r="E28" s="102"/>
      <c r="F28" s="102"/>
      <c r="G28" s="106">
        <f t="shared" si="0"/>
        <v>0</v>
      </c>
      <c r="H28" s="102"/>
      <c r="I28" s="102"/>
      <c r="J28" s="102"/>
      <c r="K28" s="102"/>
      <c r="L28" s="102"/>
      <c r="M28" s="103"/>
      <c r="N28" s="137" t="e">
        <f t="shared" si="3"/>
        <v>#DIV/0!</v>
      </c>
    </row>
    <row r="29" spans="1:14" ht="16.5" hidden="1" customHeight="1" x14ac:dyDescent="0.25">
      <c r="A29" s="490">
        <v>5017</v>
      </c>
      <c r="B29" s="488">
        <v>714000</v>
      </c>
      <c r="C29" s="82" t="s">
        <v>40</v>
      </c>
      <c r="D29" s="82">
        <f>SUM(D30:D34)</f>
        <v>0</v>
      </c>
      <c r="E29" s="102">
        <f>SUM(E30:E34)</f>
        <v>0</v>
      </c>
      <c r="F29" s="102">
        <f>SUM(F30:F34)</f>
        <v>0</v>
      </c>
      <c r="G29" s="102">
        <f t="shared" si="0"/>
        <v>0</v>
      </c>
      <c r="H29" s="102">
        <f t="shared" ref="H29:M29" si="8">SUM(H30:H34)</f>
        <v>0</v>
      </c>
      <c r="I29" s="102">
        <f t="shared" si="8"/>
        <v>0</v>
      </c>
      <c r="J29" s="102">
        <f t="shared" si="8"/>
        <v>0</v>
      </c>
      <c r="K29" s="102">
        <f t="shared" si="8"/>
        <v>0</v>
      </c>
      <c r="L29" s="102">
        <f t="shared" si="8"/>
        <v>0</v>
      </c>
      <c r="M29" s="103">
        <f t="shared" si="8"/>
        <v>0</v>
      </c>
      <c r="N29" s="137" t="e">
        <f t="shared" si="3"/>
        <v>#DIV/0!</v>
      </c>
    </row>
    <row r="30" spans="1:14" ht="16.5" hidden="1" customHeight="1" x14ac:dyDescent="0.25">
      <c r="A30" s="266">
        <v>5018</v>
      </c>
      <c r="B30" s="83">
        <v>714100</v>
      </c>
      <c r="C30" s="84" t="s">
        <v>41</v>
      </c>
      <c r="D30" s="84"/>
      <c r="E30" s="106"/>
      <c r="F30" s="106"/>
      <c r="G30" s="106">
        <f t="shared" si="0"/>
        <v>0</v>
      </c>
      <c r="H30" s="106"/>
      <c r="I30" s="106"/>
      <c r="J30" s="106"/>
      <c r="K30" s="106"/>
      <c r="L30" s="106"/>
      <c r="M30" s="107"/>
      <c r="N30" s="137" t="e">
        <f t="shared" si="3"/>
        <v>#DIV/0!</v>
      </c>
    </row>
    <row r="31" spans="1:14" ht="16.5" hidden="1" customHeight="1" x14ac:dyDescent="0.25">
      <c r="A31" s="266">
        <v>5019</v>
      </c>
      <c r="B31" s="83">
        <v>714300</v>
      </c>
      <c r="C31" s="84" t="s">
        <v>42</v>
      </c>
      <c r="D31" s="84"/>
      <c r="E31" s="106"/>
      <c r="F31" s="106"/>
      <c r="G31" s="106">
        <f t="shared" si="0"/>
        <v>0</v>
      </c>
      <c r="H31" s="106"/>
      <c r="I31" s="106"/>
      <c r="J31" s="106"/>
      <c r="K31" s="106"/>
      <c r="L31" s="106"/>
      <c r="M31" s="107"/>
      <c r="N31" s="137" t="e">
        <f t="shared" si="3"/>
        <v>#DIV/0!</v>
      </c>
    </row>
    <row r="32" spans="1:14" ht="16.5" hidden="1" customHeight="1" x14ac:dyDescent="0.25">
      <c r="A32" s="266">
        <v>5020</v>
      </c>
      <c r="B32" s="83">
        <v>714400</v>
      </c>
      <c r="C32" s="84" t="s">
        <v>43</v>
      </c>
      <c r="D32" s="84"/>
      <c r="E32" s="106"/>
      <c r="F32" s="106"/>
      <c r="G32" s="106">
        <f t="shared" si="0"/>
        <v>0</v>
      </c>
      <c r="H32" s="106"/>
      <c r="I32" s="106"/>
      <c r="J32" s="106"/>
      <c r="K32" s="106"/>
      <c r="L32" s="106"/>
      <c r="M32" s="107"/>
      <c r="N32" s="137" t="e">
        <f t="shared" si="3"/>
        <v>#DIV/0!</v>
      </c>
    </row>
    <row r="33" spans="1:14" ht="16.5" hidden="1" customHeight="1" x14ac:dyDescent="0.25">
      <c r="A33" s="266">
        <v>5021</v>
      </c>
      <c r="B33" s="83">
        <v>714500</v>
      </c>
      <c r="C33" s="84" t="s">
        <v>44</v>
      </c>
      <c r="D33" s="84"/>
      <c r="E33" s="106"/>
      <c r="F33" s="106"/>
      <c r="G33" s="106">
        <f t="shared" si="0"/>
        <v>0</v>
      </c>
      <c r="H33" s="106"/>
      <c r="I33" s="106"/>
      <c r="J33" s="106"/>
      <c r="K33" s="106"/>
      <c r="L33" s="106"/>
      <c r="M33" s="107"/>
      <c r="N33" s="137" t="e">
        <f t="shared" si="3"/>
        <v>#DIV/0!</v>
      </c>
    </row>
    <row r="34" spans="1:14" ht="16.5" hidden="1" customHeight="1" x14ac:dyDescent="0.25">
      <c r="A34" s="266">
        <v>5022</v>
      </c>
      <c r="B34" s="83">
        <v>714600</v>
      </c>
      <c r="C34" s="84" t="s">
        <v>45</v>
      </c>
      <c r="D34" s="84"/>
      <c r="E34" s="106"/>
      <c r="F34" s="106"/>
      <c r="G34" s="106">
        <f t="shared" si="0"/>
        <v>0</v>
      </c>
      <c r="H34" s="106"/>
      <c r="I34" s="106"/>
      <c r="J34" s="106"/>
      <c r="K34" s="106"/>
      <c r="L34" s="106"/>
      <c r="M34" s="107"/>
      <c r="N34" s="137" t="e">
        <f t="shared" si="3"/>
        <v>#DIV/0!</v>
      </c>
    </row>
    <row r="35" spans="1:14" ht="16.5" hidden="1" customHeight="1" x14ac:dyDescent="0.25">
      <c r="A35" s="490">
        <v>5023</v>
      </c>
      <c r="B35" s="488">
        <v>715000</v>
      </c>
      <c r="C35" s="82" t="s">
        <v>46</v>
      </c>
      <c r="D35" s="82">
        <f>SUM(D36:D41)</f>
        <v>0</v>
      </c>
      <c r="E35" s="102">
        <f>SUM(E36:E41)</f>
        <v>0</v>
      </c>
      <c r="F35" s="102">
        <f>SUM(F36:F41)</f>
        <v>0</v>
      </c>
      <c r="G35" s="102">
        <f t="shared" si="0"/>
        <v>0</v>
      </c>
      <c r="H35" s="102">
        <f t="shared" ref="H35:M35" si="9">SUM(H36:H41)</f>
        <v>0</v>
      </c>
      <c r="I35" s="102">
        <f t="shared" si="9"/>
        <v>0</v>
      </c>
      <c r="J35" s="102">
        <f t="shared" si="9"/>
        <v>0</v>
      </c>
      <c r="K35" s="102">
        <f t="shared" si="9"/>
        <v>0</v>
      </c>
      <c r="L35" s="102">
        <f t="shared" si="9"/>
        <v>0</v>
      </c>
      <c r="M35" s="103">
        <f t="shared" si="9"/>
        <v>0</v>
      </c>
      <c r="N35" s="137" t="e">
        <f t="shared" si="3"/>
        <v>#DIV/0!</v>
      </c>
    </row>
    <row r="36" spans="1:14" ht="16.5" hidden="1" customHeight="1" x14ac:dyDescent="0.25">
      <c r="A36" s="266">
        <v>5024</v>
      </c>
      <c r="B36" s="83">
        <v>715100</v>
      </c>
      <c r="C36" s="84" t="s">
        <v>47</v>
      </c>
      <c r="D36" s="84"/>
      <c r="E36" s="106"/>
      <c r="F36" s="106"/>
      <c r="G36" s="106">
        <f t="shared" si="0"/>
        <v>0</v>
      </c>
      <c r="H36" s="106"/>
      <c r="I36" s="106"/>
      <c r="J36" s="106"/>
      <c r="K36" s="106"/>
      <c r="L36" s="106"/>
      <c r="M36" s="107"/>
      <c r="N36" s="137" t="e">
        <f t="shared" si="3"/>
        <v>#DIV/0!</v>
      </c>
    </row>
    <row r="37" spans="1:14" ht="16.5" hidden="1" customHeight="1" x14ac:dyDescent="0.25">
      <c r="A37" s="266">
        <v>5025</v>
      </c>
      <c r="B37" s="83">
        <v>715200</v>
      </c>
      <c r="C37" s="84" t="s">
        <v>48</v>
      </c>
      <c r="D37" s="84"/>
      <c r="E37" s="106"/>
      <c r="F37" s="106"/>
      <c r="G37" s="106">
        <f t="shared" si="0"/>
        <v>0</v>
      </c>
      <c r="H37" s="106"/>
      <c r="I37" s="106"/>
      <c r="J37" s="106"/>
      <c r="K37" s="106"/>
      <c r="L37" s="106"/>
      <c r="M37" s="107"/>
      <c r="N37" s="137" t="e">
        <f t="shared" si="3"/>
        <v>#DIV/0!</v>
      </c>
    </row>
    <row r="38" spans="1:14" ht="16.5" hidden="1" customHeight="1" x14ac:dyDescent="0.25">
      <c r="A38" s="266">
        <v>5026</v>
      </c>
      <c r="B38" s="83">
        <v>715300</v>
      </c>
      <c r="C38" s="84" t="s">
        <v>49</v>
      </c>
      <c r="D38" s="84"/>
      <c r="E38" s="106"/>
      <c r="F38" s="106"/>
      <c r="G38" s="106">
        <f t="shared" si="0"/>
        <v>0</v>
      </c>
      <c r="H38" s="106"/>
      <c r="I38" s="106"/>
      <c r="J38" s="106"/>
      <c r="K38" s="106"/>
      <c r="L38" s="106"/>
      <c r="M38" s="107"/>
      <c r="N38" s="137" t="e">
        <f t="shared" si="3"/>
        <v>#DIV/0!</v>
      </c>
    </row>
    <row r="39" spans="1:14" ht="16.5" hidden="1" customHeight="1" x14ac:dyDescent="0.25">
      <c r="A39" s="266">
        <v>5027</v>
      </c>
      <c r="B39" s="83">
        <v>715400</v>
      </c>
      <c r="C39" s="84" t="s">
        <v>50</v>
      </c>
      <c r="D39" s="84"/>
      <c r="E39" s="106"/>
      <c r="F39" s="106"/>
      <c r="G39" s="106">
        <f t="shared" si="0"/>
        <v>0</v>
      </c>
      <c r="H39" s="106"/>
      <c r="I39" s="106"/>
      <c r="J39" s="106"/>
      <c r="K39" s="106"/>
      <c r="L39" s="106"/>
      <c r="M39" s="107"/>
      <c r="N39" s="137" t="e">
        <f t="shared" si="3"/>
        <v>#DIV/0!</v>
      </c>
    </row>
    <row r="40" spans="1:14" ht="16.5" hidden="1" customHeight="1" x14ac:dyDescent="0.25">
      <c r="A40" s="266">
        <v>5028</v>
      </c>
      <c r="B40" s="83">
        <v>715500</v>
      </c>
      <c r="C40" s="84" t="s">
        <v>51</v>
      </c>
      <c r="D40" s="84"/>
      <c r="E40" s="106"/>
      <c r="F40" s="106"/>
      <c r="G40" s="106">
        <f t="shared" si="0"/>
        <v>0</v>
      </c>
      <c r="H40" s="106"/>
      <c r="I40" s="106"/>
      <c r="J40" s="106"/>
      <c r="K40" s="106"/>
      <c r="L40" s="106"/>
      <c r="M40" s="107"/>
      <c r="N40" s="137" t="e">
        <f t="shared" si="3"/>
        <v>#DIV/0!</v>
      </c>
    </row>
    <row r="41" spans="1:14" ht="16.5" hidden="1" customHeight="1" x14ac:dyDescent="0.25">
      <c r="A41" s="266">
        <v>5029</v>
      </c>
      <c r="B41" s="83">
        <v>715600</v>
      </c>
      <c r="C41" s="84" t="s">
        <v>52</v>
      </c>
      <c r="D41" s="84"/>
      <c r="E41" s="106"/>
      <c r="F41" s="106"/>
      <c r="G41" s="106">
        <f t="shared" si="0"/>
        <v>0</v>
      </c>
      <c r="H41" s="106"/>
      <c r="I41" s="106"/>
      <c r="J41" s="106"/>
      <c r="K41" s="106"/>
      <c r="L41" s="106"/>
      <c r="M41" s="107"/>
      <c r="N41" s="137" t="e">
        <f t="shared" si="3"/>
        <v>#DIV/0!</v>
      </c>
    </row>
    <row r="42" spans="1:14" ht="16.5" hidden="1" customHeight="1" x14ac:dyDescent="0.25">
      <c r="A42" s="490">
        <v>5030</v>
      </c>
      <c r="B42" s="488">
        <v>716000</v>
      </c>
      <c r="C42" s="82" t="s">
        <v>53</v>
      </c>
      <c r="D42" s="82">
        <f>D43+D44</f>
        <v>0</v>
      </c>
      <c r="E42" s="102">
        <f>E43+E44</f>
        <v>0</v>
      </c>
      <c r="F42" s="102">
        <f>F43+F44</f>
        <v>0</v>
      </c>
      <c r="G42" s="102">
        <f t="shared" si="0"/>
        <v>0</v>
      </c>
      <c r="H42" s="102">
        <f t="shared" ref="H42:M42" si="10">H43+H44</f>
        <v>0</v>
      </c>
      <c r="I42" s="102">
        <f t="shared" si="10"/>
        <v>0</v>
      </c>
      <c r="J42" s="102">
        <f t="shared" si="10"/>
        <v>0</v>
      </c>
      <c r="K42" s="102">
        <f t="shared" si="10"/>
        <v>0</v>
      </c>
      <c r="L42" s="102">
        <f t="shared" si="10"/>
        <v>0</v>
      </c>
      <c r="M42" s="103">
        <f t="shared" si="10"/>
        <v>0</v>
      </c>
      <c r="N42" s="137" t="e">
        <f t="shared" si="3"/>
        <v>#DIV/0!</v>
      </c>
    </row>
    <row r="43" spans="1:14" ht="16.5" hidden="1" customHeight="1" x14ac:dyDescent="0.25">
      <c r="A43" s="266">
        <v>5031</v>
      </c>
      <c r="B43" s="83">
        <v>716100</v>
      </c>
      <c r="C43" s="84" t="s">
        <v>54</v>
      </c>
      <c r="D43" s="84"/>
      <c r="E43" s="106"/>
      <c r="F43" s="106"/>
      <c r="G43" s="106">
        <f t="shared" si="0"/>
        <v>0</v>
      </c>
      <c r="H43" s="106"/>
      <c r="I43" s="106"/>
      <c r="J43" s="106"/>
      <c r="K43" s="106"/>
      <c r="L43" s="106"/>
      <c r="M43" s="107"/>
      <c r="N43" s="137" t="e">
        <f t="shared" si="3"/>
        <v>#DIV/0!</v>
      </c>
    </row>
    <row r="44" spans="1:14" ht="16.5" hidden="1" customHeight="1" x14ac:dyDescent="0.25">
      <c r="A44" s="266">
        <v>5032</v>
      </c>
      <c r="B44" s="83">
        <v>716200</v>
      </c>
      <c r="C44" s="84" t="s">
        <v>55</v>
      </c>
      <c r="D44" s="84"/>
      <c r="E44" s="106"/>
      <c r="F44" s="106"/>
      <c r="G44" s="106">
        <f t="shared" si="0"/>
        <v>0</v>
      </c>
      <c r="H44" s="106"/>
      <c r="I44" s="106"/>
      <c r="J44" s="106"/>
      <c r="K44" s="106"/>
      <c r="L44" s="106"/>
      <c r="M44" s="107"/>
      <c r="N44" s="137" t="e">
        <f t="shared" si="3"/>
        <v>#DIV/0!</v>
      </c>
    </row>
    <row r="45" spans="1:14" ht="16.5" hidden="1" customHeight="1" x14ac:dyDescent="0.25">
      <c r="A45" s="490">
        <v>5033</v>
      </c>
      <c r="B45" s="488">
        <v>717000</v>
      </c>
      <c r="C45" s="82" t="s">
        <v>56</v>
      </c>
      <c r="D45" s="82">
        <f>SUM(D50:D55)</f>
        <v>0</v>
      </c>
      <c r="E45" s="102">
        <f>SUM(E50:E55)</f>
        <v>0</v>
      </c>
      <c r="F45" s="102">
        <f>SUM(F50:F55)</f>
        <v>0</v>
      </c>
      <c r="G45" s="102">
        <f t="shared" si="0"/>
        <v>0</v>
      </c>
      <c r="H45" s="102">
        <f t="shared" ref="H45:M45" si="11">SUM(H50:H55)</f>
        <v>0</v>
      </c>
      <c r="I45" s="102">
        <f t="shared" si="11"/>
        <v>0</v>
      </c>
      <c r="J45" s="102">
        <f t="shared" si="11"/>
        <v>0</v>
      </c>
      <c r="K45" s="102">
        <f t="shared" si="11"/>
        <v>0</v>
      </c>
      <c r="L45" s="102">
        <f t="shared" si="11"/>
        <v>0</v>
      </c>
      <c r="M45" s="103">
        <f t="shared" si="11"/>
        <v>0</v>
      </c>
      <c r="N45" s="137" t="e">
        <f t="shared" si="3"/>
        <v>#DIV/0!</v>
      </c>
    </row>
    <row r="46" spans="1:14" ht="16.5" hidden="1" customHeight="1" x14ac:dyDescent="0.25">
      <c r="A46" s="645" t="s">
        <v>0</v>
      </c>
      <c r="B46" s="646" t="s">
        <v>1</v>
      </c>
      <c r="C46" s="585" t="s">
        <v>2</v>
      </c>
      <c r="D46" s="486" t="s">
        <v>3</v>
      </c>
      <c r="E46" s="586" t="s">
        <v>3</v>
      </c>
      <c r="F46" s="489" t="s">
        <v>3</v>
      </c>
      <c r="G46" s="586" t="s">
        <v>4</v>
      </c>
      <c r="H46" s="586"/>
      <c r="I46" s="586"/>
      <c r="J46" s="586"/>
      <c r="K46" s="586"/>
      <c r="L46" s="586"/>
      <c r="M46" s="587"/>
      <c r="N46" s="137" t="e">
        <f t="shared" si="3"/>
        <v>#VALUE!</v>
      </c>
    </row>
    <row r="47" spans="1:14" ht="16.5" hidden="1" customHeight="1" x14ac:dyDescent="0.25">
      <c r="A47" s="645"/>
      <c r="B47" s="646"/>
      <c r="C47" s="585"/>
      <c r="D47" s="486"/>
      <c r="E47" s="586"/>
      <c r="F47" s="489"/>
      <c r="G47" s="585" t="s">
        <v>5</v>
      </c>
      <c r="H47" s="586" t="s">
        <v>6</v>
      </c>
      <c r="I47" s="586"/>
      <c r="J47" s="586"/>
      <c r="K47" s="586"/>
      <c r="L47" s="586" t="s">
        <v>7</v>
      </c>
      <c r="M47" s="587" t="s">
        <v>8</v>
      </c>
      <c r="N47" s="137" t="e">
        <f t="shared" si="3"/>
        <v>#VALUE!</v>
      </c>
    </row>
    <row r="48" spans="1:14" ht="16.5" hidden="1" customHeight="1" x14ac:dyDescent="0.25">
      <c r="A48" s="645"/>
      <c r="B48" s="646"/>
      <c r="C48" s="585"/>
      <c r="D48" s="486"/>
      <c r="E48" s="586"/>
      <c r="F48" s="489"/>
      <c r="G48" s="585"/>
      <c r="H48" s="489" t="s">
        <v>9</v>
      </c>
      <c r="I48" s="489" t="s">
        <v>10</v>
      </c>
      <c r="J48" s="489" t="s">
        <v>11</v>
      </c>
      <c r="K48" s="489" t="s">
        <v>12</v>
      </c>
      <c r="L48" s="586"/>
      <c r="M48" s="587"/>
      <c r="N48" s="137" t="e">
        <f t="shared" si="3"/>
        <v>#DIV/0!</v>
      </c>
    </row>
    <row r="49" spans="1:14" ht="16.5" hidden="1" customHeight="1" x14ac:dyDescent="0.25">
      <c r="A49" s="270" t="s">
        <v>18</v>
      </c>
      <c r="B49" s="491" t="s">
        <v>19</v>
      </c>
      <c r="C49" s="485" t="s">
        <v>20</v>
      </c>
      <c r="D49" s="485" t="s">
        <v>21</v>
      </c>
      <c r="E49" s="485" t="s">
        <v>21</v>
      </c>
      <c r="F49" s="485" t="s">
        <v>21</v>
      </c>
      <c r="G49" s="485" t="s">
        <v>22</v>
      </c>
      <c r="H49" s="485" t="s">
        <v>23</v>
      </c>
      <c r="I49" s="485" t="s">
        <v>24</v>
      </c>
      <c r="J49" s="485" t="s">
        <v>25</v>
      </c>
      <c r="K49" s="485" t="s">
        <v>26</v>
      </c>
      <c r="L49" s="485" t="s">
        <v>27</v>
      </c>
      <c r="M49" s="99" t="s">
        <v>28</v>
      </c>
      <c r="N49" s="137">
        <f t="shared" si="3"/>
        <v>1.25</v>
      </c>
    </row>
    <row r="50" spans="1:14" ht="16.5" hidden="1" customHeight="1" x14ac:dyDescent="0.25">
      <c r="A50" s="266">
        <v>5034</v>
      </c>
      <c r="B50" s="83">
        <v>717100</v>
      </c>
      <c r="C50" s="84" t="s">
        <v>57</v>
      </c>
      <c r="D50" s="84"/>
      <c r="E50" s="106"/>
      <c r="F50" s="106"/>
      <c r="G50" s="106">
        <f t="shared" si="0"/>
        <v>0</v>
      </c>
      <c r="H50" s="106"/>
      <c r="I50" s="106"/>
      <c r="J50" s="106"/>
      <c r="K50" s="106"/>
      <c r="L50" s="106"/>
      <c r="M50" s="107"/>
      <c r="N50" s="137" t="e">
        <f t="shared" si="3"/>
        <v>#DIV/0!</v>
      </c>
    </row>
    <row r="51" spans="1:14" ht="16.5" hidden="1" customHeight="1" x14ac:dyDescent="0.25">
      <c r="A51" s="266">
        <v>5035</v>
      </c>
      <c r="B51" s="83">
        <v>717200</v>
      </c>
      <c r="C51" s="84" t="s">
        <v>58</v>
      </c>
      <c r="D51" s="84"/>
      <c r="E51" s="106"/>
      <c r="F51" s="106"/>
      <c r="G51" s="106">
        <f t="shared" si="0"/>
        <v>0</v>
      </c>
      <c r="H51" s="106"/>
      <c r="I51" s="106"/>
      <c r="J51" s="106"/>
      <c r="K51" s="106"/>
      <c r="L51" s="106"/>
      <c r="M51" s="107"/>
      <c r="N51" s="137" t="e">
        <f t="shared" si="3"/>
        <v>#DIV/0!</v>
      </c>
    </row>
    <row r="52" spans="1:14" ht="16.5" hidden="1" customHeight="1" x14ac:dyDescent="0.25">
      <c r="A52" s="266">
        <v>5036</v>
      </c>
      <c r="B52" s="83">
        <v>717300</v>
      </c>
      <c r="C52" s="84" t="s">
        <v>59</v>
      </c>
      <c r="D52" s="84"/>
      <c r="E52" s="106"/>
      <c r="F52" s="106"/>
      <c r="G52" s="106">
        <f t="shared" si="0"/>
        <v>0</v>
      </c>
      <c r="H52" s="106"/>
      <c r="I52" s="106"/>
      <c r="J52" s="106"/>
      <c r="K52" s="106"/>
      <c r="L52" s="106"/>
      <c r="M52" s="107"/>
      <c r="N52" s="137" t="e">
        <f t="shared" si="3"/>
        <v>#DIV/0!</v>
      </c>
    </row>
    <row r="53" spans="1:14" ht="16.5" hidden="1" customHeight="1" x14ac:dyDescent="0.25">
      <c r="A53" s="266">
        <v>5037</v>
      </c>
      <c r="B53" s="83">
        <v>717400</v>
      </c>
      <c r="C53" s="84" t="s">
        <v>60</v>
      </c>
      <c r="D53" s="84"/>
      <c r="E53" s="106"/>
      <c r="F53" s="106"/>
      <c r="G53" s="106">
        <f t="shared" si="0"/>
        <v>0</v>
      </c>
      <c r="H53" s="106"/>
      <c r="I53" s="106"/>
      <c r="J53" s="106"/>
      <c r="K53" s="106"/>
      <c r="L53" s="106"/>
      <c r="M53" s="107"/>
      <c r="N53" s="137" t="e">
        <f t="shared" si="3"/>
        <v>#DIV/0!</v>
      </c>
    </row>
    <row r="54" spans="1:14" ht="16.5" hidden="1" customHeight="1" x14ac:dyDescent="0.25">
      <c r="A54" s="266">
        <v>5038</v>
      </c>
      <c r="B54" s="83">
        <v>717500</v>
      </c>
      <c r="C54" s="84" t="s">
        <v>61</v>
      </c>
      <c r="D54" s="84"/>
      <c r="E54" s="106"/>
      <c r="F54" s="106"/>
      <c r="G54" s="106">
        <f t="shared" si="0"/>
        <v>0</v>
      </c>
      <c r="H54" s="106"/>
      <c r="I54" s="106"/>
      <c r="J54" s="106"/>
      <c r="K54" s="106"/>
      <c r="L54" s="106"/>
      <c r="M54" s="107"/>
      <c r="N54" s="137" t="e">
        <f t="shared" si="3"/>
        <v>#DIV/0!</v>
      </c>
    </row>
    <row r="55" spans="1:14" ht="16.5" hidden="1" customHeight="1" x14ac:dyDescent="0.25">
      <c r="A55" s="266">
        <v>5039</v>
      </c>
      <c r="B55" s="83">
        <v>717600</v>
      </c>
      <c r="C55" s="84" t="s">
        <v>62</v>
      </c>
      <c r="D55" s="84"/>
      <c r="E55" s="106"/>
      <c r="F55" s="106"/>
      <c r="G55" s="106">
        <f t="shared" si="0"/>
        <v>0</v>
      </c>
      <c r="H55" s="106"/>
      <c r="I55" s="106"/>
      <c r="J55" s="106"/>
      <c r="K55" s="106"/>
      <c r="L55" s="106"/>
      <c r="M55" s="107"/>
      <c r="N55" s="137" t="e">
        <f t="shared" si="3"/>
        <v>#DIV/0!</v>
      </c>
    </row>
    <row r="56" spans="1:14" ht="16.5" hidden="1" customHeight="1" x14ac:dyDescent="0.25">
      <c r="A56" s="490">
        <v>5040</v>
      </c>
      <c r="B56" s="488">
        <v>719000</v>
      </c>
      <c r="C56" s="82" t="s">
        <v>63</v>
      </c>
      <c r="D56" s="82">
        <f>SUM(D57:D62)</f>
        <v>0</v>
      </c>
      <c r="E56" s="102">
        <f>SUM(E57:E62)</f>
        <v>0</v>
      </c>
      <c r="F56" s="102">
        <f>SUM(F57:F62)</f>
        <v>0</v>
      </c>
      <c r="G56" s="102">
        <f t="shared" si="0"/>
        <v>0</v>
      </c>
      <c r="H56" s="102">
        <f t="shared" ref="H56:M56" si="12">SUM(H57:H62)</f>
        <v>0</v>
      </c>
      <c r="I56" s="102">
        <f t="shared" si="12"/>
        <v>0</v>
      </c>
      <c r="J56" s="102">
        <f t="shared" si="12"/>
        <v>0</v>
      </c>
      <c r="K56" s="102">
        <f t="shared" si="12"/>
        <v>0</v>
      </c>
      <c r="L56" s="102">
        <f t="shared" si="12"/>
        <v>0</v>
      </c>
      <c r="M56" s="103">
        <f t="shared" si="12"/>
        <v>0</v>
      </c>
      <c r="N56" s="137" t="e">
        <f t="shared" si="3"/>
        <v>#DIV/0!</v>
      </c>
    </row>
    <row r="57" spans="1:14" ht="16.5" hidden="1" customHeight="1" x14ac:dyDescent="0.25">
      <c r="A57" s="266">
        <v>5041</v>
      </c>
      <c r="B57" s="83">
        <v>719100</v>
      </c>
      <c r="C57" s="84" t="s">
        <v>64</v>
      </c>
      <c r="D57" s="84"/>
      <c r="E57" s="106"/>
      <c r="F57" s="106"/>
      <c r="G57" s="106">
        <f t="shared" si="0"/>
        <v>0</v>
      </c>
      <c r="H57" s="106"/>
      <c r="I57" s="106"/>
      <c r="J57" s="106"/>
      <c r="K57" s="106"/>
      <c r="L57" s="106"/>
      <c r="M57" s="107"/>
      <c r="N57" s="137" t="e">
        <f t="shared" si="3"/>
        <v>#DIV/0!</v>
      </c>
    </row>
    <row r="58" spans="1:14" ht="16.5" hidden="1" customHeight="1" x14ac:dyDescent="0.25">
      <c r="A58" s="266">
        <v>5042</v>
      </c>
      <c r="B58" s="83">
        <v>719200</v>
      </c>
      <c r="C58" s="84" t="s">
        <v>65</v>
      </c>
      <c r="D58" s="84"/>
      <c r="E58" s="106"/>
      <c r="F58" s="106"/>
      <c r="G58" s="106">
        <f t="shared" si="0"/>
        <v>0</v>
      </c>
      <c r="H58" s="106"/>
      <c r="I58" s="106"/>
      <c r="J58" s="106"/>
      <c r="K58" s="106"/>
      <c r="L58" s="106"/>
      <c r="M58" s="107"/>
      <c r="N58" s="137" t="e">
        <f t="shared" si="3"/>
        <v>#DIV/0!</v>
      </c>
    </row>
    <row r="59" spans="1:14" ht="16.5" hidden="1" customHeight="1" x14ac:dyDescent="0.25">
      <c r="A59" s="266">
        <v>5043</v>
      </c>
      <c r="B59" s="83">
        <v>719300</v>
      </c>
      <c r="C59" s="84" t="s">
        <v>66</v>
      </c>
      <c r="D59" s="84"/>
      <c r="E59" s="106"/>
      <c r="F59" s="106"/>
      <c r="G59" s="106">
        <f t="shared" si="0"/>
        <v>0</v>
      </c>
      <c r="H59" s="106"/>
      <c r="I59" s="106"/>
      <c r="J59" s="106"/>
      <c r="K59" s="106"/>
      <c r="L59" s="106"/>
      <c r="M59" s="107"/>
      <c r="N59" s="137" t="e">
        <f t="shared" si="3"/>
        <v>#DIV/0!</v>
      </c>
    </row>
    <row r="60" spans="1:14" ht="16.5" hidden="1" customHeight="1" x14ac:dyDescent="0.25">
      <c r="A60" s="266">
        <v>5044</v>
      </c>
      <c r="B60" s="83">
        <v>719400</v>
      </c>
      <c r="C60" s="84" t="s">
        <v>67</v>
      </c>
      <c r="D60" s="84"/>
      <c r="E60" s="106"/>
      <c r="F60" s="106"/>
      <c r="G60" s="106">
        <f t="shared" si="0"/>
        <v>0</v>
      </c>
      <c r="H60" s="106"/>
      <c r="I60" s="106"/>
      <c r="J60" s="106"/>
      <c r="K60" s="106"/>
      <c r="L60" s="106"/>
      <c r="M60" s="107"/>
      <c r="N60" s="137" t="e">
        <f t="shared" si="3"/>
        <v>#DIV/0!</v>
      </c>
    </row>
    <row r="61" spans="1:14" ht="16.5" hidden="1" customHeight="1" x14ac:dyDescent="0.25">
      <c r="A61" s="266">
        <v>5045</v>
      </c>
      <c r="B61" s="83">
        <v>719500</v>
      </c>
      <c r="C61" s="84" t="s">
        <v>68</v>
      </c>
      <c r="D61" s="84"/>
      <c r="E61" s="106"/>
      <c r="F61" s="106"/>
      <c r="G61" s="106">
        <f t="shared" si="0"/>
        <v>0</v>
      </c>
      <c r="H61" s="106"/>
      <c r="I61" s="106"/>
      <c r="J61" s="106"/>
      <c r="K61" s="106"/>
      <c r="L61" s="106"/>
      <c r="M61" s="107"/>
      <c r="N61" s="137" t="e">
        <f t="shared" si="3"/>
        <v>#DIV/0!</v>
      </c>
    </row>
    <row r="62" spans="1:14" ht="16.5" hidden="1" customHeight="1" x14ac:dyDescent="0.25">
      <c r="A62" s="266">
        <v>5046</v>
      </c>
      <c r="B62" s="83">
        <v>719600</v>
      </c>
      <c r="C62" s="84" t="s">
        <v>69</v>
      </c>
      <c r="D62" s="84"/>
      <c r="E62" s="106"/>
      <c r="F62" s="106"/>
      <c r="G62" s="106">
        <f t="shared" si="0"/>
        <v>0</v>
      </c>
      <c r="H62" s="106"/>
      <c r="I62" s="106"/>
      <c r="J62" s="106"/>
      <c r="K62" s="106"/>
      <c r="L62" s="106"/>
      <c r="M62" s="107"/>
      <c r="N62" s="137" t="e">
        <f t="shared" si="3"/>
        <v>#DIV/0!</v>
      </c>
    </row>
    <row r="63" spans="1:14" ht="16.5" hidden="1" customHeight="1" x14ac:dyDescent="0.25">
      <c r="A63" s="490">
        <v>5047</v>
      </c>
      <c r="B63" s="488">
        <v>720000</v>
      </c>
      <c r="C63" s="82" t="s">
        <v>70</v>
      </c>
      <c r="D63" s="82">
        <f>D64+D69</f>
        <v>0</v>
      </c>
      <c r="E63" s="100">
        <f>E64+E69</f>
        <v>0</v>
      </c>
      <c r="F63" s="100">
        <f>F64+F69</f>
        <v>0</v>
      </c>
      <c r="G63" s="100">
        <f t="shared" si="0"/>
        <v>0</v>
      </c>
      <c r="H63" s="100">
        <f t="shared" ref="H63:M63" si="13">H64+H69</f>
        <v>0</v>
      </c>
      <c r="I63" s="100">
        <f t="shared" si="13"/>
        <v>0</v>
      </c>
      <c r="J63" s="100">
        <f t="shared" si="13"/>
        <v>0</v>
      </c>
      <c r="K63" s="100">
        <f t="shared" si="13"/>
        <v>0</v>
      </c>
      <c r="L63" s="100">
        <f t="shared" si="13"/>
        <v>0</v>
      </c>
      <c r="M63" s="101">
        <f t="shared" si="13"/>
        <v>0</v>
      </c>
      <c r="N63" s="137" t="e">
        <f t="shared" si="3"/>
        <v>#DIV/0!</v>
      </c>
    </row>
    <row r="64" spans="1:14" ht="16.5" hidden="1" customHeight="1" x14ac:dyDescent="0.25">
      <c r="A64" s="490">
        <v>5048</v>
      </c>
      <c r="B64" s="488">
        <v>721000</v>
      </c>
      <c r="C64" s="82" t="s">
        <v>71</v>
      </c>
      <c r="D64" s="82">
        <f>SUM(D65:D68)</f>
        <v>0</v>
      </c>
      <c r="E64" s="100">
        <f>SUM(E65:E68)</f>
        <v>0</v>
      </c>
      <c r="F64" s="100">
        <f>SUM(F65:F68)</f>
        <v>0</v>
      </c>
      <c r="G64" s="100">
        <f t="shared" si="0"/>
        <v>0</v>
      </c>
      <c r="H64" s="100">
        <f t="shared" ref="H64:M64" si="14">SUM(H65:H68)</f>
        <v>0</v>
      </c>
      <c r="I64" s="100">
        <f t="shared" si="14"/>
        <v>0</v>
      </c>
      <c r="J64" s="100">
        <f t="shared" si="14"/>
        <v>0</v>
      </c>
      <c r="K64" s="100">
        <f t="shared" si="14"/>
        <v>0</v>
      </c>
      <c r="L64" s="100">
        <f t="shared" si="14"/>
        <v>0</v>
      </c>
      <c r="M64" s="101">
        <f t="shared" si="14"/>
        <v>0</v>
      </c>
      <c r="N64" s="137" t="e">
        <f t="shared" si="3"/>
        <v>#DIV/0!</v>
      </c>
    </row>
    <row r="65" spans="1:14" ht="16.5" hidden="1" customHeight="1" x14ac:dyDescent="0.25">
      <c r="A65" s="266">
        <v>5049</v>
      </c>
      <c r="B65" s="83">
        <v>721100</v>
      </c>
      <c r="C65" s="84" t="s">
        <v>72</v>
      </c>
      <c r="D65" s="84"/>
      <c r="E65" s="108"/>
      <c r="F65" s="108"/>
      <c r="G65" s="109">
        <f t="shared" si="0"/>
        <v>0</v>
      </c>
      <c r="H65" s="108"/>
      <c r="I65" s="108"/>
      <c r="J65" s="108"/>
      <c r="K65" s="108"/>
      <c r="L65" s="108"/>
      <c r="M65" s="110"/>
      <c r="N65" s="137" t="e">
        <f t="shared" si="3"/>
        <v>#DIV/0!</v>
      </c>
    </row>
    <row r="66" spans="1:14" ht="16.5" hidden="1" customHeight="1" x14ac:dyDescent="0.25">
      <c r="A66" s="266">
        <v>5050</v>
      </c>
      <c r="B66" s="83">
        <v>721200</v>
      </c>
      <c r="C66" s="84" t="s">
        <v>73</v>
      </c>
      <c r="D66" s="84"/>
      <c r="E66" s="108"/>
      <c r="F66" s="108"/>
      <c r="G66" s="109">
        <f t="shared" si="0"/>
        <v>0</v>
      </c>
      <c r="H66" s="108"/>
      <c r="I66" s="108"/>
      <c r="J66" s="108"/>
      <c r="K66" s="108"/>
      <c r="L66" s="108"/>
      <c r="M66" s="110"/>
      <c r="N66" s="137" t="e">
        <f t="shared" si="3"/>
        <v>#DIV/0!</v>
      </c>
    </row>
    <row r="67" spans="1:14" ht="16.5" hidden="1" customHeight="1" x14ac:dyDescent="0.25">
      <c r="A67" s="266">
        <v>5051</v>
      </c>
      <c r="B67" s="83">
        <v>721300</v>
      </c>
      <c r="C67" s="84" t="s">
        <v>74</v>
      </c>
      <c r="D67" s="84"/>
      <c r="E67" s="108"/>
      <c r="F67" s="108"/>
      <c r="G67" s="109">
        <f t="shared" si="0"/>
        <v>0</v>
      </c>
      <c r="H67" s="108"/>
      <c r="I67" s="108"/>
      <c r="J67" s="108"/>
      <c r="K67" s="108"/>
      <c r="L67" s="108"/>
      <c r="M67" s="110"/>
      <c r="N67" s="137" t="e">
        <f t="shared" si="3"/>
        <v>#DIV/0!</v>
      </c>
    </row>
    <row r="68" spans="1:14" ht="16.5" hidden="1" customHeight="1" x14ac:dyDescent="0.25">
      <c r="A68" s="266">
        <v>5052</v>
      </c>
      <c r="B68" s="83">
        <v>721400</v>
      </c>
      <c r="C68" s="84" t="s">
        <v>75</v>
      </c>
      <c r="D68" s="84"/>
      <c r="E68" s="108"/>
      <c r="F68" s="108"/>
      <c r="G68" s="109">
        <f t="shared" si="0"/>
        <v>0</v>
      </c>
      <c r="H68" s="108"/>
      <c r="I68" s="108"/>
      <c r="J68" s="108"/>
      <c r="K68" s="108"/>
      <c r="L68" s="108"/>
      <c r="M68" s="110"/>
      <c r="N68" s="137" t="e">
        <f t="shared" si="3"/>
        <v>#DIV/0!</v>
      </c>
    </row>
    <row r="69" spans="1:14" ht="16.5" hidden="1" customHeight="1" x14ac:dyDescent="0.25">
      <c r="A69" s="490">
        <v>5053</v>
      </c>
      <c r="B69" s="488">
        <v>722000</v>
      </c>
      <c r="C69" s="82" t="s">
        <v>76</v>
      </c>
      <c r="D69" s="82">
        <f>SUM(D70:D72)</f>
        <v>0</v>
      </c>
      <c r="E69" s="100">
        <f>SUM(E70:E72)</f>
        <v>0</v>
      </c>
      <c r="F69" s="100">
        <f>SUM(F70:F72)</f>
        <v>0</v>
      </c>
      <c r="G69" s="100">
        <f t="shared" si="0"/>
        <v>0</v>
      </c>
      <c r="H69" s="100">
        <f t="shared" ref="H69:M69" si="15">SUM(H70:H72)</f>
        <v>0</v>
      </c>
      <c r="I69" s="100">
        <f t="shared" si="15"/>
        <v>0</v>
      </c>
      <c r="J69" s="100">
        <f t="shared" si="15"/>
        <v>0</v>
      </c>
      <c r="K69" s="100">
        <f t="shared" si="15"/>
        <v>0</v>
      </c>
      <c r="L69" s="100">
        <f t="shared" si="15"/>
        <v>0</v>
      </c>
      <c r="M69" s="101">
        <f t="shared" si="15"/>
        <v>0</v>
      </c>
      <c r="N69" s="137" t="e">
        <f t="shared" si="3"/>
        <v>#DIV/0!</v>
      </c>
    </row>
    <row r="70" spans="1:14" ht="16.5" hidden="1" customHeight="1" x14ac:dyDescent="0.25">
      <c r="A70" s="266">
        <v>5054</v>
      </c>
      <c r="B70" s="83">
        <v>722100</v>
      </c>
      <c r="C70" s="84" t="s">
        <v>77</v>
      </c>
      <c r="D70" s="84"/>
      <c r="E70" s="108"/>
      <c r="F70" s="108"/>
      <c r="G70" s="109">
        <f t="shared" si="0"/>
        <v>0</v>
      </c>
      <c r="H70" s="108"/>
      <c r="I70" s="108"/>
      <c r="J70" s="108"/>
      <c r="K70" s="108"/>
      <c r="L70" s="108"/>
      <c r="M70" s="110"/>
      <c r="N70" s="137" t="e">
        <f t="shared" si="3"/>
        <v>#DIV/0!</v>
      </c>
    </row>
    <row r="71" spans="1:14" ht="16.5" hidden="1" customHeight="1" x14ac:dyDescent="0.25">
      <c r="A71" s="266">
        <v>5055</v>
      </c>
      <c r="B71" s="83">
        <v>722200</v>
      </c>
      <c r="C71" s="84" t="s">
        <v>78</v>
      </c>
      <c r="D71" s="84"/>
      <c r="E71" s="108"/>
      <c r="F71" s="108"/>
      <c r="G71" s="109">
        <f t="shared" si="0"/>
        <v>0</v>
      </c>
      <c r="H71" s="108"/>
      <c r="I71" s="108"/>
      <c r="J71" s="108"/>
      <c r="K71" s="108"/>
      <c r="L71" s="108"/>
      <c r="M71" s="110"/>
      <c r="N71" s="137" t="e">
        <f t="shared" si="3"/>
        <v>#DIV/0!</v>
      </c>
    </row>
    <row r="72" spans="1:14" ht="16.5" hidden="1" customHeight="1" x14ac:dyDescent="0.25">
      <c r="A72" s="266">
        <v>5056</v>
      </c>
      <c r="B72" s="83">
        <v>722300</v>
      </c>
      <c r="C72" s="84" t="s">
        <v>79</v>
      </c>
      <c r="D72" s="84"/>
      <c r="E72" s="108"/>
      <c r="F72" s="108"/>
      <c r="G72" s="109">
        <f t="shared" si="0"/>
        <v>0</v>
      </c>
      <c r="H72" s="108"/>
      <c r="I72" s="108"/>
      <c r="J72" s="108"/>
      <c r="K72" s="108"/>
      <c r="L72" s="108"/>
      <c r="M72" s="110"/>
      <c r="N72" s="137" t="e">
        <f t="shared" si="3"/>
        <v>#DIV/0!</v>
      </c>
    </row>
    <row r="73" spans="1:14" ht="16.5" hidden="1" customHeight="1" x14ac:dyDescent="0.25">
      <c r="A73" s="645" t="s">
        <v>0</v>
      </c>
      <c r="B73" s="646" t="s">
        <v>1</v>
      </c>
      <c r="C73" s="585" t="s">
        <v>2</v>
      </c>
      <c r="D73" s="486" t="s">
        <v>3</v>
      </c>
      <c r="E73" s="575" t="s">
        <v>3</v>
      </c>
      <c r="F73" s="487" t="s">
        <v>3</v>
      </c>
      <c r="G73" s="575" t="s">
        <v>4</v>
      </c>
      <c r="H73" s="575"/>
      <c r="I73" s="575"/>
      <c r="J73" s="575"/>
      <c r="K73" s="575"/>
      <c r="L73" s="575"/>
      <c r="M73" s="582"/>
      <c r="N73" s="137" t="e">
        <f t="shared" si="3"/>
        <v>#VALUE!</v>
      </c>
    </row>
    <row r="74" spans="1:14" ht="16.5" hidden="1" customHeight="1" x14ac:dyDescent="0.25">
      <c r="A74" s="645"/>
      <c r="B74" s="646"/>
      <c r="C74" s="585"/>
      <c r="D74" s="486"/>
      <c r="E74" s="575"/>
      <c r="F74" s="487"/>
      <c r="G74" s="581" t="s">
        <v>5</v>
      </c>
      <c r="H74" s="575" t="s">
        <v>6</v>
      </c>
      <c r="I74" s="575"/>
      <c r="J74" s="575"/>
      <c r="K74" s="575"/>
      <c r="L74" s="575" t="s">
        <v>7</v>
      </c>
      <c r="M74" s="582" t="s">
        <v>8</v>
      </c>
      <c r="N74" s="137" t="e">
        <f t="shared" ref="N74:N137" si="16">G74/F74</f>
        <v>#VALUE!</v>
      </c>
    </row>
    <row r="75" spans="1:14" ht="16.5" hidden="1" customHeight="1" x14ac:dyDescent="0.25">
      <c r="A75" s="645"/>
      <c r="B75" s="646"/>
      <c r="C75" s="585"/>
      <c r="D75" s="486"/>
      <c r="E75" s="575"/>
      <c r="F75" s="487"/>
      <c r="G75" s="581"/>
      <c r="H75" s="487" t="s">
        <v>9</v>
      </c>
      <c r="I75" s="487" t="s">
        <v>10</v>
      </c>
      <c r="J75" s="487" t="s">
        <v>11</v>
      </c>
      <c r="K75" s="487" t="s">
        <v>12</v>
      </c>
      <c r="L75" s="575"/>
      <c r="M75" s="582"/>
      <c r="N75" s="137" t="e">
        <f t="shared" si="16"/>
        <v>#DIV/0!</v>
      </c>
    </row>
    <row r="76" spans="1:14" ht="16.5" hidden="1" customHeight="1" x14ac:dyDescent="0.25">
      <c r="A76" s="270" t="s">
        <v>18</v>
      </c>
      <c r="B76" s="491" t="s">
        <v>19</v>
      </c>
      <c r="C76" s="485" t="s">
        <v>20</v>
      </c>
      <c r="D76" s="485" t="s">
        <v>21</v>
      </c>
      <c r="E76" s="86" t="s">
        <v>21</v>
      </c>
      <c r="F76" s="86" t="s">
        <v>21</v>
      </c>
      <c r="G76" s="86" t="s">
        <v>22</v>
      </c>
      <c r="H76" s="86" t="s">
        <v>23</v>
      </c>
      <c r="I76" s="86" t="s">
        <v>24</v>
      </c>
      <c r="J76" s="86" t="s">
        <v>25</v>
      </c>
      <c r="K76" s="86" t="s">
        <v>26</v>
      </c>
      <c r="L76" s="86" t="s">
        <v>27</v>
      </c>
      <c r="M76" s="98" t="s">
        <v>28</v>
      </c>
      <c r="N76" s="137">
        <f t="shared" si="16"/>
        <v>1.25</v>
      </c>
    </row>
    <row r="77" spans="1:14" ht="16.5" hidden="1" customHeight="1" x14ac:dyDescent="0.25">
      <c r="A77" s="490">
        <v>5057</v>
      </c>
      <c r="B77" s="488">
        <v>730000</v>
      </c>
      <c r="C77" s="82" t="s">
        <v>80</v>
      </c>
      <c r="D77" s="82">
        <f>D78+D81+D86</f>
        <v>0</v>
      </c>
      <c r="E77" s="100">
        <f>E78+E81+E86</f>
        <v>0</v>
      </c>
      <c r="F77" s="100">
        <f>F78+F81+F86</f>
        <v>0</v>
      </c>
      <c r="G77" s="100">
        <f t="shared" ref="G77:G86" si="17">SUM(H77:M77)</f>
        <v>0</v>
      </c>
      <c r="H77" s="100">
        <f t="shared" ref="H77:M77" si="18">H78+H81+H86</f>
        <v>0</v>
      </c>
      <c r="I77" s="100">
        <f t="shared" si="18"/>
        <v>0</v>
      </c>
      <c r="J77" s="100">
        <f t="shared" si="18"/>
        <v>0</v>
      </c>
      <c r="K77" s="100">
        <f t="shared" si="18"/>
        <v>0</v>
      </c>
      <c r="L77" s="100">
        <f t="shared" si="18"/>
        <v>0</v>
      </c>
      <c r="M77" s="101">
        <f t="shared" si="18"/>
        <v>0</v>
      </c>
      <c r="N77" s="137" t="e">
        <f t="shared" si="16"/>
        <v>#DIV/0!</v>
      </c>
    </row>
    <row r="78" spans="1:14" ht="16.5" hidden="1" customHeight="1" x14ac:dyDescent="0.25">
      <c r="A78" s="490">
        <v>5058</v>
      </c>
      <c r="B78" s="488">
        <v>731000</v>
      </c>
      <c r="C78" s="82" t="s">
        <v>81</v>
      </c>
      <c r="D78" s="82">
        <f>D79+D80</f>
        <v>0</v>
      </c>
      <c r="E78" s="100">
        <f>E79+E80</f>
        <v>0</v>
      </c>
      <c r="F78" s="100">
        <f>F79+F80</f>
        <v>0</v>
      </c>
      <c r="G78" s="100">
        <f t="shared" si="17"/>
        <v>0</v>
      </c>
      <c r="H78" s="100">
        <f t="shared" ref="H78:M78" si="19">H79+H80</f>
        <v>0</v>
      </c>
      <c r="I78" s="100">
        <f t="shared" si="19"/>
        <v>0</v>
      </c>
      <c r="J78" s="100">
        <f t="shared" si="19"/>
        <v>0</v>
      </c>
      <c r="K78" s="100">
        <f t="shared" si="19"/>
        <v>0</v>
      </c>
      <c r="L78" s="100">
        <f t="shared" si="19"/>
        <v>0</v>
      </c>
      <c r="M78" s="101">
        <f t="shared" si="19"/>
        <v>0</v>
      </c>
      <c r="N78" s="137" t="e">
        <f t="shared" si="16"/>
        <v>#DIV/0!</v>
      </c>
    </row>
    <row r="79" spans="1:14" ht="16.5" hidden="1" customHeight="1" x14ac:dyDescent="0.25">
      <c r="A79" s="266">
        <v>5059</v>
      </c>
      <c r="B79" s="83">
        <v>731100</v>
      </c>
      <c r="C79" s="84" t="s">
        <v>82</v>
      </c>
      <c r="D79" s="84"/>
      <c r="E79" s="108"/>
      <c r="F79" s="108"/>
      <c r="G79" s="109">
        <f t="shared" si="17"/>
        <v>0</v>
      </c>
      <c r="H79" s="108"/>
      <c r="I79" s="108"/>
      <c r="J79" s="108"/>
      <c r="K79" s="108"/>
      <c r="L79" s="108"/>
      <c r="M79" s="110"/>
      <c r="N79" s="137" t="e">
        <f t="shared" si="16"/>
        <v>#DIV/0!</v>
      </c>
    </row>
    <row r="80" spans="1:14" ht="16.5" hidden="1" customHeight="1" x14ac:dyDescent="0.25">
      <c r="A80" s="266">
        <v>5060</v>
      </c>
      <c r="B80" s="83">
        <v>731200</v>
      </c>
      <c r="C80" s="84" t="s">
        <v>83</v>
      </c>
      <c r="D80" s="84"/>
      <c r="E80" s="108"/>
      <c r="F80" s="108"/>
      <c r="G80" s="109">
        <f t="shared" si="17"/>
        <v>0</v>
      </c>
      <c r="H80" s="108"/>
      <c r="I80" s="108"/>
      <c r="J80" s="108"/>
      <c r="K80" s="108"/>
      <c r="L80" s="108"/>
      <c r="M80" s="110"/>
      <c r="N80" s="137" t="e">
        <f t="shared" si="16"/>
        <v>#DIV/0!</v>
      </c>
    </row>
    <row r="81" spans="1:14" ht="16.5" hidden="1" customHeight="1" x14ac:dyDescent="0.25">
      <c r="A81" s="490">
        <v>5061</v>
      </c>
      <c r="B81" s="488">
        <v>732000</v>
      </c>
      <c r="C81" s="82" t="s">
        <v>84</v>
      </c>
      <c r="D81" s="82">
        <f>D82+D83+D84+D85</f>
        <v>0</v>
      </c>
      <c r="E81" s="100">
        <f>E82+E83+E84+E85</f>
        <v>0</v>
      </c>
      <c r="F81" s="100">
        <f>F82+F83+F84+F85</f>
        <v>0</v>
      </c>
      <c r="G81" s="100">
        <f t="shared" si="17"/>
        <v>0</v>
      </c>
      <c r="H81" s="100">
        <f t="shared" ref="H81:M81" si="20">H82+H83+H84+H85</f>
        <v>0</v>
      </c>
      <c r="I81" s="100">
        <f t="shared" si="20"/>
        <v>0</v>
      </c>
      <c r="J81" s="100">
        <f t="shared" si="20"/>
        <v>0</v>
      </c>
      <c r="K81" s="100">
        <f t="shared" si="20"/>
        <v>0</v>
      </c>
      <c r="L81" s="100">
        <f t="shared" si="20"/>
        <v>0</v>
      </c>
      <c r="M81" s="101">
        <f t="shared" si="20"/>
        <v>0</v>
      </c>
      <c r="N81" s="137" t="e">
        <f t="shared" si="16"/>
        <v>#DIV/0!</v>
      </c>
    </row>
    <row r="82" spans="1:14" ht="16.5" hidden="1" customHeight="1" x14ac:dyDescent="0.25">
      <c r="A82" s="266">
        <v>5062</v>
      </c>
      <c r="B82" s="83">
        <v>732100</v>
      </c>
      <c r="C82" s="84" t="s">
        <v>85</v>
      </c>
      <c r="D82" s="84"/>
      <c r="E82" s="108"/>
      <c r="F82" s="108"/>
      <c r="G82" s="109">
        <f t="shared" si="17"/>
        <v>0</v>
      </c>
      <c r="H82" s="108"/>
      <c r="I82" s="108"/>
      <c r="J82" s="108"/>
      <c r="K82" s="108"/>
      <c r="L82" s="108"/>
      <c r="M82" s="110"/>
      <c r="N82" s="137" t="e">
        <f t="shared" si="16"/>
        <v>#DIV/0!</v>
      </c>
    </row>
    <row r="83" spans="1:14" ht="16.5" hidden="1" customHeight="1" x14ac:dyDescent="0.25">
      <c r="A83" s="266">
        <v>5063</v>
      </c>
      <c r="B83" s="83">
        <v>732200</v>
      </c>
      <c r="C83" s="84" t="s">
        <v>86</v>
      </c>
      <c r="D83" s="84"/>
      <c r="E83" s="108"/>
      <c r="F83" s="108"/>
      <c r="G83" s="109">
        <f t="shared" si="17"/>
        <v>0</v>
      </c>
      <c r="H83" s="108"/>
      <c r="I83" s="108"/>
      <c r="J83" s="108"/>
      <c r="K83" s="108"/>
      <c r="L83" s="108"/>
      <c r="M83" s="110"/>
      <c r="N83" s="137" t="e">
        <f t="shared" si="16"/>
        <v>#DIV/0!</v>
      </c>
    </row>
    <row r="84" spans="1:14" ht="16.5" hidden="1" customHeight="1" x14ac:dyDescent="0.25">
      <c r="A84" s="266">
        <v>5064</v>
      </c>
      <c r="B84" s="83">
        <v>732300</v>
      </c>
      <c r="C84" s="84" t="s">
        <v>87</v>
      </c>
      <c r="D84" s="84"/>
      <c r="E84" s="108"/>
      <c r="F84" s="108"/>
      <c r="G84" s="109">
        <f t="shared" si="17"/>
        <v>0</v>
      </c>
      <c r="H84" s="108"/>
      <c r="I84" s="108"/>
      <c r="J84" s="108"/>
      <c r="K84" s="108"/>
      <c r="L84" s="108"/>
      <c r="M84" s="110"/>
      <c r="N84" s="137" t="e">
        <f t="shared" si="16"/>
        <v>#DIV/0!</v>
      </c>
    </row>
    <row r="85" spans="1:14" ht="16.5" hidden="1" customHeight="1" x14ac:dyDescent="0.25">
      <c r="A85" s="266">
        <v>5065</v>
      </c>
      <c r="B85" s="83">
        <v>732400</v>
      </c>
      <c r="C85" s="84" t="s">
        <v>88</v>
      </c>
      <c r="D85" s="84"/>
      <c r="E85" s="108"/>
      <c r="F85" s="108"/>
      <c r="G85" s="109">
        <f t="shared" si="17"/>
        <v>0</v>
      </c>
      <c r="H85" s="108"/>
      <c r="I85" s="108"/>
      <c r="J85" s="108"/>
      <c r="K85" s="108"/>
      <c r="L85" s="108"/>
      <c r="M85" s="110"/>
      <c r="N85" s="137" t="e">
        <f t="shared" si="16"/>
        <v>#DIV/0!</v>
      </c>
    </row>
    <row r="86" spans="1:14" ht="16.5" hidden="1" customHeight="1" x14ac:dyDescent="0.25">
      <c r="A86" s="490">
        <v>5066</v>
      </c>
      <c r="B86" s="488">
        <v>733000</v>
      </c>
      <c r="C86" s="82" t="s">
        <v>89</v>
      </c>
      <c r="D86" s="82">
        <f>D87+D88</f>
        <v>0</v>
      </c>
      <c r="E86" s="100">
        <f>E87+E88</f>
        <v>0</v>
      </c>
      <c r="F86" s="100">
        <f>F87+F88</f>
        <v>0</v>
      </c>
      <c r="G86" s="100">
        <f t="shared" si="17"/>
        <v>0</v>
      </c>
      <c r="H86" s="100">
        <f t="shared" ref="H86:M86" si="21">H87+H88</f>
        <v>0</v>
      </c>
      <c r="I86" s="100">
        <f t="shared" si="21"/>
        <v>0</v>
      </c>
      <c r="J86" s="100">
        <f t="shared" si="21"/>
        <v>0</v>
      </c>
      <c r="K86" s="100">
        <f t="shared" si="21"/>
        <v>0</v>
      </c>
      <c r="L86" s="100">
        <f t="shared" si="21"/>
        <v>0</v>
      </c>
      <c r="M86" s="101">
        <f t="shared" si="21"/>
        <v>0</v>
      </c>
      <c r="N86" s="137" t="e">
        <f t="shared" si="16"/>
        <v>#DIV/0!</v>
      </c>
    </row>
    <row r="87" spans="1:14" ht="16.5" hidden="1" customHeight="1" x14ac:dyDescent="0.25">
      <c r="A87" s="266">
        <v>5067</v>
      </c>
      <c r="B87" s="83">
        <v>733100</v>
      </c>
      <c r="C87" s="84" t="s">
        <v>90</v>
      </c>
      <c r="D87" s="84"/>
      <c r="E87" s="108"/>
      <c r="F87" s="108"/>
      <c r="G87" s="109">
        <f t="shared" ref="G87:G122" si="22">SUM(H87:M87)</f>
        <v>0</v>
      </c>
      <c r="H87" s="108"/>
      <c r="I87" s="108"/>
      <c r="J87" s="108"/>
      <c r="K87" s="108"/>
      <c r="L87" s="108"/>
      <c r="M87" s="110"/>
      <c r="N87" s="137" t="e">
        <f t="shared" si="16"/>
        <v>#DIV/0!</v>
      </c>
    </row>
    <row r="88" spans="1:14" ht="16.5" hidden="1" customHeight="1" x14ac:dyDescent="0.25">
      <c r="A88" s="266">
        <v>5068</v>
      </c>
      <c r="B88" s="83">
        <v>733200</v>
      </c>
      <c r="C88" s="84" t="s">
        <v>91</v>
      </c>
      <c r="D88" s="84"/>
      <c r="E88" s="108"/>
      <c r="F88" s="108"/>
      <c r="G88" s="109">
        <f t="shared" si="22"/>
        <v>0</v>
      </c>
      <c r="H88" s="108"/>
      <c r="I88" s="108"/>
      <c r="J88" s="108"/>
      <c r="K88" s="108"/>
      <c r="L88" s="108"/>
      <c r="M88" s="110"/>
      <c r="N88" s="137" t="e">
        <f t="shared" si="16"/>
        <v>#DIV/0!</v>
      </c>
    </row>
    <row r="89" spans="1:14" ht="12.75" customHeight="1" x14ac:dyDescent="0.25">
      <c r="A89" s="490">
        <v>5069</v>
      </c>
      <c r="B89" s="488">
        <v>740000</v>
      </c>
      <c r="C89" s="82" t="s">
        <v>92</v>
      </c>
      <c r="D89" s="82">
        <f>D90+D97+D102+D113+D116</f>
        <v>185</v>
      </c>
      <c r="E89" s="100">
        <f>E90+E97+E102+E113+E116</f>
        <v>15300</v>
      </c>
      <c r="F89" s="100">
        <f>F90+F97+F102+F113+F116</f>
        <v>15485</v>
      </c>
      <c r="G89" s="100">
        <f t="shared" si="22"/>
        <v>3217</v>
      </c>
      <c r="H89" s="100">
        <f t="shared" ref="H89:M89" si="23">H90+H97+H102+H113+H116</f>
        <v>0</v>
      </c>
      <c r="I89" s="100">
        <f t="shared" si="23"/>
        <v>0</v>
      </c>
      <c r="J89" s="100">
        <f t="shared" si="23"/>
        <v>0</v>
      </c>
      <c r="K89" s="100">
        <f t="shared" si="23"/>
        <v>0</v>
      </c>
      <c r="L89" s="100">
        <f t="shared" si="23"/>
        <v>0</v>
      </c>
      <c r="M89" s="101">
        <f t="shared" si="23"/>
        <v>3217</v>
      </c>
      <c r="N89" s="137">
        <f t="shared" si="16"/>
        <v>0.20774943493703585</v>
      </c>
    </row>
    <row r="90" spans="1:14" ht="12.75" customHeight="1" x14ac:dyDescent="0.25">
      <c r="A90" s="490">
        <v>5070</v>
      </c>
      <c r="B90" s="488">
        <v>741000</v>
      </c>
      <c r="C90" s="82" t="s">
        <v>93</v>
      </c>
      <c r="D90" s="82">
        <f>SUM(D91:D96)</f>
        <v>0</v>
      </c>
      <c r="E90" s="100">
        <f>SUM(E91:E96)</f>
        <v>1500</v>
      </c>
      <c r="F90" s="100">
        <f>SUM(F91:F96)</f>
        <v>1500</v>
      </c>
      <c r="G90" s="100">
        <f t="shared" si="22"/>
        <v>0</v>
      </c>
      <c r="H90" s="100">
        <f t="shared" ref="H90:M90" si="24">SUM(H91:H96)</f>
        <v>0</v>
      </c>
      <c r="I90" s="100">
        <f t="shared" si="24"/>
        <v>0</v>
      </c>
      <c r="J90" s="100">
        <f t="shared" si="24"/>
        <v>0</v>
      </c>
      <c r="K90" s="100">
        <f t="shared" si="24"/>
        <v>0</v>
      </c>
      <c r="L90" s="100">
        <f t="shared" si="24"/>
        <v>0</v>
      </c>
      <c r="M90" s="101">
        <f t="shared" si="24"/>
        <v>0</v>
      </c>
      <c r="N90" s="137">
        <f t="shared" si="16"/>
        <v>0</v>
      </c>
    </row>
    <row r="91" spans="1:14" ht="16.5" hidden="1" customHeight="1" x14ac:dyDescent="0.25">
      <c r="A91" s="266">
        <v>5071</v>
      </c>
      <c r="B91" s="83">
        <v>741100</v>
      </c>
      <c r="C91" s="84" t="s">
        <v>94</v>
      </c>
      <c r="D91" s="84"/>
      <c r="E91" s="108"/>
      <c r="F91" s="108"/>
      <c r="G91" s="109">
        <f t="shared" si="22"/>
        <v>0</v>
      </c>
      <c r="H91" s="108"/>
      <c r="I91" s="108"/>
      <c r="J91" s="108"/>
      <c r="K91" s="108"/>
      <c r="L91" s="108"/>
      <c r="M91" s="110"/>
      <c r="N91" s="137" t="e">
        <f t="shared" si="16"/>
        <v>#DIV/0!</v>
      </c>
    </row>
    <row r="92" spans="1:14" ht="16.5" hidden="1" customHeight="1" x14ac:dyDescent="0.25">
      <c r="A92" s="266">
        <v>5072</v>
      </c>
      <c r="B92" s="83">
        <v>741200</v>
      </c>
      <c r="C92" s="84" t="s">
        <v>95</v>
      </c>
      <c r="D92" s="84"/>
      <c r="E92" s="108"/>
      <c r="F92" s="108"/>
      <c r="G92" s="109">
        <f t="shared" si="22"/>
        <v>0</v>
      </c>
      <c r="H92" s="108"/>
      <c r="I92" s="108"/>
      <c r="J92" s="108"/>
      <c r="K92" s="108"/>
      <c r="L92" s="108"/>
      <c r="M92" s="110"/>
      <c r="N92" s="137" t="e">
        <f t="shared" si="16"/>
        <v>#DIV/0!</v>
      </c>
    </row>
    <row r="93" spans="1:14" ht="16.5" hidden="1" customHeight="1" x14ac:dyDescent="0.25">
      <c r="A93" s="266">
        <v>5073</v>
      </c>
      <c r="B93" s="83">
        <v>741300</v>
      </c>
      <c r="C93" s="84" t="s">
        <v>96</v>
      </c>
      <c r="D93" s="84"/>
      <c r="E93" s="108"/>
      <c r="F93" s="108"/>
      <c r="G93" s="109">
        <f t="shared" si="22"/>
        <v>0</v>
      </c>
      <c r="H93" s="108"/>
      <c r="I93" s="108"/>
      <c r="J93" s="108"/>
      <c r="K93" s="108"/>
      <c r="L93" s="108"/>
      <c r="M93" s="110"/>
      <c r="N93" s="137" t="e">
        <f t="shared" si="16"/>
        <v>#DIV/0!</v>
      </c>
    </row>
    <row r="94" spans="1:14" ht="12.75" customHeight="1" x14ac:dyDescent="0.25">
      <c r="A94" s="266">
        <v>5074</v>
      </c>
      <c r="B94" s="83">
        <v>741400</v>
      </c>
      <c r="C94" s="84" t="s">
        <v>97</v>
      </c>
      <c r="D94" s="84">
        <v>0</v>
      </c>
      <c r="E94" s="111">
        <v>1500</v>
      </c>
      <c r="F94" s="111">
        <f>D94+E94</f>
        <v>1500</v>
      </c>
      <c r="G94" s="109">
        <f t="shared" si="22"/>
        <v>0</v>
      </c>
      <c r="H94" s="111"/>
      <c r="I94" s="111"/>
      <c r="J94" s="111"/>
      <c r="K94" s="111"/>
      <c r="L94" s="111"/>
      <c r="M94" s="112"/>
      <c r="N94" s="137">
        <f t="shared" si="16"/>
        <v>0</v>
      </c>
    </row>
    <row r="95" spans="1:14" ht="16.5" hidden="1" customHeight="1" x14ac:dyDescent="0.25">
      <c r="A95" s="266">
        <v>5075</v>
      </c>
      <c r="B95" s="83">
        <v>741500</v>
      </c>
      <c r="C95" s="84" t="s">
        <v>98</v>
      </c>
      <c r="D95" s="84"/>
      <c r="E95" s="108"/>
      <c r="F95" s="108"/>
      <c r="G95" s="109">
        <f t="shared" si="22"/>
        <v>0</v>
      </c>
      <c r="H95" s="108"/>
      <c r="I95" s="108"/>
      <c r="J95" s="108"/>
      <c r="K95" s="108"/>
      <c r="L95" s="108"/>
      <c r="M95" s="110"/>
      <c r="N95" s="137" t="e">
        <f t="shared" si="16"/>
        <v>#DIV/0!</v>
      </c>
    </row>
    <row r="96" spans="1:14" ht="16.5" hidden="1" customHeight="1" x14ac:dyDescent="0.25">
      <c r="A96" s="266">
        <v>5076</v>
      </c>
      <c r="B96" s="83">
        <v>741600</v>
      </c>
      <c r="C96" s="84" t="s">
        <v>99</v>
      </c>
      <c r="D96" s="84"/>
      <c r="E96" s="108"/>
      <c r="F96" s="108"/>
      <c r="G96" s="109">
        <f t="shared" si="22"/>
        <v>0</v>
      </c>
      <c r="H96" s="108"/>
      <c r="I96" s="108"/>
      <c r="J96" s="108"/>
      <c r="K96" s="108"/>
      <c r="L96" s="108"/>
      <c r="M96" s="110"/>
      <c r="N96" s="137" t="e">
        <f t="shared" si="16"/>
        <v>#DIV/0!</v>
      </c>
    </row>
    <row r="97" spans="1:14" ht="12.75" customHeight="1" x14ac:dyDescent="0.25">
      <c r="A97" s="490">
        <v>5077</v>
      </c>
      <c r="B97" s="488">
        <v>742000</v>
      </c>
      <c r="C97" s="82" t="s">
        <v>100</v>
      </c>
      <c r="D97" s="82">
        <f>SUM(D98:D101)</f>
        <v>0</v>
      </c>
      <c r="E97" s="100">
        <f>SUM(E98:E101)</f>
        <v>13700</v>
      </c>
      <c r="F97" s="100">
        <f>SUM(F98:F101)</f>
        <v>13700</v>
      </c>
      <c r="G97" s="100">
        <f t="shared" si="22"/>
        <v>3032</v>
      </c>
      <c r="H97" s="100">
        <f t="shared" ref="H97:M97" si="25">SUM(H98:H101)</f>
        <v>0</v>
      </c>
      <c r="I97" s="100">
        <f t="shared" si="25"/>
        <v>0</v>
      </c>
      <c r="J97" s="100">
        <f t="shared" si="25"/>
        <v>0</v>
      </c>
      <c r="K97" s="100">
        <f t="shared" si="25"/>
        <v>0</v>
      </c>
      <c r="L97" s="100">
        <f t="shared" si="25"/>
        <v>0</v>
      </c>
      <c r="M97" s="101">
        <f t="shared" si="25"/>
        <v>3032</v>
      </c>
      <c r="N97" s="137">
        <f t="shared" si="16"/>
        <v>0.22131386861313868</v>
      </c>
    </row>
    <row r="98" spans="1:14" ht="12.75" customHeight="1" x14ac:dyDescent="0.25">
      <c r="A98" s="266">
        <v>5078</v>
      </c>
      <c r="B98" s="83">
        <v>742100</v>
      </c>
      <c r="C98" s="84" t="s">
        <v>101</v>
      </c>
      <c r="D98" s="84">
        <v>0</v>
      </c>
      <c r="E98" s="108">
        <v>5000</v>
      </c>
      <c r="F98" s="108">
        <f>D98+E98</f>
        <v>5000</v>
      </c>
      <c r="G98" s="109">
        <f t="shared" si="22"/>
        <v>1218</v>
      </c>
      <c r="H98" s="108"/>
      <c r="I98" s="108"/>
      <c r="J98" s="108"/>
      <c r="K98" s="108"/>
      <c r="L98" s="108"/>
      <c r="M98" s="110">
        <v>1218</v>
      </c>
      <c r="N98" s="137">
        <f t="shared" si="16"/>
        <v>0.24360000000000001</v>
      </c>
    </row>
    <row r="99" spans="1:14" ht="16.5" hidden="1" customHeight="1" x14ac:dyDescent="0.25">
      <c r="A99" s="266">
        <v>5079</v>
      </c>
      <c r="B99" s="83">
        <v>742200</v>
      </c>
      <c r="C99" s="84" t="s">
        <v>102</v>
      </c>
      <c r="D99" s="84"/>
      <c r="E99" s="108"/>
      <c r="F99" s="108">
        <f t="shared" ref="F99:F112" si="26">D99+E99</f>
        <v>0</v>
      </c>
      <c r="G99" s="109">
        <f t="shared" si="22"/>
        <v>0</v>
      </c>
      <c r="H99" s="108"/>
      <c r="I99" s="108"/>
      <c r="J99" s="108"/>
      <c r="K99" s="108"/>
      <c r="L99" s="108"/>
      <c r="M99" s="110"/>
      <c r="N99" s="137" t="e">
        <f t="shared" si="16"/>
        <v>#DIV/0!</v>
      </c>
    </row>
    <row r="100" spans="1:14" ht="15.75" customHeight="1" x14ac:dyDescent="0.25">
      <c r="A100" s="266">
        <v>5080</v>
      </c>
      <c r="B100" s="83">
        <v>742300</v>
      </c>
      <c r="C100" s="84" t="s">
        <v>103</v>
      </c>
      <c r="D100" s="84">
        <v>0</v>
      </c>
      <c r="E100" s="108">
        <v>8700</v>
      </c>
      <c r="F100" s="108">
        <f t="shared" si="26"/>
        <v>8700</v>
      </c>
      <c r="G100" s="109">
        <f t="shared" si="22"/>
        <v>1814</v>
      </c>
      <c r="H100" s="108"/>
      <c r="I100" s="108"/>
      <c r="J100" s="108"/>
      <c r="K100" s="108"/>
      <c r="L100" s="108"/>
      <c r="M100" s="110">
        <v>1814</v>
      </c>
      <c r="N100" s="137">
        <f t="shared" si="16"/>
        <v>0.20850574712643677</v>
      </c>
    </row>
    <row r="101" spans="1:14" ht="16.5" hidden="1" customHeight="1" x14ac:dyDescent="0.25">
      <c r="A101" s="266">
        <v>5081</v>
      </c>
      <c r="B101" s="83">
        <v>742400</v>
      </c>
      <c r="C101" s="84" t="s">
        <v>104</v>
      </c>
      <c r="D101" s="84"/>
      <c r="E101" s="108"/>
      <c r="F101" s="108">
        <f t="shared" si="26"/>
        <v>0</v>
      </c>
      <c r="G101" s="109">
        <f t="shared" si="22"/>
        <v>0</v>
      </c>
      <c r="H101" s="108"/>
      <c r="I101" s="108"/>
      <c r="J101" s="108"/>
      <c r="K101" s="108"/>
      <c r="L101" s="108"/>
      <c r="M101" s="110"/>
      <c r="N101" s="137" t="e">
        <f t="shared" si="16"/>
        <v>#DIV/0!</v>
      </c>
    </row>
    <row r="102" spans="1:14" ht="16.5" hidden="1" customHeight="1" x14ac:dyDescent="0.25">
      <c r="A102" s="490">
        <v>5082</v>
      </c>
      <c r="B102" s="488">
        <v>743000</v>
      </c>
      <c r="C102" s="82" t="s">
        <v>105</v>
      </c>
      <c r="D102" s="82"/>
      <c r="E102" s="100">
        <f>SUM(E107:E112)</f>
        <v>0</v>
      </c>
      <c r="F102" s="108">
        <f t="shared" si="26"/>
        <v>0</v>
      </c>
      <c r="G102" s="100">
        <f t="shared" si="22"/>
        <v>0</v>
      </c>
      <c r="H102" s="100">
        <f t="shared" ref="H102:M102" si="27">SUM(H107:H112)</f>
        <v>0</v>
      </c>
      <c r="I102" s="100">
        <f t="shared" si="27"/>
        <v>0</v>
      </c>
      <c r="J102" s="100">
        <f t="shared" si="27"/>
        <v>0</v>
      </c>
      <c r="K102" s="100">
        <f t="shared" si="27"/>
        <v>0</v>
      </c>
      <c r="L102" s="100">
        <f t="shared" si="27"/>
        <v>0</v>
      </c>
      <c r="M102" s="101">
        <f t="shared" si="27"/>
        <v>0</v>
      </c>
      <c r="N102" s="137" t="e">
        <f t="shared" si="16"/>
        <v>#DIV/0!</v>
      </c>
    </row>
    <row r="103" spans="1:14" ht="16.5" hidden="1" customHeight="1" x14ac:dyDescent="0.25">
      <c r="A103" s="645" t="s">
        <v>0</v>
      </c>
      <c r="B103" s="646" t="s">
        <v>1</v>
      </c>
      <c r="C103" s="585" t="s">
        <v>2</v>
      </c>
      <c r="D103" s="486"/>
      <c r="E103" s="575" t="s">
        <v>3</v>
      </c>
      <c r="F103" s="108" t="e">
        <f t="shared" si="26"/>
        <v>#VALUE!</v>
      </c>
      <c r="G103" s="575" t="s">
        <v>4</v>
      </c>
      <c r="H103" s="575"/>
      <c r="I103" s="575"/>
      <c r="J103" s="575"/>
      <c r="K103" s="575"/>
      <c r="L103" s="575"/>
      <c r="M103" s="582"/>
      <c r="N103" s="137" t="e">
        <f t="shared" si="16"/>
        <v>#VALUE!</v>
      </c>
    </row>
    <row r="104" spans="1:14" ht="16.5" hidden="1" customHeight="1" x14ac:dyDescent="0.25">
      <c r="A104" s="645"/>
      <c r="B104" s="646"/>
      <c r="C104" s="585"/>
      <c r="D104" s="486"/>
      <c r="E104" s="575"/>
      <c r="F104" s="108">
        <f t="shared" si="26"/>
        <v>0</v>
      </c>
      <c r="G104" s="581" t="s">
        <v>5</v>
      </c>
      <c r="H104" s="575" t="s">
        <v>6</v>
      </c>
      <c r="I104" s="575"/>
      <c r="J104" s="575"/>
      <c r="K104" s="575"/>
      <c r="L104" s="575" t="s">
        <v>7</v>
      </c>
      <c r="M104" s="582" t="s">
        <v>8</v>
      </c>
      <c r="N104" s="137" t="e">
        <f t="shared" si="16"/>
        <v>#VALUE!</v>
      </c>
    </row>
    <row r="105" spans="1:14" ht="16.5" hidden="1" customHeight="1" x14ac:dyDescent="0.25">
      <c r="A105" s="645"/>
      <c r="B105" s="646"/>
      <c r="C105" s="585"/>
      <c r="D105" s="486"/>
      <c r="E105" s="575"/>
      <c r="F105" s="108">
        <f t="shared" si="26"/>
        <v>0</v>
      </c>
      <c r="G105" s="581"/>
      <c r="H105" s="487" t="s">
        <v>9</v>
      </c>
      <c r="I105" s="487" t="s">
        <v>10</v>
      </c>
      <c r="J105" s="487" t="s">
        <v>11</v>
      </c>
      <c r="K105" s="487" t="s">
        <v>12</v>
      </c>
      <c r="L105" s="575"/>
      <c r="M105" s="582"/>
      <c r="N105" s="137" t="e">
        <f t="shared" si="16"/>
        <v>#DIV/0!</v>
      </c>
    </row>
    <row r="106" spans="1:14" ht="16.5" hidden="1" customHeight="1" x14ac:dyDescent="0.25">
      <c r="A106" s="270" t="s">
        <v>18</v>
      </c>
      <c r="B106" s="491" t="s">
        <v>19</v>
      </c>
      <c r="C106" s="485" t="s">
        <v>20</v>
      </c>
      <c r="D106" s="485"/>
      <c r="E106" s="86" t="s">
        <v>21</v>
      </c>
      <c r="F106" s="108">
        <f t="shared" si="26"/>
        <v>4</v>
      </c>
      <c r="G106" s="86" t="s">
        <v>22</v>
      </c>
      <c r="H106" s="86" t="s">
        <v>23</v>
      </c>
      <c r="I106" s="86" t="s">
        <v>24</v>
      </c>
      <c r="J106" s="86" t="s">
        <v>25</v>
      </c>
      <c r="K106" s="86" t="s">
        <v>26</v>
      </c>
      <c r="L106" s="86" t="s">
        <v>27</v>
      </c>
      <c r="M106" s="98" t="s">
        <v>28</v>
      </c>
      <c r="N106" s="137">
        <f t="shared" si="16"/>
        <v>1.25</v>
      </c>
    </row>
    <row r="107" spans="1:14" ht="16.5" hidden="1" customHeight="1" x14ac:dyDescent="0.25">
      <c r="A107" s="266">
        <v>5083</v>
      </c>
      <c r="B107" s="83">
        <v>743100</v>
      </c>
      <c r="C107" s="84" t="s">
        <v>106</v>
      </c>
      <c r="D107" s="84"/>
      <c r="E107" s="108"/>
      <c r="F107" s="108">
        <f t="shared" si="26"/>
        <v>0</v>
      </c>
      <c r="G107" s="109">
        <f t="shared" si="22"/>
        <v>0</v>
      </c>
      <c r="H107" s="108"/>
      <c r="I107" s="108"/>
      <c r="J107" s="108"/>
      <c r="K107" s="108"/>
      <c r="L107" s="108"/>
      <c r="M107" s="110"/>
      <c r="N107" s="137" t="e">
        <f t="shared" si="16"/>
        <v>#DIV/0!</v>
      </c>
    </row>
    <row r="108" spans="1:14" ht="16.5" hidden="1" customHeight="1" x14ac:dyDescent="0.25">
      <c r="A108" s="266">
        <v>5084</v>
      </c>
      <c r="B108" s="83">
        <v>743200</v>
      </c>
      <c r="C108" s="84" t="s">
        <v>107</v>
      </c>
      <c r="D108" s="84"/>
      <c r="E108" s="108"/>
      <c r="F108" s="108">
        <f t="shared" si="26"/>
        <v>0</v>
      </c>
      <c r="G108" s="109">
        <f t="shared" si="22"/>
        <v>0</v>
      </c>
      <c r="H108" s="108"/>
      <c r="I108" s="108"/>
      <c r="J108" s="108"/>
      <c r="K108" s="108"/>
      <c r="L108" s="108"/>
      <c r="M108" s="110"/>
      <c r="N108" s="137" t="e">
        <f t="shared" si="16"/>
        <v>#DIV/0!</v>
      </c>
    </row>
    <row r="109" spans="1:14" ht="16.5" hidden="1" customHeight="1" x14ac:dyDescent="0.25">
      <c r="A109" s="266">
        <v>5085</v>
      </c>
      <c r="B109" s="83">
        <v>743300</v>
      </c>
      <c r="C109" s="84" t="s">
        <v>108</v>
      </c>
      <c r="D109" s="84"/>
      <c r="E109" s="108"/>
      <c r="F109" s="108">
        <f t="shared" si="26"/>
        <v>0</v>
      </c>
      <c r="G109" s="109">
        <f t="shared" si="22"/>
        <v>0</v>
      </c>
      <c r="H109" s="108"/>
      <c r="I109" s="108"/>
      <c r="J109" s="108"/>
      <c r="K109" s="108"/>
      <c r="L109" s="108"/>
      <c r="M109" s="110"/>
      <c r="N109" s="137" t="e">
        <f t="shared" si="16"/>
        <v>#DIV/0!</v>
      </c>
    </row>
    <row r="110" spans="1:14" ht="16.5" hidden="1" customHeight="1" x14ac:dyDescent="0.25">
      <c r="A110" s="266">
        <v>5086</v>
      </c>
      <c r="B110" s="83">
        <v>743400</v>
      </c>
      <c r="C110" s="84" t="s">
        <v>109</v>
      </c>
      <c r="D110" s="84"/>
      <c r="E110" s="108"/>
      <c r="F110" s="108">
        <f t="shared" si="26"/>
        <v>0</v>
      </c>
      <c r="G110" s="109">
        <f t="shared" si="22"/>
        <v>0</v>
      </c>
      <c r="H110" s="108"/>
      <c r="I110" s="108"/>
      <c r="J110" s="108"/>
      <c r="K110" s="108"/>
      <c r="L110" s="108"/>
      <c r="M110" s="110"/>
      <c r="N110" s="137" t="e">
        <f t="shared" si="16"/>
        <v>#DIV/0!</v>
      </c>
    </row>
    <row r="111" spans="1:14" ht="16.5" hidden="1" customHeight="1" x14ac:dyDescent="0.25">
      <c r="A111" s="266">
        <v>5087</v>
      </c>
      <c r="B111" s="83">
        <v>743500</v>
      </c>
      <c r="C111" s="84" t="s">
        <v>110</v>
      </c>
      <c r="D111" s="84"/>
      <c r="E111" s="108"/>
      <c r="F111" s="108">
        <f t="shared" si="26"/>
        <v>0</v>
      </c>
      <c r="G111" s="109">
        <f t="shared" si="22"/>
        <v>0</v>
      </c>
      <c r="H111" s="108"/>
      <c r="I111" s="108"/>
      <c r="J111" s="108"/>
      <c r="K111" s="108"/>
      <c r="L111" s="108"/>
      <c r="M111" s="110"/>
      <c r="N111" s="137" t="e">
        <f t="shared" si="16"/>
        <v>#DIV/0!</v>
      </c>
    </row>
    <row r="112" spans="1:14" ht="1.5" hidden="1" customHeight="1" x14ac:dyDescent="0.25">
      <c r="A112" s="266">
        <v>5088</v>
      </c>
      <c r="B112" s="83">
        <v>743900</v>
      </c>
      <c r="C112" s="84" t="s">
        <v>111</v>
      </c>
      <c r="D112" s="84"/>
      <c r="E112" s="108"/>
      <c r="F112" s="108">
        <f t="shared" si="26"/>
        <v>0</v>
      </c>
      <c r="G112" s="109">
        <f t="shared" si="22"/>
        <v>0</v>
      </c>
      <c r="H112" s="108"/>
      <c r="I112" s="108"/>
      <c r="J112" s="108"/>
      <c r="K112" s="108"/>
      <c r="L112" s="108"/>
      <c r="M112" s="110"/>
      <c r="N112" s="137" t="e">
        <f t="shared" si="16"/>
        <v>#DIV/0!</v>
      </c>
    </row>
    <row r="113" spans="1:14" ht="12.75" customHeight="1" x14ac:dyDescent="0.25">
      <c r="A113" s="490">
        <v>5089</v>
      </c>
      <c r="B113" s="488">
        <v>744000</v>
      </c>
      <c r="C113" s="82" t="s">
        <v>533</v>
      </c>
      <c r="D113" s="82">
        <f>D114+D115</f>
        <v>185</v>
      </c>
      <c r="E113" s="100">
        <f>E114+E115</f>
        <v>100</v>
      </c>
      <c r="F113" s="100">
        <f>F114+F115</f>
        <v>285</v>
      </c>
      <c r="G113" s="100">
        <f t="shared" si="22"/>
        <v>185</v>
      </c>
      <c r="H113" s="100">
        <f t="shared" ref="H113:M113" si="28">H114+H115</f>
        <v>0</v>
      </c>
      <c r="I113" s="100">
        <f t="shared" si="28"/>
        <v>0</v>
      </c>
      <c r="J113" s="100">
        <f t="shared" si="28"/>
        <v>0</v>
      </c>
      <c r="K113" s="100">
        <f t="shared" si="28"/>
        <v>0</v>
      </c>
      <c r="L113" s="100">
        <f t="shared" si="28"/>
        <v>0</v>
      </c>
      <c r="M113" s="101">
        <f t="shared" si="28"/>
        <v>185</v>
      </c>
      <c r="N113" s="137">
        <f t="shared" si="16"/>
        <v>0.64912280701754388</v>
      </c>
    </row>
    <row r="114" spans="1:14" ht="12.75" customHeight="1" x14ac:dyDescent="0.25">
      <c r="A114" s="266">
        <v>5090</v>
      </c>
      <c r="B114" s="83">
        <v>744100</v>
      </c>
      <c r="C114" s="84" t="s">
        <v>113</v>
      </c>
      <c r="D114" s="84">
        <v>185</v>
      </c>
      <c r="E114" s="108">
        <v>100</v>
      </c>
      <c r="F114" s="108">
        <f>D114+E114</f>
        <v>285</v>
      </c>
      <c r="G114" s="109">
        <f t="shared" si="22"/>
        <v>185</v>
      </c>
      <c r="H114" s="108"/>
      <c r="I114" s="108"/>
      <c r="J114" s="108"/>
      <c r="K114" s="108"/>
      <c r="L114" s="108"/>
      <c r="M114" s="110">
        <v>185</v>
      </c>
      <c r="N114" s="137">
        <f t="shared" si="16"/>
        <v>0.64912280701754388</v>
      </c>
    </row>
    <row r="115" spans="1:14" ht="16.5" hidden="1" customHeight="1" x14ac:dyDescent="0.25">
      <c r="A115" s="266">
        <v>5091</v>
      </c>
      <c r="B115" s="83">
        <v>744200</v>
      </c>
      <c r="C115" s="84" t="s">
        <v>114</v>
      </c>
      <c r="D115" s="84"/>
      <c r="E115" s="108"/>
      <c r="F115" s="108"/>
      <c r="G115" s="109">
        <f t="shared" si="22"/>
        <v>0</v>
      </c>
      <c r="H115" s="108"/>
      <c r="I115" s="108"/>
      <c r="J115" s="108"/>
      <c r="K115" s="108"/>
      <c r="L115" s="108"/>
      <c r="M115" s="110"/>
      <c r="N115" s="137" t="e">
        <f t="shared" si="16"/>
        <v>#DIV/0!</v>
      </c>
    </row>
    <row r="116" spans="1:14" ht="16.5" hidden="1" customHeight="1" x14ac:dyDescent="0.25">
      <c r="A116" s="490">
        <v>5092</v>
      </c>
      <c r="B116" s="488">
        <v>745000</v>
      </c>
      <c r="C116" s="82" t="s">
        <v>115</v>
      </c>
      <c r="D116" s="82"/>
      <c r="E116" s="100">
        <f>E117</f>
        <v>0</v>
      </c>
      <c r="F116" s="100">
        <f>F117</f>
        <v>0</v>
      </c>
      <c r="G116" s="100">
        <f t="shared" si="22"/>
        <v>0</v>
      </c>
      <c r="H116" s="100">
        <f t="shared" ref="H116:M116" si="29">H117</f>
        <v>0</v>
      </c>
      <c r="I116" s="100">
        <f t="shared" si="29"/>
        <v>0</v>
      </c>
      <c r="J116" s="100">
        <f t="shared" si="29"/>
        <v>0</v>
      </c>
      <c r="K116" s="100">
        <f t="shared" si="29"/>
        <v>0</v>
      </c>
      <c r="L116" s="100">
        <f t="shared" si="29"/>
        <v>0</v>
      </c>
      <c r="M116" s="101">
        <f t="shared" si="29"/>
        <v>0</v>
      </c>
      <c r="N116" s="137" t="e">
        <f t="shared" si="16"/>
        <v>#DIV/0!</v>
      </c>
    </row>
    <row r="117" spans="1:14" ht="16.5" hidden="1" customHeight="1" x14ac:dyDescent="0.25">
      <c r="A117" s="266">
        <v>5093</v>
      </c>
      <c r="B117" s="83">
        <v>745100</v>
      </c>
      <c r="C117" s="84" t="s">
        <v>116</v>
      </c>
      <c r="D117" s="84"/>
      <c r="E117" s="108"/>
      <c r="F117" s="108"/>
      <c r="G117" s="109">
        <f t="shared" si="22"/>
        <v>0</v>
      </c>
      <c r="H117" s="108"/>
      <c r="I117" s="108"/>
      <c r="J117" s="108"/>
      <c r="K117" s="108"/>
      <c r="L117" s="108"/>
      <c r="M117" s="110"/>
      <c r="N117" s="137" t="e">
        <f t="shared" si="16"/>
        <v>#DIV/0!</v>
      </c>
    </row>
    <row r="118" spans="1:14" ht="16.5" hidden="1" customHeight="1" x14ac:dyDescent="0.25">
      <c r="A118" s="490">
        <v>5094</v>
      </c>
      <c r="B118" s="488">
        <v>770000</v>
      </c>
      <c r="C118" s="82" t="s">
        <v>117</v>
      </c>
      <c r="D118" s="82"/>
      <c r="E118" s="100">
        <f>E119+E121</f>
        <v>0</v>
      </c>
      <c r="F118" s="100">
        <f>F119+F121</f>
        <v>0</v>
      </c>
      <c r="G118" s="100">
        <f t="shared" si="22"/>
        <v>0</v>
      </c>
      <c r="H118" s="100">
        <f t="shared" ref="H118:M118" si="30">H119+H121</f>
        <v>0</v>
      </c>
      <c r="I118" s="100">
        <f t="shared" si="30"/>
        <v>0</v>
      </c>
      <c r="J118" s="100">
        <f t="shared" si="30"/>
        <v>0</v>
      </c>
      <c r="K118" s="100">
        <f t="shared" si="30"/>
        <v>0</v>
      </c>
      <c r="L118" s="100">
        <f t="shared" si="30"/>
        <v>0</v>
      </c>
      <c r="M118" s="101">
        <f t="shared" si="30"/>
        <v>0</v>
      </c>
      <c r="N118" s="137" t="e">
        <f t="shared" si="16"/>
        <v>#DIV/0!</v>
      </c>
    </row>
    <row r="119" spans="1:14" ht="16.5" hidden="1" customHeight="1" x14ac:dyDescent="0.25">
      <c r="A119" s="490">
        <v>5095</v>
      </c>
      <c r="B119" s="488">
        <v>771000</v>
      </c>
      <c r="C119" s="82" t="s">
        <v>118</v>
      </c>
      <c r="D119" s="82"/>
      <c r="E119" s="100">
        <f>E120</f>
        <v>0</v>
      </c>
      <c r="F119" s="100">
        <f>F120</f>
        <v>0</v>
      </c>
      <c r="G119" s="100">
        <f t="shared" si="22"/>
        <v>0</v>
      </c>
      <c r="H119" s="100">
        <f t="shared" ref="H119:M119" si="31">H120</f>
        <v>0</v>
      </c>
      <c r="I119" s="100">
        <f t="shared" si="31"/>
        <v>0</v>
      </c>
      <c r="J119" s="100">
        <f t="shared" si="31"/>
        <v>0</v>
      </c>
      <c r="K119" s="100">
        <f t="shared" si="31"/>
        <v>0</v>
      </c>
      <c r="L119" s="100">
        <f t="shared" si="31"/>
        <v>0</v>
      </c>
      <c r="M119" s="101">
        <f t="shared" si="31"/>
        <v>0</v>
      </c>
      <c r="N119" s="137" t="e">
        <f t="shared" si="16"/>
        <v>#DIV/0!</v>
      </c>
    </row>
    <row r="120" spans="1:14" ht="16.5" hidden="1" customHeight="1" x14ac:dyDescent="0.25">
      <c r="A120" s="266">
        <v>5096</v>
      </c>
      <c r="B120" s="83">
        <v>771100</v>
      </c>
      <c r="C120" s="84" t="s">
        <v>119</v>
      </c>
      <c r="D120" s="84"/>
      <c r="E120" s="108"/>
      <c r="F120" s="108"/>
      <c r="G120" s="109">
        <f t="shared" si="22"/>
        <v>0</v>
      </c>
      <c r="H120" s="108"/>
      <c r="I120" s="108"/>
      <c r="J120" s="108"/>
      <c r="K120" s="108"/>
      <c r="L120" s="108"/>
      <c r="M120" s="110"/>
      <c r="N120" s="137" t="e">
        <f t="shared" si="16"/>
        <v>#DIV/0!</v>
      </c>
    </row>
    <row r="121" spans="1:14" ht="16.5" hidden="1" customHeight="1" x14ac:dyDescent="0.25">
      <c r="A121" s="490">
        <v>5097</v>
      </c>
      <c r="B121" s="488">
        <v>772000</v>
      </c>
      <c r="C121" s="82" t="s">
        <v>120</v>
      </c>
      <c r="D121" s="82"/>
      <c r="E121" s="100">
        <f>E122</f>
        <v>0</v>
      </c>
      <c r="F121" s="100">
        <f>F122</f>
        <v>0</v>
      </c>
      <c r="G121" s="100">
        <f t="shared" si="22"/>
        <v>0</v>
      </c>
      <c r="H121" s="100">
        <f t="shared" ref="H121:M121" si="32">H122</f>
        <v>0</v>
      </c>
      <c r="I121" s="100">
        <f t="shared" si="32"/>
        <v>0</v>
      </c>
      <c r="J121" s="100">
        <f t="shared" si="32"/>
        <v>0</v>
      </c>
      <c r="K121" s="100">
        <f t="shared" si="32"/>
        <v>0</v>
      </c>
      <c r="L121" s="100">
        <f t="shared" si="32"/>
        <v>0</v>
      </c>
      <c r="M121" s="101">
        <f t="shared" si="32"/>
        <v>0</v>
      </c>
      <c r="N121" s="137" t="e">
        <f t="shared" si="16"/>
        <v>#DIV/0!</v>
      </c>
    </row>
    <row r="122" spans="1:14" ht="16.5" hidden="1" customHeight="1" x14ac:dyDescent="0.25">
      <c r="A122" s="266">
        <v>5098</v>
      </c>
      <c r="B122" s="83">
        <v>772100</v>
      </c>
      <c r="C122" s="84" t="s">
        <v>121</v>
      </c>
      <c r="D122" s="84"/>
      <c r="E122" s="108"/>
      <c r="F122" s="108"/>
      <c r="G122" s="109">
        <f t="shared" si="22"/>
        <v>0</v>
      </c>
      <c r="H122" s="108"/>
      <c r="I122" s="108"/>
      <c r="J122" s="108"/>
      <c r="K122" s="108"/>
      <c r="L122" s="108"/>
      <c r="M122" s="110"/>
      <c r="N122" s="137" t="e">
        <f t="shared" si="16"/>
        <v>#DIV/0!</v>
      </c>
    </row>
    <row r="123" spans="1:14" ht="12.75" customHeight="1" x14ac:dyDescent="0.25">
      <c r="A123" s="490">
        <v>5099</v>
      </c>
      <c r="B123" s="488">
        <v>780000</v>
      </c>
      <c r="C123" s="82" t="s">
        <v>122</v>
      </c>
      <c r="D123" s="100">
        <f>D124</f>
        <v>0</v>
      </c>
      <c r="E123" s="100">
        <f>E124</f>
        <v>1597834</v>
      </c>
      <c r="F123" s="100">
        <f>F124</f>
        <v>1597834</v>
      </c>
      <c r="G123" s="100">
        <f t="shared" ref="G123:G162" si="33">SUM(H123:M123)</f>
        <v>381946</v>
      </c>
      <c r="H123" s="100">
        <f t="shared" ref="H123:M123" si="34">H124</f>
        <v>0</v>
      </c>
      <c r="I123" s="100">
        <f t="shared" si="34"/>
        <v>0</v>
      </c>
      <c r="J123" s="100">
        <f t="shared" si="34"/>
        <v>0</v>
      </c>
      <c r="K123" s="100">
        <f t="shared" si="34"/>
        <v>381946</v>
      </c>
      <c r="L123" s="100">
        <f t="shared" si="34"/>
        <v>0</v>
      </c>
      <c r="M123" s="101">
        <f t="shared" si="34"/>
        <v>0</v>
      </c>
      <c r="N123" s="137">
        <f t="shared" si="16"/>
        <v>0.23903985019720447</v>
      </c>
    </row>
    <row r="124" spans="1:14" ht="12.75" customHeight="1" x14ac:dyDescent="0.25">
      <c r="A124" s="490">
        <v>5100</v>
      </c>
      <c r="B124" s="488">
        <v>781000</v>
      </c>
      <c r="C124" s="82" t="s">
        <v>123</v>
      </c>
      <c r="D124" s="100">
        <f>D125+D126</f>
        <v>0</v>
      </c>
      <c r="E124" s="100">
        <f>E125+E126</f>
        <v>1597834</v>
      </c>
      <c r="F124" s="100">
        <f>F125+F126</f>
        <v>1597834</v>
      </c>
      <c r="G124" s="100">
        <f t="shared" si="33"/>
        <v>381946</v>
      </c>
      <c r="H124" s="100">
        <f t="shared" ref="H124:M124" si="35">H125+H126</f>
        <v>0</v>
      </c>
      <c r="I124" s="100">
        <f t="shared" si="35"/>
        <v>0</v>
      </c>
      <c r="J124" s="100">
        <f t="shared" si="35"/>
        <v>0</v>
      </c>
      <c r="K124" s="100">
        <f t="shared" si="35"/>
        <v>381946</v>
      </c>
      <c r="L124" s="100">
        <f t="shared" si="35"/>
        <v>0</v>
      </c>
      <c r="M124" s="101">
        <f t="shared" si="35"/>
        <v>0</v>
      </c>
      <c r="N124" s="137">
        <f t="shared" si="16"/>
        <v>0.23903985019720447</v>
      </c>
    </row>
    <row r="125" spans="1:14" ht="12.75" customHeight="1" x14ac:dyDescent="0.25">
      <c r="A125" s="266">
        <v>5101</v>
      </c>
      <c r="B125" s="83">
        <v>781100</v>
      </c>
      <c r="C125" s="84" t="s">
        <v>124</v>
      </c>
      <c r="D125" s="108">
        <v>0</v>
      </c>
      <c r="E125" s="108">
        <v>1597834</v>
      </c>
      <c r="F125" s="108">
        <f>D125+E125</f>
        <v>1597834</v>
      </c>
      <c r="G125" s="109">
        <f>SUM(H125:M125)</f>
        <v>381946</v>
      </c>
      <c r="H125" s="108"/>
      <c r="I125" s="108"/>
      <c r="J125" s="108"/>
      <c r="K125" s="108">
        <v>381946</v>
      </c>
      <c r="L125" s="108"/>
      <c r="M125" s="110"/>
      <c r="N125" s="137">
        <f t="shared" si="16"/>
        <v>0.23903985019720447</v>
      </c>
    </row>
    <row r="126" spans="1:14" ht="16.5" hidden="1" customHeight="1" x14ac:dyDescent="0.25">
      <c r="A126" s="266">
        <v>5102</v>
      </c>
      <c r="B126" s="83">
        <v>781300</v>
      </c>
      <c r="C126" s="84" t="s">
        <v>125</v>
      </c>
      <c r="D126" s="84">
        <f>D131</f>
        <v>0</v>
      </c>
      <c r="E126" s="108"/>
      <c r="F126" s="108"/>
      <c r="G126" s="109">
        <f t="shared" si="33"/>
        <v>0</v>
      </c>
      <c r="H126" s="108"/>
      <c r="I126" s="108"/>
      <c r="J126" s="108"/>
      <c r="K126" s="108"/>
      <c r="L126" s="108"/>
      <c r="M126" s="110"/>
      <c r="N126" s="137" t="e">
        <f t="shared" si="16"/>
        <v>#DIV/0!</v>
      </c>
    </row>
    <row r="127" spans="1:14" ht="12.75" customHeight="1" x14ac:dyDescent="0.25">
      <c r="A127" s="490">
        <v>5103</v>
      </c>
      <c r="B127" s="488">
        <v>790000</v>
      </c>
      <c r="C127" s="82" t="s">
        <v>126</v>
      </c>
      <c r="D127" s="82">
        <f>D128</f>
        <v>0</v>
      </c>
      <c r="E127" s="100">
        <f>E128</f>
        <v>26000</v>
      </c>
      <c r="F127" s="100">
        <f>F128</f>
        <v>26000</v>
      </c>
      <c r="G127" s="100">
        <f t="shared" si="33"/>
        <v>51</v>
      </c>
      <c r="H127" s="100">
        <f t="shared" ref="H127:M127" si="36">H128</f>
        <v>51</v>
      </c>
      <c r="I127" s="100">
        <f t="shared" si="36"/>
        <v>0</v>
      </c>
      <c r="J127" s="100">
        <f t="shared" si="36"/>
        <v>0</v>
      </c>
      <c r="K127" s="100">
        <f t="shared" si="36"/>
        <v>0</v>
      </c>
      <c r="L127" s="100">
        <f t="shared" si="36"/>
        <v>0</v>
      </c>
      <c r="M127" s="101">
        <f t="shared" si="36"/>
        <v>0</v>
      </c>
      <c r="N127" s="137">
        <f t="shared" si="16"/>
        <v>1.9615384615384616E-3</v>
      </c>
    </row>
    <row r="128" spans="1:14" ht="12.75" customHeight="1" x14ac:dyDescent="0.25">
      <c r="A128" s="490">
        <v>5104</v>
      </c>
      <c r="B128" s="488">
        <v>791000</v>
      </c>
      <c r="C128" s="82" t="s">
        <v>127</v>
      </c>
      <c r="D128" s="82">
        <f>D133</f>
        <v>0</v>
      </c>
      <c r="E128" s="100">
        <f>E133</f>
        <v>26000</v>
      </c>
      <c r="F128" s="100">
        <f>F133</f>
        <v>26000</v>
      </c>
      <c r="G128" s="100">
        <f t="shared" si="33"/>
        <v>51</v>
      </c>
      <c r="H128" s="100">
        <f t="shared" ref="H128:M128" si="37">H133</f>
        <v>51</v>
      </c>
      <c r="I128" s="100">
        <f t="shared" si="37"/>
        <v>0</v>
      </c>
      <c r="J128" s="100">
        <f t="shared" si="37"/>
        <v>0</v>
      </c>
      <c r="K128" s="100">
        <f t="shared" si="37"/>
        <v>0</v>
      </c>
      <c r="L128" s="100">
        <f t="shared" si="37"/>
        <v>0</v>
      </c>
      <c r="M128" s="101">
        <f t="shared" si="37"/>
        <v>0</v>
      </c>
      <c r="N128" s="137">
        <f t="shared" si="16"/>
        <v>1.9615384615384616E-3</v>
      </c>
    </row>
    <row r="129" spans="1:14" ht="16.5" hidden="1" customHeight="1" x14ac:dyDescent="0.25">
      <c r="A129" s="645" t="s">
        <v>0</v>
      </c>
      <c r="B129" s="646" t="s">
        <v>1</v>
      </c>
      <c r="C129" s="585" t="s">
        <v>2</v>
      </c>
      <c r="D129" s="486" t="e">
        <f>D130</f>
        <v>#REF!</v>
      </c>
      <c r="E129" s="575" t="s">
        <v>3</v>
      </c>
      <c r="F129" s="487" t="s">
        <v>3</v>
      </c>
      <c r="G129" s="575" t="s">
        <v>4</v>
      </c>
      <c r="H129" s="575"/>
      <c r="I129" s="575"/>
      <c r="J129" s="575"/>
      <c r="K129" s="575"/>
      <c r="L129" s="575"/>
      <c r="M129" s="582"/>
      <c r="N129" s="137" t="e">
        <f t="shared" si="16"/>
        <v>#VALUE!</v>
      </c>
    </row>
    <row r="130" spans="1:14" ht="16.5" hidden="1" customHeight="1" x14ac:dyDescent="0.25">
      <c r="A130" s="645"/>
      <c r="B130" s="646"/>
      <c r="C130" s="585"/>
      <c r="D130" s="486" t="e">
        <f>#REF!+D82</f>
        <v>#REF!</v>
      </c>
      <c r="E130" s="575"/>
      <c r="F130" s="487"/>
      <c r="G130" s="581" t="s">
        <v>5</v>
      </c>
      <c r="H130" s="575" t="s">
        <v>6</v>
      </c>
      <c r="I130" s="575"/>
      <c r="J130" s="575"/>
      <c r="K130" s="575"/>
      <c r="L130" s="575" t="s">
        <v>7</v>
      </c>
      <c r="M130" s="582" t="s">
        <v>8</v>
      </c>
      <c r="N130" s="137" t="e">
        <f t="shared" si="16"/>
        <v>#VALUE!</v>
      </c>
    </row>
    <row r="131" spans="1:14" ht="16.5" hidden="1" customHeight="1" x14ac:dyDescent="0.25">
      <c r="A131" s="645"/>
      <c r="B131" s="646"/>
      <c r="C131" s="585"/>
      <c r="D131" s="486"/>
      <c r="E131" s="575"/>
      <c r="F131" s="487"/>
      <c r="G131" s="581"/>
      <c r="H131" s="487" t="s">
        <v>9</v>
      </c>
      <c r="I131" s="487" t="s">
        <v>10</v>
      </c>
      <c r="J131" s="487" t="s">
        <v>11</v>
      </c>
      <c r="K131" s="487" t="s">
        <v>12</v>
      </c>
      <c r="L131" s="575"/>
      <c r="M131" s="582"/>
      <c r="N131" s="137" t="e">
        <f t="shared" si="16"/>
        <v>#DIV/0!</v>
      </c>
    </row>
    <row r="132" spans="1:14" ht="16.5" hidden="1" customHeight="1" x14ac:dyDescent="0.25">
      <c r="A132" s="270" t="s">
        <v>18</v>
      </c>
      <c r="B132" s="491" t="s">
        <v>19</v>
      </c>
      <c r="C132" s="485" t="s">
        <v>20</v>
      </c>
      <c r="D132" s="485"/>
      <c r="E132" s="86" t="s">
        <v>21</v>
      </c>
      <c r="F132" s="86" t="s">
        <v>21</v>
      </c>
      <c r="G132" s="86" t="s">
        <v>22</v>
      </c>
      <c r="H132" s="86" t="s">
        <v>23</v>
      </c>
      <c r="I132" s="86" t="s">
        <v>24</v>
      </c>
      <c r="J132" s="86" t="s">
        <v>25</v>
      </c>
      <c r="K132" s="86" t="s">
        <v>26</v>
      </c>
      <c r="L132" s="86" t="s">
        <v>27</v>
      </c>
      <c r="M132" s="98" t="s">
        <v>28</v>
      </c>
      <c r="N132" s="137">
        <f t="shared" si="16"/>
        <v>1.25</v>
      </c>
    </row>
    <row r="133" spans="1:14" ht="12.75" customHeight="1" x14ac:dyDescent="0.25">
      <c r="A133" s="266">
        <v>5105</v>
      </c>
      <c r="B133" s="83">
        <v>791100</v>
      </c>
      <c r="C133" s="84" t="s">
        <v>128</v>
      </c>
      <c r="D133" s="84">
        <v>0</v>
      </c>
      <c r="E133" s="108">
        <v>26000</v>
      </c>
      <c r="F133" s="108">
        <f>D133+E133</f>
        <v>26000</v>
      </c>
      <c r="G133" s="109">
        <f t="shared" si="33"/>
        <v>51</v>
      </c>
      <c r="H133" s="108">
        <v>51</v>
      </c>
      <c r="I133" s="108"/>
      <c r="J133" s="108"/>
      <c r="K133" s="108"/>
      <c r="L133" s="108"/>
      <c r="M133" s="110"/>
      <c r="N133" s="137">
        <f t="shared" si="16"/>
        <v>1.9615384615384616E-3</v>
      </c>
    </row>
    <row r="134" spans="1:14" ht="12.75" customHeight="1" x14ac:dyDescent="0.25">
      <c r="A134" s="490">
        <v>5106</v>
      </c>
      <c r="B134" s="488">
        <v>800000</v>
      </c>
      <c r="C134" s="82" t="s">
        <v>534</v>
      </c>
      <c r="D134" s="82">
        <f>D135+D142+D149+D152</f>
        <v>0</v>
      </c>
      <c r="E134" s="100">
        <f>E135+E142+E149+E152</f>
        <v>200</v>
      </c>
      <c r="F134" s="100">
        <f>F135+F142+F149+F152</f>
        <v>200</v>
      </c>
      <c r="G134" s="100">
        <f t="shared" si="33"/>
        <v>0</v>
      </c>
      <c r="H134" s="100">
        <f t="shared" ref="H134:M134" si="38">H135+H142+H149+H152</f>
        <v>0</v>
      </c>
      <c r="I134" s="100">
        <f t="shared" si="38"/>
        <v>0</v>
      </c>
      <c r="J134" s="100">
        <f t="shared" si="38"/>
        <v>0</v>
      </c>
      <c r="K134" s="100">
        <f t="shared" si="38"/>
        <v>0</v>
      </c>
      <c r="L134" s="100">
        <f t="shared" si="38"/>
        <v>0</v>
      </c>
      <c r="M134" s="101">
        <f t="shared" si="38"/>
        <v>0</v>
      </c>
      <c r="N134" s="137">
        <f t="shared" si="16"/>
        <v>0</v>
      </c>
    </row>
    <row r="135" spans="1:14" ht="12.75" customHeight="1" x14ac:dyDescent="0.25">
      <c r="A135" s="490">
        <v>5107</v>
      </c>
      <c r="B135" s="488">
        <v>810000</v>
      </c>
      <c r="C135" s="82" t="s">
        <v>535</v>
      </c>
      <c r="D135" s="82">
        <f>D136+D138+D140</f>
        <v>0</v>
      </c>
      <c r="E135" s="100">
        <f>E136+E138+E140</f>
        <v>200</v>
      </c>
      <c r="F135" s="100">
        <f>F136+F138+F140</f>
        <v>200</v>
      </c>
      <c r="G135" s="100">
        <f t="shared" si="33"/>
        <v>0</v>
      </c>
      <c r="H135" s="100">
        <f t="shared" ref="H135:M135" si="39">H136+H138+H140</f>
        <v>0</v>
      </c>
      <c r="I135" s="100">
        <f t="shared" si="39"/>
        <v>0</v>
      </c>
      <c r="J135" s="100">
        <f t="shared" si="39"/>
        <v>0</v>
      </c>
      <c r="K135" s="100">
        <f t="shared" si="39"/>
        <v>0</v>
      </c>
      <c r="L135" s="100">
        <f t="shared" si="39"/>
        <v>0</v>
      </c>
      <c r="M135" s="101">
        <f t="shared" si="39"/>
        <v>0</v>
      </c>
      <c r="N135" s="137">
        <f t="shared" si="16"/>
        <v>0</v>
      </c>
    </row>
    <row r="136" spans="1:14" ht="16.5" hidden="1" customHeight="1" x14ac:dyDescent="0.25">
      <c r="A136" s="490">
        <v>5108</v>
      </c>
      <c r="B136" s="488">
        <v>811000</v>
      </c>
      <c r="C136" s="82" t="s">
        <v>131</v>
      </c>
      <c r="D136" s="82">
        <f>D137</f>
        <v>0</v>
      </c>
      <c r="E136" s="100">
        <f>E137</f>
        <v>0</v>
      </c>
      <c r="F136" s="100">
        <f>F137</f>
        <v>0</v>
      </c>
      <c r="G136" s="100">
        <f t="shared" si="33"/>
        <v>0</v>
      </c>
      <c r="H136" s="100">
        <f t="shared" ref="H136:M136" si="40">H137</f>
        <v>0</v>
      </c>
      <c r="I136" s="100">
        <f t="shared" si="40"/>
        <v>0</v>
      </c>
      <c r="J136" s="100">
        <f t="shared" si="40"/>
        <v>0</v>
      </c>
      <c r="K136" s="100">
        <f t="shared" si="40"/>
        <v>0</v>
      </c>
      <c r="L136" s="100">
        <f t="shared" si="40"/>
        <v>0</v>
      </c>
      <c r="M136" s="101">
        <f t="shared" si="40"/>
        <v>0</v>
      </c>
      <c r="N136" s="137" t="e">
        <f t="shared" si="16"/>
        <v>#DIV/0!</v>
      </c>
    </row>
    <row r="137" spans="1:14" ht="16.5" hidden="1" customHeight="1" x14ac:dyDescent="0.25">
      <c r="A137" s="266">
        <v>5109</v>
      </c>
      <c r="B137" s="83">
        <v>811100</v>
      </c>
      <c r="C137" s="84" t="s">
        <v>132</v>
      </c>
      <c r="D137" s="84"/>
      <c r="E137" s="108"/>
      <c r="F137" s="108"/>
      <c r="G137" s="109">
        <f t="shared" si="33"/>
        <v>0</v>
      </c>
      <c r="H137" s="108"/>
      <c r="I137" s="108"/>
      <c r="J137" s="108"/>
      <c r="K137" s="108"/>
      <c r="L137" s="108"/>
      <c r="M137" s="110"/>
      <c r="N137" s="137" t="e">
        <f t="shared" si="16"/>
        <v>#DIV/0!</v>
      </c>
    </row>
    <row r="138" spans="1:14" ht="12.75" customHeight="1" x14ac:dyDescent="0.25">
      <c r="A138" s="490">
        <v>5110</v>
      </c>
      <c r="B138" s="488">
        <v>812000</v>
      </c>
      <c r="C138" s="82" t="s">
        <v>133</v>
      </c>
      <c r="D138" s="82">
        <f>D139</f>
        <v>0</v>
      </c>
      <c r="E138" s="100">
        <f>E139</f>
        <v>200</v>
      </c>
      <c r="F138" s="100">
        <f>F139</f>
        <v>200</v>
      </c>
      <c r="G138" s="100">
        <f t="shared" si="33"/>
        <v>0</v>
      </c>
      <c r="H138" s="100">
        <f t="shared" ref="H138:M138" si="41">H139</f>
        <v>0</v>
      </c>
      <c r="I138" s="100">
        <f t="shared" si="41"/>
        <v>0</v>
      </c>
      <c r="J138" s="100">
        <f t="shared" si="41"/>
        <v>0</v>
      </c>
      <c r="K138" s="100">
        <f t="shared" si="41"/>
        <v>0</v>
      </c>
      <c r="L138" s="100">
        <f t="shared" si="41"/>
        <v>0</v>
      </c>
      <c r="M138" s="101">
        <f t="shared" si="41"/>
        <v>0</v>
      </c>
      <c r="N138" s="137">
        <f t="shared" ref="N138:N201" si="42">G138/F138</f>
        <v>0</v>
      </c>
    </row>
    <row r="139" spans="1:14" ht="12.75" customHeight="1" x14ac:dyDescent="0.25">
      <c r="A139" s="266">
        <v>5111</v>
      </c>
      <c r="B139" s="83">
        <v>812100</v>
      </c>
      <c r="C139" s="84" t="s">
        <v>134</v>
      </c>
      <c r="D139" s="84">
        <v>0</v>
      </c>
      <c r="E139" s="108">
        <v>200</v>
      </c>
      <c r="F139" s="108">
        <f>D139+E139</f>
        <v>200</v>
      </c>
      <c r="G139" s="109">
        <f t="shared" si="33"/>
        <v>0</v>
      </c>
      <c r="H139" s="108"/>
      <c r="I139" s="108"/>
      <c r="J139" s="108"/>
      <c r="K139" s="108"/>
      <c r="L139" s="108"/>
      <c r="M139" s="110"/>
      <c r="N139" s="137">
        <f t="shared" si="42"/>
        <v>0</v>
      </c>
    </row>
    <row r="140" spans="1:14" ht="16.5" hidden="1" customHeight="1" x14ac:dyDescent="0.25">
      <c r="A140" s="490">
        <v>5112</v>
      </c>
      <c r="B140" s="488">
        <v>813000</v>
      </c>
      <c r="C140" s="82" t="s">
        <v>135</v>
      </c>
      <c r="D140" s="82"/>
      <c r="E140" s="100">
        <f>E141</f>
        <v>0</v>
      </c>
      <c r="F140" s="100">
        <f>F141</f>
        <v>0</v>
      </c>
      <c r="G140" s="100">
        <f t="shared" si="33"/>
        <v>0</v>
      </c>
      <c r="H140" s="100">
        <f t="shared" ref="H140:M140" si="43">H141</f>
        <v>0</v>
      </c>
      <c r="I140" s="100">
        <f t="shared" si="43"/>
        <v>0</v>
      </c>
      <c r="J140" s="100">
        <f t="shared" si="43"/>
        <v>0</v>
      </c>
      <c r="K140" s="100">
        <f t="shared" si="43"/>
        <v>0</v>
      </c>
      <c r="L140" s="100">
        <f t="shared" si="43"/>
        <v>0</v>
      </c>
      <c r="M140" s="101">
        <f t="shared" si="43"/>
        <v>0</v>
      </c>
      <c r="N140" s="137" t="e">
        <f t="shared" si="42"/>
        <v>#DIV/0!</v>
      </c>
    </row>
    <row r="141" spans="1:14" ht="16.5" hidden="1" customHeight="1" x14ac:dyDescent="0.25">
      <c r="A141" s="266">
        <v>5113</v>
      </c>
      <c r="B141" s="83">
        <v>813100</v>
      </c>
      <c r="C141" s="84" t="s">
        <v>136</v>
      </c>
      <c r="D141" s="84"/>
      <c r="E141" s="108"/>
      <c r="F141" s="108"/>
      <c r="G141" s="109">
        <f t="shared" si="33"/>
        <v>0</v>
      </c>
      <c r="H141" s="108"/>
      <c r="I141" s="108"/>
      <c r="J141" s="108"/>
      <c r="K141" s="108"/>
      <c r="L141" s="108"/>
      <c r="M141" s="110"/>
      <c r="N141" s="137" t="e">
        <f t="shared" si="42"/>
        <v>#DIV/0!</v>
      </c>
    </row>
    <row r="142" spans="1:14" ht="16.5" hidden="1" customHeight="1" x14ac:dyDescent="0.25">
      <c r="A142" s="490">
        <v>5114</v>
      </c>
      <c r="B142" s="488">
        <v>820000</v>
      </c>
      <c r="C142" s="82" t="s">
        <v>137</v>
      </c>
      <c r="D142" s="82"/>
      <c r="E142" s="100">
        <f>E143+E145+E147</f>
        <v>0</v>
      </c>
      <c r="F142" s="100">
        <f>F143+F145+F147</f>
        <v>0</v>
      </c>
      <c r="G142" s="100">
        <f t="shared" si="33"/>
        <v>0</v>
      </c>
      <c r="H142" s="100">
        <f t="shared" ref="H142:M142" si="44">H143+H145+H147</f>
        <v>0</v>
      </c>
      <c r="I142" s="100">
        <f t="shared" si="44"/>
        <v>0</v>
      </c>
      <c r="J142" s="100">
        <f t="shared" si="44"/>
        <v>0</v>
      </c>
      <c r="K142" s="100">
        <f t="shared" si="44"/>
        <v>0</v>
      </c>
      <c r="L142" s="100">
        <f t="shared" si="44"/>
        <v>0</v>
      </c>
      <c r="M142" s="101">
        <f t="shared" si="44"/>
        <v>0</v>
      </c>
      <c r="N142" s="137" t="e">
        <f t="shared" si="42"/>
        <v>#DIV/0!</v>
      </c>
    </row>
    <row r="143" spans="1:14" ht="16.5" hidden="1" customHeight="1" x14ac:dyDescent="0.25">
      <c r="A143" s="490">
        <v>5115</v>
      </c>
      <c r="B143" s="488">
        <v>821000</v>
      </c>
      <c r="C143" s="82" t="s">
        <v>138</v>
      </c>
      <c r="D143" s="82"/>
      <c r="E143" s="100">
        <f>E144</f>
        <v>0</v>
      </c>
      <c r="F143" s="100">
        <f>F144</f>
        <v>0</v>
      </c>
      <c r="G143" s="100">
        <f t="shared" si="33"/>
        <v>0</v>
      </c>
      <c r="H143" s="100">
        <f t="shared" ref="H143:M143" si="45">H144</f>
        <v>0</v>
      </c>
      <c r="I143" s="100">
        <f t="shared" si="45"/>
        <v>0</v>
      </c>
      <c r="J143" s="100">
        <f t="shared" si="45"/>
        <v>0</v>
      </c>
      <c r="K143" s="100">
        <f t="shared" si="45"/>
        <v>0</v>
      </c>
      <c r="L143" s="100">
        <f t="shared" si="45"/>
        <v>0</v>
      </c>
      <c r="M143" s="101">
        <f t="shared" si="45"/>
        <v>0</v>
      </c>
      <c r="N143" s="137" t="e">
        <f t="shared" si="42"/>
        <v>#DIV/0!</v>
      </c>
    </row>
    <row r="144" spans="1:14" ht="16.5" hidden="1" customHeight="1" x14ac:dyDescent="0.25">
      <c r="A144" s="266">
        <v>5116</v>
      </c>
      <c r="B144" s="83">
        <v>821100</v>
      </c>
      <c r="C144" s="84" t="s">
        <v>139</v>
      </c>
      <c r="D144" s="84"/>
      <c r="E144" s="108"/>
      <c r="F144" s="108"/>
      <c r="G144" s="109">
        <f t="shared" si="33"/>
        <v>0</v>
      </c>
      <c r="H144" s="108"/>
      <c r="I144" s="108"/>
      <c r="J144" s="108"/>
      <c r="K144" s="108"/>
      <c r="L144" s="108"/>
      <c r="M144" s="110"/>
      <c r="N144" s="137" t="e">
        <f t="shared" si="42"/>
        <v>#DIV/0!</v>
      </c>
    </row>
    <row r="145" spans="1:14" ht="16.5" hidden="1" customHeight="1" x14ac:dyDescent="0.25">
      <c r="A145" s="490">
        <v>5117</v>
      </c>
      <c r="B145" s="488">
        <v>822000</v>
      </c>
      <c r="C145" s="82" t="s">
        <v>140</v>
      </c>
      <c r="D145" s="82"/>
      <c r="E145" s="100">
        <f>E146</f>
        <v>0</v>
      </c>
      <c r="F145" s="100">
        <f>F146</f>
        <v>0</v>
      </c>
      <c r="G145" s="100">
        <f t="shared" si="33"/>
        <v>0</v>
      </c>
      <c r="H145" s="100">
        <f t="shared" ref="H145:M145" si="46">H146</f>
        <v>0</v>
      </c>
      <c r="I145" s="100">
        <f t="shared" si="46"/>
        <v>0</v>
      </c>
      <c r="J145" s="100">
        <f t="shared" si="46"/>
        <v>0</v>
      </c>
      <c r="K145" s="100">
        <f t="shared" si="46"/>
        <v>0</v>
      </c>
      <c r="L145" s="100">
        <f t="shared" si="46"/>
        <v>0</v>
      </c>
      <c r="M145" s="101">
        <f t="shared" si="46"/>
        <v>0</v>
      </c>
      <c r="N145" s="137" t="e">
        <f t="shared" si="42"/>
        <v>#DIV/0!</v>
      </c>
    </row>
    <row r="146" spans="1:14" ht="16.5" hidden="1" customHeight="1" x14ac:dyDescent="0.25">
      <c r="A146" s="266">
        <v>5118</v>
      </c>
      <c r="B146" s="83">
        <v>822100</v>
      </c>
      <c r="C146" s="84" t="s">
        <v>141</v>
      </c>
      <c r="D146" s="84"/>
      <c r="E146" s="108"/>
      <c r="F146" s="108"/>
      <c r="G146" s="109">
        <f t="shared" si="33"/>
        <v>0</v>
      </c>
      <c r="H146" s="108"/>
      <c r="I146" s="108"/>
      <c r="J146" s="108"/>
      <c r="K146" s="108"/>
      <c r="L146" s="108"/>
      <c r="M146" s="110"/>
      <c r="N146" s="137" t="e">
        <f t="shared" si="42"/>
        <v>#DIV/0!</v>
      </c>
    </row>
    <row r="147" spans="1:14" ht="16.5" hidden="1" customHeight="1" x14ac:dyDescent="0.25">
      <c r="A147" s="490">
        <v>5119</v>
      </c>
      <c r="B147" s="488">
        <v>823000</v>
      </c>
      <c r="C147" s="82" t="s">
        <v>142</v>
      </c>
      <c r="D147" s="82"/>
      <c r="E147" s="100">
        <f>E148</f>
        <v>0</v>
      </c>
      <c r="F147" s="100">
        <f>F148</f>
        <v>0</v>
      </c>
      <c r="G147" s="100">
        <f t="shared" si="33"/>
        <v>0</v>
      </c>
      <c r="H147" s="100">
        <f t="shared" ref="H147:M147" si="47">H148</f>
        <v>0</v>
      </c>
      <c r="I147" s="100">
        <f t="shared" si="47"/>
        <v>0</v>
      </c>
      <c r="J147" s="100">
        <f t="shared" si="47"/>
        <v>0</v>
      </c>
      <c r="K147" s="100">
        <f t="shared" si="47"/>
        <v>0</v>
      </c>
      <c r="L147" s="100">
        <f t="shared" si="47"/>
        <v>0</v>
      </c>
      <c r="M147" s="101">
        <f t="shared" si="47"/>
        <v>0</v>
      </c>
      <c r="N147" s="137" t="e">
        <f t="shared" si="42"/>
        <v>#DIV/0!</v>
      </c>
    </row>
    <row r="148" spans="1:14" ht="16.5" hidden="1" customHeight="1" x14ac:dyDescent="0.25">
      <c r="A148" s="266">
        <v>5120</v>
      </c>
      <c r="B148" s="83">
        <v>823100</v>
      </c>
      <c r="C148" s="84" t="s">
        <v>143</v>
      </c>
      <c r="D148" s="84"/>
      <c r="E148" s="108"/>
      <c r="F148" s="108"/>
      <c r="G148" s="109">
        <f t="shared" si="33"/>
        <v>0</v>
      </c>
      <c r="H148" s="108"/>
      <c r="I148" s="108"/>
      <c r="J148" s="108"/>
      <c r="K148" s="108"/>
      <c r="L148" s="108"/>
      <c r="M148" s="110"/>
      <c r="N148" s="137" t="e">
        <f t="shared" si="42"/>
        <v>#DIV/0!</v>
      </c>
    </row>
    <row r="149" spans="1:14" ht="16.5" hidden="1" customHeight="1" x14ac:dyDescent="0.25">
      <c r="A149" s="490">
        <v>5121</v>
      </c>
      <c r="B149" s="488">
        <v>830000</v>
      </c>
      <c r="C149" s="82" t="s">
        <v>144</v>
      </c>
      <c r="D149" s="82"/>
      <c r="E149" s="100">
        <f>E150</f>
        <v>0</v>
      </c>
      <c r="F149" s="100">
        <f>F150</f>
        <v>0</v>
      </c>
      <c r="G149" s="100">
        <f t="shared" si="33"/>
        <v>0</v>
      </c>
      <c r="H149" s="100">
        <f t="shared" ref="H149:M150" si="48">H150</f>
        <v>0</v>
      </c>
      <c r="I149" s="100">
        <f t="shared" si="48"/>
        <v>0</v>
      </c>
      <c r="J149" s="100">
        <f t="shared" si="48"/>
        <v>0</v>
      </c>
      <c r="K149" s="100">
        <f t="shared" si="48"/>
        <v>0</v>
      </c>
      <c r="L149" s="100">
        <f t="shared" si="48"/>
        <v>0</v>
      </c>
      <c r="M149" s="101">
        <f t="shared" si="48"/>
        <v>0</v>
      </c>
      <c r="N149" s="137" t="e">
        <f t="shared" si="42"/>
        <v>#DIV/0!</v>
      </c>
    </row>
    <row r="150" spans="1:14" ht="16.5" hidden="1" customHeight="1" x14ac:dyDescent="0.25">
      <c r="A150" s="490">
        <v>5122</v>
      </c>
      <c r="B150" s="488">
        <v>831000</v>
      </c>
      <c r="C150" s="82" t="s">
        <v>145</v>
      </c>
      <c r="D150" s="82"/>
      <c r="E150" s="100">
        <f>E151</f>
        <v>0</v>
      </c>
      <c r="F150" s="100">
        <f>F151</f>
        <v>0</v>
      </c>
      <c r="G150" s="100">
        <f t="shared" si="33"/>
        <v>0</v>
      </c>
      <c r="H150" s="100">
        <f t="shared" si="48"/>
        <v>0</v>
      </c>
      <c r="I150" s="100">
        <f t="shared" si="48"/>
        <v>0</v>
      </c>
      <c r="J150" s="100">
        <f t="shared" si="48"/>
        <v>0</v>
      </c>
      <c r="K150" s="100">
        <f t="shared" si="48"/>
        <v>0</v>
      </c>
      <c r="L150" s="100">
        <f t="shared" si="48"/>
        <v>0</v>
      </c>
      <c r="M150" s="101">
        <f t="shared" si="48"/>
        <v>0</v>
      </c>
      <c r="N150" s="137" t="e">
        <f t="shared" si="42"/>
        <v>#DIV/0!</v>
      </c>
    </row>
    <row r="151" spans="1:14" ht="16.5" hidden="1" customHeight="1" x14ac:dyDescent="0.25">
      <c r="A151" s="266">
        <v>5123</v>
      </c>
      <c r="B151" s="83">
        <v>831100</v>
      </c>
      <c r="C151" s="84" t="s">
        <v>146</v>
      </c>
      <c r="D151" s="84"/>
      <c r="E151" s="108"/>
      <c r="F151" s="108"/>
      <c r="G151" s="109">
        <f t="shared" si="33"/>
        <v>0</v>
      </c>
      <c r="H151" s="108"/>
      <c r="I151" s="108"/>
      <c r="J151" s="108"/>
      <c r="K151" s="108"/>
      <c r="L151" s="108"/>
      <c r="M151" s="110"/>
      <c r="N151" s="137" t="e">
        <f t="shared" si="42"/>
        <v>#DIV/0!</v>
      </c>
    </row>
    <row r="152" spans="1:14" ht="16.5" hidden="1" customHeight="1" x14ac:dyDescent="0.25">
      <c r="A152" s="490">
        <v>5124</v>
      </c>
      <c r="B152" s="488">
        <v>840000</v>
      </c>
      <c r="C152" s="82" t="s">
        <v>147</v>
      </c>
      <c r="D152" s="82"/>
      <c r="E152" s="100">
        <f>E153+E155+E161</f>
        <v>0</v>
      </c>
      <c r="F152" s="100">
        <f>F153+F155+F161</f>
        <v>0</v>
      </c>
      <c r="G152" s="100">
        <f t="shared" si="33"/>
        <v>0</v>
      </c>
      <c r="H152" s="100">
        <f t="shared" ref="H152:M152" si="49">H153+H155+H161</f>
        <v>0</v>
      </c>
      <c r="I152" s="100">
        <f t="shared" si="49"/>
        <v>0</v>
      </c>
      <c r="J152" s="100">
        <f t="shared" si="49"/>
        <v>0</v>
      </c>
      <c r="K152" s="100">
        <f t="shared" si="49"/>
        <v>0</v>
      </c>
      <c r="L152" s="100">
        <f t="shared" si="49"/>
        <v>0</v>
      </c>
      <c r="M152" s="101">
        <f t="shared" si="49"/>
        <v>0</v>
      </c>
      <c r="N152" s="137" t="e">
        <f t="shared" si="42"/>
        <v>#DIV/0!</v>
      </c>
    </row>
    <row r="153" spans="1:14" ht="16.5" hidden="1" customHeight="1" x14ac:dyDescent="0.25">
      <c r="A153" s="490">
        <v>5125</v>
      </c>
      <c r="B153" s="488">
        <v>841000</v>
      </c>
      <c r="C153" s="82" t="s">
        <v>148</v>
      </c>
      <c r="D153" s="82"/>
      <c r="E153" s="100">
        <f>E154</f>
        <v>0</v>
      </c>
      <c r="F153" s="100">
        <f>F154</f>
        <v>0</v>
      </c>
      <c r="G153" s="100">
        <f t="shared" si="33"/>
        <v>0</v>
      </c>
      <c r="H153" s="100">
        <f t="shared" ref="H153:M153" si="50">H154</f>
        <v>0</v>
      </c>
      <c r="I153" s="100">
        <f t="shared" si="50"/>
        <v>0</v>
      </c>
      <c r="J153" s="100">
        <f t="shared" si="50"/>
        <v>0</v>
      </c>
      <c r="K153" s="100">
        <f t="shared" si="50"/>
        <v>0</v>
      </c>
      <c r="L153" s="100">
        <f t="shared" si="50"/>
        <v>0</v>
      </c>
      <c r="M153" s="101">
        <f t="shared" si="50"/>
        <v>0</v>
      </c>
      <c r="N153" s="137" t="e">
        <f t="shared" si="42"/>
        <v>#DIV/0!</v>
      </c>
    </row>
    <row r="154" spans="1:14" ht="16.5" hidden="1" customHeight="1" x14ac:dyDescent="0.25">
      <c r="A154" s="266">
        <v>5126</v>
      </c>
      <c r="B154" s="83">
        <v>841100</v>
      </c>
      <c r="C154" s="84" t="s">
        <v>149</v>
      </c>
      <c r="D154" s="84"/>
      <c r="E154" s="108"/>
      <c r="F154" s="108"/>
      <c r="G154" s="109">
        <f t="shared" si="33"/>
        <v>0</v>
      </c>
      <c r="H154" s="108"/>
      <c r="I154" s="108"/>
      <c r="J154" s="108"/>
      <c r="K154" s="108"/>
      <c r="L154" s="108"/>
      <c r="M154" s="110"/>
      <c r="N154" s="137" t="e">
        <f t="shared" si="42"/>
        <v>#DIV/0!</v>
      </c>
    </row>
    <row r="155" spans="1:14" ht="16.5" hidden="1" customHeight="1" x14ac:dyDescent="0.25">
      <c r="A155" s="490">
        <v>5127</v>
      </c>
      <c r="B155" s="488">
        <v>842000</v>
      </c>
      <c r="C155" s="82" t="s">
        <v>150</v>
      </c>
      <c r="D155" s="82"/>
      <c r="E155" s="100">
        <f>E160</f>
        <v>0</v>
      </c>
      <c r="F155" s="100">
        <f>F160</f>
        <v>0</v>
      </c>
      <c r="G155" s="100">
        <f t="shared" si="33"/>
        <v>0</v>
      </c>
      <c r="H155" s="100">
        <f t="shared" ref="H155:M155" si="51">H160</f>
        <v>0</v>
      </c>
      <c r="I155" s="100">
        <f t="shared" si="51"/>
        <v>0</v>
      </c>
      <c r="J155" s="100">
        <f t="shared" si="51"/>
        <v>0</v>
      </c>
      <c r="K155" s="100">
        <f t="shared" si="51"/>
        <v>0</v>
      </c>
      <c r="L155" s="100">
        <f t="shared" si="51"/>
        <v>0</v>
      </c>
      <c r="M155" s="101">
        <f t="shared" si="51"/>
        <v>0</v>
      </c>
      <c r="N155" s="137" t="e">
        <f t="shared" si="42"/>
        <v>#DIV/0!</v>
      </c>
    </row>
    <row r="156" spans="1:14" ht="16.5" hidden="1" customHeight="1" x14ac:dyDescent="0.25">
      <c r="A156" s="645" t="s">
        <v>0</v>
      </c>
      <c r="B156" s="646" t="s">
        <v>1</v>
      </c>
      <c r="C156" s="585" t="s">
        <v>2</v>
      </c>
      <c r="D156" s="486"/>
      <c r="E156" s="575" t="s">
        <v>3</v>
      </c>
      <c r="F156" s="487" t="s">
        <v>3</v>
      </c>
      <c r="G156" s="575" t="s">
        <v>4</v>
      </c>
      <c r="H156" s="575"/>
      <c r="I156" s="575"/>
      <c r="J156" s="575"/>
      <c r="K156" s="575"/>
      <c r="L156" s="575"/>
      <c r="M156" s="582"/>
      <c r="N156" s="137" t="e">
        <f t="shared" si="42"/>
        <v>#VALUE!</v>
      </c>
    </row>
    <row r="157" spans="1:14" ht="16.5" hidden="1" customHeight="1" x14ac:dyDescent="0.25">
      <c r="A157" s="645"/>
      <c r="B157" s="646"/>
      <c r="C157" s="585"/>
      <c r="D157" s="486"/>
      <c r="E157" s="575"/>
      <c r="F157" s="487"/>
      <c r="G157" s="581" t="s">
        <v>5</v>
      </c>
      <c r="H157" s="575" t="s">
        <v>6</v>
      </c>
      <c r="I157" s="575"/>
      <c r="J157" s="575"/>
      <c r="K157" s="575"/>
      <c r="L157" s="575" t="s">
        <v>7</v>
      </c>
      <c r="M157" s="582" t="s">
        <v>8</v>
      </c>
      <c r="N157" s="137" t="e">
        <f t="shared" si="42"/>
        <v>#VALUE!</v>
      </c>
    </row>
    <row r="158" spans="1:14" ht="16.5" hidden="1" customHeight="1" x14ac:dyDescent="0.25">
      <c r="A158" s="645"/>
      <c r="B158" s="646"/>
      <c r="C158" s="585"/>
      <c r="D158" s="486"/>
      <c r="E158" s="575"/>
      <c r="F158" s="487"/>
      <c r="G158" s="581"/>
      <c r="H158" s="487" t="s">
        <v>9</v>
      </c>
      <c r="I158" s="487" t="s">
        <v>10</v>
      </c>
      <c r="J158" s="487" t="s">
        <v>11</v>
      </c>
      <c r="K158" s="487" t="s">
        <v>12</v>
      </c>
      <c r="L158" s="575"/>
      <c r="M158" s="582"/>
      <c r="N158" s="137" t="e">
        <f t="shared" si="42"/>
        <v>#DIV/0!</v>
      </c>
    </row>
    <row r="159" spans="1:14" ht="16.5" hidden="1" customHeight="1" x14ac:dyDescent="0.25">
      <c r="A159" s="270" t="s">
        <v>18</v>
      </c>
      <c r="B159" s="491" t="s">
        <v>19</v>
      </c>
      <c r="C159" s="485" t="s">
        <v>20</v>
      </c>
      <c r="D159" s="485"/>
      <c r="E159" s="86" t="s">
        <v>21</v>
      </c>
      <c r="F159" s="86" t="s">
        <v>21</v>
      </c>
      <c r="G159" s="86" t="s">
        <v>22</v>
      </c>
      <c r="H159" s="86" t="s">
        <v>23</v>
      </c>
      <c r="I159" s="86" t="s">
        <v>24</v>
      </c>
      <c r="J159" s="86" t="s">
        <v>25</v>
      </c>
      <c r="K159" s="86" t="s">
        <v>26</v>
      </c>
      <c r="L159" s="86" t="s">
        <v>27</v>
      </c>
      <c r="M159" s="98" t="s">
        <v>28</v>
      </c>
      <c r="N159" s="137">
        <f t="shared" si="42"/>
        <v>1.25</v>
      </c>
    </row>
    <row r="160" spans="1:14" ht="16.5" hidden="1" customHeight="1" x14ac:dyDescent="0.25">
      <c r="A160" s="266">
        <v>5128</v>
      </c>
      <c r="B160" s="83">
        <v>842100</v>
      </c>
      <c r="C160" s="84" t="s">
        <v>151</v>
      </c>
      <c r="D160" s="84"/>
      <c r="E160" s="108"/>
      <c r="F160" s="108"/>
      <c r="G160" s="109">
        <f t="shared" si="33"/>
        <v>0</v>
      </c>
      <c r="H160" s="108"/>
      <c r="I160" s="108"/>
      <c r="J160" s="108"/>
      <c r="K160" s="108"/>
      <c r="L160" s="108"/>
      <c r="M160" s="110"/>
      <c r="N160" s="137" t="e">
        <f t="shared" si="42"/>
        <v>#DIV/0!</v>
      </c>
    </row>
    <row r="161" spans="1:14" ht="16.5" hidden="1" customHeight="1" x14ac:dyDescent="0.25">
      <c r="A161" s="490">
        <v>5129</v>
      </c>
      <c r="B161" s="488">
        <v>843000</v>
      </c>
      <c r="C161" s="82" t="s">
        <v>152</v>
      </c>
      <c r="D161" s="82"/>
      <c r="E161" s="100">
        <f>E162</f>
        <v>0</v>
      </c>
      <c r="F161" s="100">
        <f>F162</f>
        <v>0</v>
      </c>
      <c r="G161" s="100">
        <f t="shared" si="33"/>
        <v>0</v>
      </c>
      <c r="H161" s="100">
        <f t="shared" ref="H161:M161" si="52">H162</f>
        <v>0</v>
      </c>
      <c r="I161" s="100">
        <f t="shared" si="52"/>
        <v>0</v>
      </c>
      <c r="J161" s="100">
        <f t="shared" si="52"/>
        <v>0</v>
      </c>
      <c r="K161" s="100">
        <f t="shared" si="52"/>
        <v>0</v>
      </c>
      <c r="L161" s="100">
        <f t="shared" si="52"/>
        <v>0</v>
      </c>
      <c r="M161" s="101">
        <f t="shared" si="52"/>
        <v>0</v>
      </c>
      <c r="N161" s="137" t="e">
        <f t="shared" si="42"/>
        <v>#DIV/0!</v>
      </c>
    </row>
    <row r="162" spans="1:14" ht="16.5" hidden="1" customHeight="1" x14ac:dyDescent="0.25">
      <c r="A162" s="266">
        <v>5130</v>
      </c>
      <c r="B162" s="83">
        <v>843100</v>
      </c>
      <c r="C162" s="84" t="s">
        <v>153</v>
      </c>
      <c r="D162" s="84"/>
      <c r="E162" s="108"/>
      <c r="F162" s="108"/>
      <c r="G162" s="109">
        <f t="shared" si="33"/>
        <v>0</v>
      </c>
      <c r="H162" s="108"/>
      <c r="I162" s="108"/>
      <c r="J162" s="108"/>
      <c r="K162" s="108"/>
      <c r="L162" s="108"/>
      <c r="M162" s="110"/>
      <c r="N162" s="137" t="e">
        <f t="shared" si="42"/>
        <v>#DIV/0!</v>
      </c>
    </row>
    <row r="163" spans="1:14" ht="16.5" hidden="1" customHeight="1" x14ac:dyDescent="0.25">
      <c r="A163" s="490">
        <v>5131</v>
      </c>
      <c r="B163" s="488">
        <v>900000</v>
      </c>
      <c r="C163" s="82" t="s">
        <v>154</v>
      </c>
      <c r="D163" s="82"/>
      <c r="E163" s="100">
        <f>E164+E187</f>
        <v>0</v>
      </c>
      <c r="F163" s="100">
        <f>F164+F187</f>
        <v>0</v>
      </c>
      <c r="G163" s="100">
        <f t="shared" ref="G163:G198" si="53">SUM(H163:M163)</f>
        <v>0</v>
      </c>
      <c r="H163" s="100">
        <f t="shared" ref="H163:M163" si="54">H164+H187</f>
        <v>0</v>
      </c>
      <c r="I163" s="100">
        <f t="shared" si="54"/>
        <v>0</v>
      </c>
      <c r="J163" s="100">
        <f t="shared" si="54"/>
        <v>0</v>
      </c>
      <c r="K163" s="100">
        <f t="shared" si="54"/>
        <v>0</v>
      </c>
      <c r="L163" s="100">
        <f t="shared" si="54"/>
        <v>0</v>
      </c>
      <c r="M163" s="101">
        <f t="shared" si="54"/>
        <v>0</v>
      </c>
      <c r="N163" s="137" t="e">
        <f t="shared" si="42"/>
        <v>#DIV/0!</v>
      </c>
    </row>
    <row r="164" spans="1:14" ht="16.5" hidden="1" customHeight="1" x14ac:dyDescent="0.25">
      <c r="A164" s="490">
        <v>5132</v>
      </c>
      <c r="B164" s="488">
        <v>910000</v>
      </c>
      <c r="C164" s="82" t="s">
        <v>155</v>
      </c>
      <c r="D164" s="82"/>
      <c r="E164" s="100">
        <f>E165+E175</f>
        <v>0</v>
      </c>
      <c r="F164" s="100">
        <f>F165+F175</f>
        <v>0</v>
      </c>
      <c r="G164" s="100">
        <f t="shared" si="53"/>
        <v>0</v>
      </c>
      <c r="H164" s="100">
        <f t="shared" ref="H164:M164" si="55">H165+H175</f>
        <v>0</v>
      </c>
      <c r="I164" s="100">
        <f t="shared" si="55"/>
        <v>0</v>
      </c>
      <c r="J164" s="100">
        <f t="shared" si="55"/>
        <v>0</v>
      </c>
      <c r="K164" s="100">
        <f t="shared" si="55"/>
        <v>0</v>
      </c>
      <c r="L164" s="100">
        <f t="shared" si="55"/>
        <v>0</v>
      </c>
      <c r="M164" s="101">
        <f t="shared" si="55"/>
        <v>0</v>
      </c>
      <c r="N164" s="137" t="e">
        <f t="shared" si="42"/>
        <v>#DIV/0!</v>
      </c>
    </row>
    <row r="165" spans="1:14" ht="16.5" hidden="1" customHeight="1" x14ac:dyDescent="0.25">
      <c r="A165" s="490">
        <v>5133</v>
      </c>
      <c r="B165" s="488">
        <v>911000</v>
      </c>
      <c r="C165" s="82" t="s">
        <v>156</v>
      </c>
      <c r="D165" s="82"/>
      <c r="E165" s="100">
        <f>SUM(E166:E174)</f>
        <v>0</v>
      </c>
      <c r="F165" s="100">
        <f>SUM(F166:F174)</f>
        <v>0</v>
      </c>
      <c r="G165" s="100">
        <f t="shared" si="53"/>
        <v>0</v>
      </c>
      <c r="H165" s="100">
        <f t="shared" ref="H165:M165" si="56">SUM(H166:H174)</f>
        <v>0</v>
      </c>
      <c r="I165" s="100">
        <f t="shared" si="56"/>
        <v>0</v>
      </c>
      <c r="J165" s="100">
        <f t="shared" si="56"/>
        <v>0</v>
      </c>
      <c r="K165" s="100">
        <f t="shared" si="56"/>
        <v>0</v>
      </c>
      <c r="L165" s="100">
        <f t="shared" si="56"/>
        <v>0</v>
      </c>
      <c r="M165" s="101">
        <f t="shared" si="56"/>
        <v>0</v>
      </c>
      <c r="N165" s="137" t="e">
        <f t="shared" si="42"/>
        <v>#DIV/0!</v>
      </c>
    </row>
    <row r="166" spans="1:14" ht="16.5" hidden="1" customHeight="1" x14ac:dyDescent="0.25">
      <c r="A166" s="266">
        <v>5134</v>
      </c>
      <c r="B166" s="83">
        <v>911100</v>
      </c>
      <c r="C166" s="84" t="s">
        <v>157</v>
      </c>
      <c r="D166" s="84"/>
      <c r="E166" s="108"/>
      <c r="F166" s="108"/>
      <c r="G166" s="109">
        <f t="shared" si="53"/>
        <v>0</v>
      </c>
      <c r="H166" s="108"/>
      <c r="I166" s="108"/>
      <c r="J166" s="108"/>
      <c r="K166" s="108"/>
      <c r="L166" s="108"/>
      <c r="M166" s="110"/>
      <c r="N166" s="137" t="e">
        <f t="shared" si="42"/>
        <v>#DIV/0!</v>
      </c>
    </row>
    <row r="167" spans="1:14" ht="16.5" hidden="1" customHeight="1" x14ac:dyDescent="0.25">
      <c r="A167" s="266">
        <v>5135</v>
      </c>
      <c r="B167" s="83">
        <v>911200</v>
      </c>
      <c r="C167" s="84" t="s">
        <v>158</v>
      </c>
      <c r="D167" s="84"/>
      <c r="E167" s="108"/>
      <c r="F167" s="108"/>
      <c r="G167" s="109">
        <f t="shared" si="53"/>
        <v>0</v>
      </c>
      <c r="H167" s="108"/>
      <c r="I167" s="108"/>
      <c r="J167" s="108"/>
      <c r="K167" s="108"/>
      <c r="L167" s="108"/>
      <c r="M167" s="110"/>
      <c r="N167" s="137" t="e">
        <f t="shared" si="42"/>
        <v>#DIV/0!</v>
      </c>
    </row>
    <row r="168" spans="1:14" ht="16.5" hidden="1" customHeight="1" x14ac:dyDescent="0.25">
      <c r="A168" s="266">
        <v>5136</v>
      </c>
      <c r="B168" s="83">
        <v>911300</v>
      </c>
      <c r="C168" s="84" t="s">
        <v>159</v>
      </c>
      <c r="D168" s="84"/>
      <c r="E168" s="108"/>
      <c r="F168" s="108"/>
      <c r="G168" s="109">
        <f t="shared" si="53"/>
        <v>0</v>
      </c>
      <c r="H168" s="108"/>
      <c r="I168" s="108"/>
      <c r="J168" s="108"/>
      <c r="K168" s="108"/>
      <c r="L168" s="108"/>
      <c r="M168" s="110"/>
      <c r="N168" s="137" t="e">
        <f t="shared" si="42"/>
        <v>#DIV/0!</v>
      </c>
    </row>
    <row r="169" spans="1:14" ht="16.5" hidden="1" customHeight="1" x14ac:dyDescent="0.25">
      <c r="A169" s="266">
        <v>5137</v>
      </c>
      <c r="B169" s="83">
        <v>911400</v>
      </c>
      <c r="C169" s="84" t="s">
        <v>160</v>
      </c>
      <c r="D169" s="84"/>
      <c r="E169" s="108"/>
      <c r="F169" s="108"/>
      <c r="G169" s="109">
        <f t="shared" si="53"/>
        <v>0</v>
      </c>
      <c r="H169" s="108"/>
      <c r="I169" s="108"/>
      <c r="J169" s="108"/>
      <c r="K169" s="108"/>
      <c r="L169" s="108"/>
      <c r="M169" s="110"/>
      <c r="N169" s="137" t="e">
        <f t="shared" si="42"/>
        <v>#DIV/0!</v>
      </c>
    </row>
    <row r="170" spans="1:14" ht="16.5" hidden="1" customHeight="1" x14ac:dyDescent="0.25">
      <c r="A170" s="266">
        <v>5138</v>
      </c>
      <c r="B170" s="83">
        <v>911500</v>
      </c>
      <c r="C170" s="84" t="s">
        <v>161</v>
      </c>
      <c r="D170" s="84"/>
      <c r="E170" s="108"/>
      <c r="F170" s="108"/>
      <c r="G170" s="109">
        <f t="shared" si="53"/>
        <v>0</v>
      </c>
      <c r="H170" s="108"/>
      <c r="I170" s="108"/>
      <c r="J170" s="108"/>
      <c r="K170" s="108"/>
      <c r="L170" s="108"/>
      <c r="M170" s="110"/>
      <c r="N170" s="137" t="e">
        <f t="shared" si="42"/>
        <v>#DIV/0!</v>
      </c>
    </row>
    <row r="171" spans="1:14" ht="16.5" hidden="1" customHeight="1" x14ac:dyDescent="0.25">
      <c r="A171" s="266">
        <v>5139</v>
      </c>
      <c r="B171" s="83">
        <v>911600</v>
      </c>
      <c r="C171" s="84" t="s">
        <v>162</v>
      </c>
      <c r="D171" s="84"/>
      <c r="E171" s="108"/>
      <c r="F171" s="108"/>
      <c r="G171" s="109">
        <f t="shared" si="53"/>
        <v>0</v>
      </c>
      <c r="H171" s="108"/>
      <c r="I171" s="108"/>
      <c r="J171" s="108"/>
      <c r="K171" s="108"/>
      <c r="L171" s="108"/>
      <c r="M171" s="110"/>
      <c r="N171" s="137" t="e">
        <f t="shared" si="42"/>
        <v>#DIV/0!</v>
      </c>
    </row>
    <row r="172" spans="1:14" ht="16.5" hidden="1" customHeight="1" x14ac:dyDescent="0.25">
      <c r="A172" s="266">
        <v>5140</v>
      </c>
      <c r="B172" s="83">
        <v>911700</v>
      </c>
      <c r="C172" s="84" t="s">
        <v>163</v>
      </c>
      <c r="D172" s="84"/>
      <c r="E172" s="108"/>
      <c r="F172" s="108"/>
      <c r="G172" s="109">
        <f t="shared" si="53"/>
        <v>0</v>
      </c>
      <c r="H172" s="108"/>
      <c r="I172" s="108"/>
      <c r="J172" s="108"/>
      <c r="K172" s="108"/>
      <c r="L172" s="108"/>
      <c r="M172" s="110"/>
      <c r="N172" s="137" t="e">
        <f t="shared" si="42"/>
        <v>#DIV/0!</v>
      </c>
    </row>
    <row r="173" spans="1:14" ht="16.5" hidden="1" customHeight="1" x14ac:dyDescent="0.25">
      <c r="A173" s="266">
        <v>5141</v>
      </c>
      <c r="B173" s="83">
        <v>911800</v>
      </c>
      <c r="C173" s="84" t="s">
        <v>164</v>
      </c>
      <c r="D173" s="84"/>
      <c r="E173" s="108"/>
      <c r="F173" s="108"/>
      <c r="G173" s="109">
        <f t="shared" si="53"/>
        <v>0</v>
      </c>
      <c r="H173" s="108"/>
      <c r="I173" s="108"/>
      <c r="J173" s="108"/>
      <c r="K173" s="108"/>
      <c r="L173" s="108"/>
      <c r="M173" s="110"/>
      <c r="N173" s="137" t="e">
        <f t="shared" si="42"/>
        <v>#DIV/0!</v>
      </c>
    </row>
    <row r="174" spans="1:14" ht="16.5" hidden="1" customHeight="1" x14ac:dyDescent="0.25">
      <c r="A174" s="266">
        <v>5142</v>
      </c>
      <c r="B174" s="83">
        <v>911900</v>
      </c>
      <c r="C174" s="84" t="s">
        <v>165</v>
      </c>
      <c r="D174" s="84"/>
      <c r="E174" s="108"/>
      <c r="F174" s="108"/>
      <c r="G174" s="109">
        <f t="shared" si="53"/>
        <v>0</v>
      </c>
      <c r="H174" s="108"/>
      <c r="I174" s="108"/>
      <c r="J174" s="108"/>
      <c r="K174" s="108"/>
      <c r="L174" s="108"/>
      <c r="M174" s="110"/>
      <c r="N174" s="137" t="e">
        <f t="shared" si="42"/>
        <v>#DIV/0!</v>
      </c>
    </row>
    <row r="175" spans="1:14" ht="16.5" hidden="1" customHeight="1" x14ac:dyDescent="0.25">
      <c r="A175" s="490">
        <v>5143</v>
      </c>
      <c r="B175" s="488">
        <v>912000</v>
      </c>
      <c r="C175" s="82" t="s">
        <v>166</v>
      </c>
      <c r="D175" s="82"/>
      <c r="E175" s="100">
        <f>SUM(E176:E186)</f>
        <v>0</v>
      </c>
      <c r="F175" s="100">
        <f>SUM(F176:F186)</f>
        <v>0</v>
      </c>
      <c r="G175" s="100">
        <f t="shared" si="53"/>
        <v>0</v>
      </c>
      <c r="H175" s="100">
        <f t="shared" ref="H175:M175" si="57">SUM(H176:H186)</f>
        <v>0</v>
      </c>
      <c r="I175" s="100">
        <f t="shared" si="57"/>
        <v>0</v>
      </c>
      <c r="J175" s="100">
        <f t="shared" si="57"/>
        <v>0</v>
      </c>
      <c r="K175" s="100">
        <f t="shared" si="57"/>
        <v>0</v>
      </c>
      <c r="L175" s="100">
        <f t="shared" si="57"/>
        <v>0</v>
      </c>
      <c r="M175" s="101">
        <f t="shared" si="57"/>
        <v>0</v>
      </c>
      <c r="N175" s="137" t="e">
        <f t="shared" si="42"/>
        <v>#DIV/0!</v>
      </c>
    </row>
    <row r="176" spans="1:14" ht="16.5" hidden="1" customHeight="1" x14ac:dyDescent="0.25">
      <c r="A176" s="266">
        <v>5144</v>
      </c>
      <c r="B176" s="83">
        <v>912100</v>
      </c>
      <c r="C176" s="84" t="s">
        <v>167</v>
      </c>
      <c r="D176" s="84"/>
      <c r="E176" s="108"/>
      <c r="F176" s="108"/>
      <c r="G176" s="109">
        <f t="shared" si="53"/>
        <v>0</v>
      </c>
      <c r="H176" s="108"/>
      <c r="I176" s="108"/>
      <c r="J176" s="108"/>
      <c r="K176" s="108"/>
      <c r="L176" s="108"/>
      <c r="M176" s="110"/>
      <c r="N176" s="137" t="e">
        <f t="shared" si="42"/>
        <v>#DIV/0!</v>
      </c>
    </row>
    <row r="177" spans="1:14" ht="16.5" hidden="1" customHeight="1" x14ac:dyDescent="0.25">
      <c r="A177" s="266">
        <v>5145</v>
      </c>
      <c r="B177" s="83">
        <v>912200</v>
      </c>
      <c r="C177" s="84" t="s">
        <v>168</v>
      </c>
      <c r="D177" s="84"/>
      <c r="E177" s="108"/>
      <c r="F177" s="108"/>
      <c r="G177" s="109">
        <f t="shared" si="53"/>
        <v>0</v>
      </c>
      <c r="H177" s="108"/>
      <c r="I177" s="108"/>
      <c r="J177" s="108"/>
      <c r="K177" s="108"/>
      <c r="L177" s="108"/>
      <c r="M177" s="110"/>
      <c r="N177" s="137" t="e">
        <f t="shared" si="42"/>
        <v>#DIV/0!</v>
      </c>
    </row>
    <row r="178" spans="1:14" ht="16.5" hidden="1" customHeight="1" x14ac:dyDescent="0.25">
      <c r="A178" s="266">
        <v>5146</v>
      </c>
      <c r="B178" s="83">
        <v>912300</v>
      </c>
      <c r="C178" s="84" t="s">
        <v>169</v>
      </c>
      <c r="D178" s="84"/>
      <c r="E178" s="108"/>
      <c r="F178" s="108"/>
      <c r="G178" s="109">
        <f t="shared" si="53"/>
        <v>0</v>
      </c>
      <c r="H178" s="108"/>
      <c r="I178" s="108"/>
      <c r="J178" s="108"/>
      <c r="K178" s="108"/>
      <c r="L178" s="108"/>
      <c r="M178" s="110"/>
      <c r="N178" s="137" t="e">
        <f t="shared" si="42"/>
        <v>#DIV/0!</v>
      </c>
    </row>
    <row r="179" spans="1:14" ht="16.5" hidden="1" customHeight="1" x14ac:dyDescent="0.25">
      <c r="A179" s="266">
        <v>5147</v>
      </c>
      <c r="B179" s="83">
        <v>912400</v>
      </c>
      <c r="C179" s="84" t="s">
        <v>170</v>
      </c>
      <c r="D179" s="84"/>
      <c r="E179" s="108"/>
      <c r="F179" s="108"/>
      <c r="G179" s="109">
        <f t="shared" si="53"/>
        <v>0</v>
      </c>
      <c r="H179" s="108"/>
      <c r="I179" s="108"/>
      <c r="J179" s="108"/>
      <c r="K179" s="108"/>
      <c r="L179" s="108"/>
      <c r="M179" s="110"/>
      <c r="N179" s="137" t="e">
        <f t="shared" si="42"/>
        <v>#DIV/0!</v>
      </c>
    </row>
    <row r="180" spans="1:14" ht="16.5" hidden="1" customHeight="1" x14ac:dyDescent="0.25">
      <c r="A180" s="266">
        <v>5148</v>
      </c>
      <c r="B180" s="83">
        <v>912500</v>
      </c>
      <c r="C180" s="84" t="s">
        <v>171</v>
      </c>
      <c r="D180" s="84"/>
      <c r="E180" s="108"/>
      <c r="F180" s="108"/>
      <c r="G180" s="109">
        <f t="shared" si="53"/>
        <v>0</v>
      </c>
      <c r="H180" s="108"/>
      <c r="I180" s="108"/>
      <c r="J180" s="108"/>
      <c r="K180" s="108"/>
      <c r="L180" s="108"/>
      <c r="M180" s="110"/>
      <c r="N180" s="137" t="e">
        <f t="shared" si="42"/>
        <v>#DIV/0!</v>
      </c>
    </row>
    <row r="181" spans="1:14" ht="16.5" hidden="1" customHeight="1" x14ac:dyDescent="0.25">
      <c r="A181" s="266">
        <v>5149</v>
      </c>
      <c r="B181" s="83">
        <v>912600</v>
      </c>
      <c r="C181" s="84" t="s">
        <v>172</v>
      </c>
      <c r="D181" s="84"/>
      <c r="E181" s="108"/>
      <c r="F181" s="108"/>
      <c r="G181" s="109">
        <f t="shared" si="53"/>
        <v>0</v>
      </c>
      <c r="H181" s="108"/>
      <c r="I181" s="108"/>
      <c r="J181" s="108"/>
      <c r="K181" s="108"/>
      <c r="L181" s="108"/>
      <c r="M181" s="110"/>
      <c r="N181" s="137" t="e">
        <f t="shared" si="42"/>
        <v>#DIV/0!</v>
      </c>
    </row>
    <row r="182" spans="1:14" ht="16.5" hidden="1" customHeight="1" x14ac:dyDescent="0.25">
      <c r="A182" s="645" t="s">
        <v>0</v>
      </c>
      <c r="B182" s="646" t="s">
        <v>1</v>
      </c>
      <c r="C182" s="585" t="s">
        <v>2</v>
      </c>
      <c r="D182" s="486"/>
      <c r="E182" s="575" t="s">
        <v>3</v>
      </c>
      <c r="F182" s="487" t="s">
        <v>3</v>
      </c>
      <c r="G182" s="575" t="s">
        <v>4</v>
      </c>
      <c r="H182" s="575"/>
      <c r="I182" s="575"/>
      <c r="J182" s="575"/>
      <c r="K182" s="575"/>
      <c r="L182" s="575"/>
      <c r="M182" s="582"/>
      <c r="N182" s="137" t="e">
        <f t="shared" si="42"/>
        <v>#VALUE!</v>
      </c>
    </row>
    <row r="183" spans="1:14" ht="16.5" hidden="1" customHeight="1" x14ac:dyDescent="0.25">
      <c r="A183" s="645"/>
      <c r="B183" s="646"/>
      <c r="C183" s="585"/>
      <c r="D183" s="486"/>
      <c r="E183" s="575"/>
      <c r="F183" s="487"/>
      <c r="G183" s="581" t="s">
        <v>5</v>
      </c>
      <c r="H183" s="575" t="s">
        <v>6</v>
      </c>
      <c r="I183" s="575"/>
      <c r="J183" s="575"/>
      <c r="K183" s="575"/>
      <c r="L183" s="575" t="s">
        <v>7</v>
      </c>
      <c r="M183" s="582" t="s">
        <v>8</v>
      </c>
      <c r="N183" s="137" t="e">
        <f t="shared" si="42"/>
        <v>#VALUE!</v>
      </c>
    </row>
    <row r="184" spans="1:14" ht="16.5" hidden="1" customHeight="1" x14ac:dyDescent="0.25">
      <c r="A184" s="645"/>
      <c r="B184" s="646"/>
      <c r="C184" s="585"/>
      <c r="D184" s="486"/>
      <c r="E184" s="575"/>
      <c r="F184" s="487"/>
      <c r="G184" s="581"/>
      <c r="H184" s="487" t="s">
        <v>9</v>
      </c>
      <c r="I184" s="487" t="s">
        <v>10</v>
      </c>
      <c r="J184" s="487" t="s">
        <v>11</v>
      </c>
      <c r="K184" s="487" t="s">
        <v>12</v>
      </c>
      <c r="L184" s="575"/>
      <c r="M184" s="582"/>
      <c r="N184" s="137" t="e">
        <f t="shared" si="42"/>
        <v>#DIV/0!</v>
      </c>
    </row>
    <row r="185" spans="1:14" ht="16.5" hidden="1" customHeight="1" x14ac:dyDescent="0.25">
      <c r="A185" s="270" t="s">
        <v>18</v>
      </c>
      <c r="B185" s="491" t="s">
        <v>19</v>
      </c>
      <c r="C185" s="485" t="s">
        <v>20</v>
      </c>
      <c r="D185" s="485"/>
      <c r="E185" s="86" t="s">
        <v>21</v>
      </c>
      <c r="F185" s="86" t="s">
        <v>21</v>
      </c>
      <c r="G185" s="86" t="s">
        <v>22</v>
      </c>
      <c r="H185" s="86" t="s">
        <v>23</v>
      </c>
      <c r="I185" s="86" t="s">
        <v>24</v>
      </c>
      <c r="J185" s="86" t="s">
        <v>25</v>
      </c>
      <c r="K185" s="86" t="s">
        <v>26</v>
      </c>
      <c r="L185" s="86" t="s">
        <v>27</v>
      </c>
      <c r="M185" s="98" t="s">
        <v>28</v>
      </c>
      <c r="N185" s="137">
        <f t="shared" si="42"/>
        <v>1.25</v>
      </c>
    </row>
    <row r="186" spans="1:14" ht="16.5" hidden="1" customHeight="1" x14ac:dyDescent="0.25">
      <c r="A186" s="266">
        <v>5150</v>
      </c>
      <c r="B186" s="83">
        <v>912900</v>
      </c>
      <c r="C186" s="84" t="s">
        <v>173</v>
      </c>
      <c r="D186" s="84"/>
      <c r="E186" s="108"/>
      <c r="F186" s="108"/>
      <c r="G186" s="109">
        <f t="shared" si="53"/>
        <v>0</v>
      </c>
      <c r="H186" s="108"/>
      <c r="I186" s="108"/>
      <c r="J186" s="108"/>
      <c r="K186" s="108"/>
      <c r="L186" s="108"/>
      <c r="M186" s="110"/>
      <c r="N186" s="137" t="e">
        <f t="shared" si="42"/>
        <v>#DIV/0!</v>
      </c>
    </row>
    <row r="187" spans="1:14" ht="16.5" hidden="1" customHeight="1" x14ac:dyDescent="0.25">
      <c r="A187" s="490">
        <v>5151</v>
      </c>
      <c r="B187" s="488">
        <v>920000</v>
      </c>
      <c r="C187" s="82" t="s">
        <v>174</v>
      </c>
      <c r="D187" s="82"/>
      <c r="E187" s="100">
        <f>E188+E198</f>
        <v>0</v>
      </c>
      <c r="F187" s="100">
        <f>F188+F198</f>
        <v>0</v>
      </c>
      <c r="G187" s="100">
        <f t="shared" si="53"/>
        <v>0</v>
      </c>
      <c r="H187" s="100">
        <f t="shared" ref="H187:M187" si="58">H188+H198</f>
        <v>0</v>
      </c>
      <c r="I187" s="100">
        <f t="shared" si="58"/>
        <v>0</v>
      </c>
      <c r="J187" s="100">
        <f t="shared" si="58"/>
        <v>0</v>
      </c>
      <c r="K187" s="100">
        <f t="shared" si="58"/>
        <v>0</v>
      </c>
      <c r="L187" s="100">
        <f t="shared" si="58"/>
        <v>0</v>
      </c>
      <c r="M187" s="101">
        <f t="shared" si="58"/>
        <v>0</v>
      </c>
      <c r="N187" s="137" t="e">
        <f t="shared" si="42"/>
        <v>#DIV/0!</v>
      </c>
    </row>
    <row r="188" spans="1:14" ht="16.5" hidden="1" customHeight="1" x14ac:dyDescent="0.25">
      <c r="A188" s="490">
        <v>5152</v>
      </c>
      <c r="B188" s="488">
        <v>921000</v>
      </c>
      <c r="C188" s="82" t="s">
        <v>175</v>
      </c>
      <c r="D188" s="82"/>
      <c r="E188" s="100">
        <f>SUM(E189:E197)</f>
        <v>0</v>
      </c>
      <c r="F188" s="100">
        <f>SUM(F189:F197)</f>
        <v>0</v>
      </c>
      <c r="G188" s="100">
        <f t="shared" si="53"/>
        <v>0</v>
      </c>
      <c r="H188" s="100">
        <f t="shared" ref="H188:M188" si="59">SUM(H189:H197)</f>
        <v>0</v>
      </c>
      <c r="I188" s="100">
        <f t="shared" si="59"/>
        <v>0</v>
      </c>
      <c r="J188" s="100">
        <f t="shared" si="59"/>
        <v>0</v>
      </c>
      <c r="K188" s="100">
        <f t="shared" si="59"/>
        <v>0</v>
      </c>
      <c r="L188" s="100">
        <f t="shared" si="59"/>
        <v>0</v>
      </c>
      <c r="M188" s="101">
        <f t="shared" si="59"/>
        <v>0</v>
      </c>
      <c r="N188" s="137" t="e">
        <f t="shared" si="42"/>
        <v>#DIV/0!</v>
      </c>
    </row>
    <row r="189" spans="1:14" ht="16.5" hidden="1" customHeight="1" x14ac:dyDescent="0.25">
      <c r="A189" s="266">
        <v>5153</v>
      </c>
      <c r="B189" s="83">
        <v>921100</v>
      </c>
      <c r="C189" s="84" t="s">
        <v>176</v>
      </c>
      <c r="D189" s="84"/>
      <c r="E189" s="108"/>
      <c r="F189" s="108"/>
      <c r="G189" s="109">
        <f t="shared" si="53"/>
        <v>0</v>
      </c>
      <c r="H189" s="108"/>
      <c r="I189" s="108"/>
      <c r="J189" s="108"/>
      <c r="K189" s="108"/>
      <c r="L189" s="108"/>
      <c r="M189" s="110"/>
      <c r="N189" s="137" t="e">
        <f t="shared" si="42"/>
        <v>#DIV/0!</v>
      </c>
    </row>
    <row r="190" spans="1:14" ht="16.5" hidden="1" customHeight="1" x14ac:dyDescent="0.25">
      <c r="A190" s="266">
        <v>5154</v>
      </c>
      <c r="B190" s="83">
        <v>921200</v>
      </c>
      <c r="C190" s="84" t="s">
        <v>177</v>
      </c>
      <c r="D190" s="84"/>
      <c r="E190" s="108"/>
      <c r="F190" s="108"/>
      <c r="G190" s="109">
        <f t="shared" si="53"/>
        <v>0</v>
      </c>
      <c r="H190" s="108"/>
      <c r="I190" s="108"/>
      <c r="J190" s="108"/>
      <c r="K190" s="108"/>
      <c r="L190" s="108"/>
      <c r="M190" s="110"/>
      <c r="N190" s="137" t="e">
        <f t="shared" si="42"/>
        <v>#DIV/0!</v>
      </c>
    </row>
    <row r="191" spans="1:14" ht="16.5" hidden="1" customHeight="1" x14ac:dyDescent="0.25">
      <c r="A191" s="266">
        <v>5155</v>
      </c>
      <c r="B191" s="83">
        <v>921300</v>
      </c>
      <c r="C191" s="84" t="s">
        <v>178</v>
      </c>
      <c r="D191" s="84"/>
      <c r="E191" s="108"/>
      <c r="F191" s="108"/>
      <c r="G191" s="109">
        <f t="shared" si="53"/>
        <v>0</v>
      </c>
      <c r="H191" s="108"/>
      <c r="I191" s="108"/>
      <c r="J191" s="108"/>
      <c r="K191" s="108"/>
      <c r="L191" s="108"/>
      <c r="M191" s="110"/>
      <c r="N191" s="137" t="e">
        <f t="shared" si="42"/>
        <v>#DIV/0!</v>
      </c>
    </row>
    <row r="192" spans="1:14" ht="16.5" hidden="1" customHeight="1" x14ac:dyDescent="0.25">
      <c r="A192" s="266">
        <v>5156</v>
      </c>
      <c r="B192" s="83">
        <v>921400</v>
      </c>
      <c r="C192" s="84" t="s">
        <v>179</v>
      </c>
      <c r="D192" s="84"/>
      <c r="E192" s="108"/>
      <c r="F192" s="108"/>
      <c r="G192" s="109">
        <f t="shared" si="53"/>
        <v>0</v>
      </c>
      <c r="H192" s="108"/>
      <c r="I192" s="108"/>
      <c r="J192" s="108"/>
      <c r="K192" s="108"/>
      <c r="L192" s="108"/>
      <c r="M192" s="110"/>
      <c r="N192" s="137" t="e">
        <f t="shared" si="42"/>
        <v>#DIV/0!</v>
      </c>
    </row>
    <row r="193" spans="1:14" ht="16.5" hidden="1" customHeight="1" x14ac:dyDescent="0.25">
      <c r="A193" s="266">
        <v>5157</v>
      </c>
      <c r="B193" s="83">
        <v>921500</v>
      </c>
      <c r="C193" s="84" t="s">
        <v>180</v>
      </c>
      <c r="D193" s="84"/>
      <c r="E193" s="108"/>
      <c r="F193" s="108"/>
      <c r="G193" s="109">
        <f t="shared" si="53"/>
        <v>0</v>
      </c>
      <c r="H193" s="108"/>
      <c r="I193" s="108"/>
      <c r="J193" s="108"/>
      <c r="K193" s="108"/>
      <c r="L193" s="108"/>
      <c r="M193" s="110"/>
      <c r="N193" s="137" t="e">
        <f t="shared" si="42"/>
        <v>#DIV/0!</v>
      </c>
    </row>
    <row r="194" spans="1:14" ht="16.5" hidden="1" customHeight="1" x14ac:dyDescent="0.25">
      <c r="A194" s="266">
        <v>5158</v>
      </c>
      <c r="B194" s="83">
        <v>921600</v>
      </c>
      <c r="C194" s="84" t="s">
        <v>181</v>
      </c>
      <c r="D194" s="84"/>
      <c r="E194" s="108"/>
      <c r="F194" s="108"/>
      <c r="G194" s="109">
        <f t="shared" si="53"/>
        <v>0</v>
      </c>
      <c r="H194" s="108"/>
      <c r="I194" s="108"/>
      <c r="J194" s="108"/>
      <c r="K194" s="108"/>
      <c r="L194" s="108"/>
      <c r="M194" s="110"/>
      <c r="N194" s="137" t="e">
        <f t="shared" si="42"/>
        <v>#DIV/0!</v>
      </c>
    </row>
    <row r="195" spans="1:14" ht="16.5" hidden="1" customHeight="1" x14ac:dyDescent="0.25">
      <c r="A195" s="266">
        <v>5159</v>
      </c>
      <c r="B195" s="83">
        <v>921700</v>
      </c>
      <c r="C195" s="84" t="s">
        <v>182</v>
      </c>
      <c r="D195" s="84"/>
      <c r="E195" s="108"/>
      <c r="F195" s="108"/>
      <c r="G195" s="109">
        <f t="shared" si="53"/>
        <v>0</v>
      </c>
      <c r="H195" s="108"/>
      <c r="I195" s="108"/>
      <c r="J195" s="108"/>
      <c r="K195" s="108"/>
      <c r="L195" s="108"/>
      <c r="M195" s="110"/>
      <c r="N195" s="137" t="e">
        <f t="shared" si="42"/>
        <v>#DIV/0!</v>
      </c>
    </row>
    <row r="196" spans="1:14" ht="16.5" hidden="1" customHeight="1" x14ac:dyDescent="0.25">
      <c r="A196" s="266">
        <v>5160</v>
      </c>
      <c r="B196" s="83">
        <v>921800</v>
      </c>
      <c r="C196" s="84" t="s">
        <v>183</v>
      </c>
      <c r="D196" s="84"/>
      <c r="E196" s="108"/>
      <c r="F196" s="108"/>
      <c r="G196" s="109">
        <f t="shared" si="53"/>
        <v>0</v>
      </c>
      <c r="H196" s="108"/>
      <c r="I196" s="108"/>
      <c r="J196" s="108"/>
      <c r="K196" s="108"/>
      <c r="L196" s="108"/>
      <c r="M196" s="110"/>
      <c r="N196" s="137" t="e">
        <f t="shared" si="42"/>
        <v>#DIV/0!</v>
      </c>
    </row>
    <row r="197" spans="1:14" ht="16.5" hidden="1" customHeight="1" x14ac:dyDescent="0.25">
      <c r="A197" s="266">
        <v>5161</v>
      </c>
      <c r="B197" s="83">
        <v>921900</v>
      </c>
      <c r="C197" s="84" t="s">
        <v>184</v>
      </c>
      <c r="D197" s="84"/>
      <c r="E197" s="108"/>
      <c r="F197" s="108"/>
      <c r="G197" s="109">
        <f t="shared" si="53"/>
        <v>0</v>
      </c>
      <c r="H197" s="108"/>
      <c r="I197" s="108"/>
      <c r="J197" s="108"/>
      <c r="K197" s="108"/>
      <c r="L197" s="108"/>
      <c r="M197" s="110"/>
      <c r="N197" s="137" t="e">
        <f t="shared" si="42"/>
        <v>#DIV/0!</v>
      </c>
    </row>
    <row r="198" spans="1:14" ht="16.5" hidden="1" customHeight="1" x14ac:dyDescent="0.25">
      <c r="A198" s="490">
        <v>5162</v>
      </c>
      <c r="B198" s="488">
        <v>922000</v>
      </c>
      <c r="C198" s="82" t="s">
        <v>185</v>
      </c>
      <c r="D198" s="82"/>
      <c r="E198" s="100">
        <f>SUM(E199:E210)</f>
        <v>0</v>
      </c>
      <c r="F198" s="100">
        <f>SUM(F199:F210)</f>
        <v>0</v>
      </c>
      <c r="G198" s="100">
        <f t="shared" si="53"/>
        <v>0</v>
      </c>
      <c r="H198" s="100">
        <f t="shared" ref="H198:M198" si="60">SUM(H199:H210)</f>
        <v>0</v>
      </c>
      <c r="I198" s="100">
        <f t="shared" si="60"/>
        <v>0</v>
      </c>
      <c r="J198" s="100">
        <f t="shared" si="60"/>
        <v>0</v>
      </c>
      <c r="K198" s="100">
        <f t="shared" si="60"/>
        <v>0</v>
      </c>
      <c r="L198" s="100">
        <f t="shared" si="60"/>
        <v>0</v>
      </c>
      <c r="M198" s="101">
        <f t="shared" si="60"/>
        <v>0</v>
      </c>
      <c r="N198" s="137" t="e">
        <f t="shared" si="42"/>
        <v>#DIV/0!</v>
      </c>
    </row>
    <row r="199" spans="1:14" ht="16.5" hidden="1" customHeight="1" x14ac:dyDescent="0.25">
      <c r="A199" s="266">
        <v>5163</v>
      </c>
      <c r="B199" s="83">
        <v>922100</v>
      </c>
      <c r="C199" s="84" t="s">
        <v>186</v>
      </c>
      <c r="D199" s="84"/>
      <c r="E199" s="108"/>
      <c r="F199" s="108"/>
      <c r="G199" s="109">
        <f t="shared" ref="G199:G211" si="61">SUM(H199:M199)</f>
        <v>0</v>
      </c>
      <c r="H199" s="108"/>
      <c r="I199" s="108"/>
      <c r="J199" s="108"/>
      <c r="K199" s="108"/>
      <c r="L199" s="108"/>
      <c r="M199" s="110"/>
      <c r="N199" s="137" t="e">
        <f t="shared" si="42"/>
        <v>#DIV/0!</v>
      </c>
    </row>
    <row r="200" spans="1:14" ht="16.5" hidden="1" customHeight="1" x14ac:dyDescent="0.25">
      <c r="A200" s="266">
        <v>5164</v>
      </c>
      <c r="B200" s="83">
        <v>922200</v>
      </c>
      <c r="C200" s="84" t="s">
        <v>187</v>
      </c>
      <c r="D200" s="84"/>
      <c r="E200" s="108"/>
      <c r="F200" s="108"/>
      <c r="G200" s="109">
        <f t="shared" si="61"/>
        <v>0</v>
      </c>
      <c r="H200" s="108"/>
      <c r="I200" s="108"/>
      <c r="J200" s="108"/>
      <c r="K200" s="108"/>
      <c r="L200" s="108"/>
      <c r="M200" s="110"/>
      <c r="N200" s="137" t="e">
        <f t="shared" si="42"/>
        <v>#DIV/0!</v>
      </c>
    </row>
    <row r="201" spans="1:14" ht="16.5" hidden="1" customHeight="1" x14ac:dyDescent="0.25">
      <c r="A201" s="266">
        <v>5165</v>
      </c>
      <c r="B201" s="83">
        <v>922300</v>
      </c>
      <c r="C201" s="84" t="s">
        <v>188</v>
      </c>
      <c r="D201" s="84"/>
      <c r="E201" s="108"/>
      <c r="F201" s="108"/>
      <c r="G201" s="109">
        <f t="shared" si="61"/>
        <v>0</v>
      </c>
      <c r="H201" s="108"/>
      <c r="I201" s="108"/>
      <c r="J201" s="108"/>
      <c r="K201" s="108"/>
      <c r="L201" s="108"/>
      <c r="M201" s="110"/>
      <c r="N201" s="137" t="e">
        <f t="shared" si="42"/>
        <v>#DIV/0!</v>
      </c>
    </row>
    <row r="202" spans="1:14" ht="16.5" hidden="1" customHeight="1" x14ac:dyDescent="0.25">
      <c r="A202" s="266">
        <v>5166</v>
      </c>
      <c r="B202" s="83">
        <v>922400</v>
      </c>
      <c r="C202" s="84" t="s">
        <v>189</v>
      </c>
      <c r="D202" s="84"/>
      <c r="E202" s="108"/>
      <c r="F202" s="108"/>
      <c r="G202" s="109">
        <f t="shared" si="61"/>
        <v>0</v>
      </c>
      <c r="H202" s="108"/>
      <c r="I202" s="108"/>
      <c r="J202" s="108"/>
      <c r="K202" s="108"/>
      <c r="L202" s="108"/>
      <c r="M202" s="110"/>
      <c r="N202" s="137" t="e">
        <f t="shared" ref="N202:N211" si="62">G202/F202</f>
        <v>#DIV/0!</v>
      </c>
    </row>
    <row r="203" spans="1:14" ht="16.5" hidden="1" customHeight="1" x14ac:dyDescent="0.25">
      <c r="A203" s="266">
        <v>5167</v>
      </c>
      <c r="B203" s="83">
        <v>922500</v>
      </c>
      <c r="C203" s="84" t="s">
        <v>190</v>
      </c>
      <c r="D203" s="84"/>
      <c r="E203" s="108"/>
      <c r="F203" s="108"/>
      <c r="G203" s="109">
        <f t="shared" si="61"/>
        <v>0</v>
      </c>
      <c r="H203" s="108"/>
      <c r="I203" s="108"/>
      <c r="J203" s="108"/>
      <c r="K203" s="108"/>
      <c r="L203" s="108"/>
      <c r="M203" s="110"/>
      <c r="N203" s="137" t="e">
        <f t="shared" si="62"/>
        <v>#DIV/0!</v>
      </c>
    </row>
    <row r="204" spans="1:14" ht="16.5" hidden="1" customHeight="1" x14ac:dyDescent="0.25">
      <c r="A204" s="645" t="s">
        <v>0</v>
      </c>
      <c r="B204" s="646" t="s">
        <v>1</v>
      </c>
      <c r="C204" s="585" t="s">
        <v>2</v>
      </c>
      <c r="D204" s="486"/>
      <c r="E204" s="575" t="s">
        <v>3</v>
      </c>
      <c r="F204" s="487" t="s">
        <v>3</v>
      </c>
      <c r="G204" s="575" t="s">
        <v>4</v>
      </c>
      <c r="H204" s="575"/>
      <c r="I204" s="575"/>
      <c r="J204" s="575"/>
      <c r="K204" s="575"/>
      <c r="L204" s="575"/>
      <c r="M204" s="582"/>
      <c r="N204" s="137" t="e">
        <f t="shared" si="62"/>
        <v>#VALUE!</v>
      </c>
    </row>
    <row r="205" spans="1:14" ht="16.5" hidden="1" customHeight="1" x14ac:dyDescent="0.25">
      <c r="A205" s="645"/>
      <c r="B205" s="646"/>
      <c r="C205" s="585"/>
      <c r="D205" s="486"/>
      <c r="E205" s="575"/>
      <c r="F205" s="487"/>
      <c r="G205" s="581" t="s">
        <v>5</v>
      </c>
      <c r="H205" s="575" t="s">
        <v>6</v>
      </c>
      <c r="I205" s="575"/>
      <c r="J205" s="575"/>
      <c r="K205" s="575"/>
      <c r="L205" s="575" t="s">
        <v>7</v>
      </c>
      <c r="M205" s="582" t="s">
        <v>8</v>
      </c>
      <c r="N205" s="137" t="e">
        <f t="shared" si="62"/>
        <v>#VALUE!</v>
      </c>
    </row>
    <row r="206" spans="1:14" ht="16.5" hidden="1" customHeight="1" x14ac:dyDescent="0.25">
      <c r="A206" s="645"/>
      <c r="B206" s="646"/>
      <c r="C206" s="585"/>
      <c r="D206" s="486"/>
      <c r="E206" s="575"/>
      <c r="F206" s="487"/>
      <c r="G206" s="581"/>
      <c r="H206" s="487" t="s">
        <v>9</v>
      </c>
      <c r="I206" s="487" t="s">
        <v>10</v>
      </c>
      <c r="J206" s="487" t="s">
        <v>11</v>
      </c>
      <c r="K206" s="487" t="s">
        <v>12</v>
      </c>
      <c r="L206" s="575"/>
      <c r="M206" s="582"/>
      <c r="N206" s="137" t="e">
        <f t="shared" si="62"/>
        <v>#DIV/0!</v>
      </c>
    </row>
    <row r="207" spans="1:14" ht="16.5" hidden="1" customHeight="1" x14ac:dyDescent="0.25">
      <c r="A207" s="270" t="s">
        <v>18</v>
      </c>
      <c r="B207" s="491" t="s">
        <v>19</v>
      </c>
      <c r="C207" s="485" t="s">
        <v>20</v>
      </c>
      <c r="D207" s="485"/>
      <c r="E207" s="86" t="s">
        <v>21</v>
      </c>
      <c r="F207" s="86" t="s">
        <v>21</v>
      </c>
      <c r="G207" s="86" t="s">
        <v>22</v>
      </c>
      <c r="H207" s="86" t="s">
        <v>23</v>
      </c>
      <c r="I207" s="86" t="s">
        <v>24</v>
      </c>
      <c r="J207" s="86" t="s">
        <v>25</v>
      </c>
      <c r="K207" s="86" t="s">
        <v>26</v>
      </c>
      <c r="L207" s="86" t="s">
        <v>27</v>
      </c>
      <c r="M207" s="98" t="s">
        <v>28</v>
      </c>
      <c r="N207" s="137">
        <f t="shared" si="62"/>
        <v>1.25</v>
      </c>
    </row>
    <row r="208" spans="1:14" ht="16.5" hidden="1" customHeight="1" x14ac:dyDescent="0.25">
      <c r="A208" s="266">
        <v>5168</v>
      </c>
      <c r="B208" s="83">
        <v>922600</v>
      </c>
      <c r="C208" s="84" t="s">
        <v>191</v>
      </c>
      <c r="D208" s="84"/>
      <c r="E208" s="108"/>
      <c r="F208" s="108"/>
      <c r="G208" s="109">
        <f t="shared" si="61"/>
        <v>0</v>
      </c>
      <c r="H208" s="108"/>
      <c r="I208" s="108"/>
      <c r="J208" s="108"/>
      <c r="K208" s="108"/>
      <c r="L208" s="108"/>
      <c r="M208" s="110"/>
      <c r="N208" s="137" t="e">
        <f t="shared" si="62"/>
        <v>#DIV/0!</v>
      </c>
    </row>
    <row r="209" spans="1:14" ht="16.5" hidden="1" customHeight="1" x14ac:dyDescent="0.25">
      <c r="A209" s="266">
        <v>5169</v>
      </c>
      <c r="B209" s="83">
        <v>922700</v>
      </c>
      <c r="C209" s="84" t="s">
        <v>192</v>
      </c>
      <c r="D209" s="84"/>
      <c r="E209" s="108"/>
      <c r="F209" s="108"/>
      <c r="G209" s="109">
        <f t="shared" si="61"/>
        <v>0</v>
      </c>
      <c r="H209" s="108"/>
      <c r="I209" s="108"/>
      <c r="J209" s="108"/>
      <c r="K209" s="108"/>
      <c r="L209" s="108"/>
      <c r="M209" s="110"/>
      <c r="N209" s="137" t="e">
        <f t="shared" si="62"/>
        <v>#DIV/0!</v>
      </c>
    </row>
    <row r="210" spans="1:14" ht="16.5" hidden="1" customHeight="1" x14ac:dyDescent="0.25">
      <c r="A210" s="266">
        <v>5170</v>
      </c>
      <c r="B210" s="83">
        <v>922800</v>
      </c>
      <c r="C210" s="84" t="s">
        <v>193</v>
      </c>
      <c r="D210" s="84"/>
      <c r="E210" s="108"/>
      <c r="F210" s="108"/>
      <c r="G210" s="109">
        <f t="shared" si="61"/>
        <v>0</v>
      </c>
      <c r="H210" s="108"/>
      <c r="I210" s="108"/>
      <c r="J210" s="108"/>
      <c r="K210" s="108"/>
      <c r="L210" s="108"/>
      <c r="M210" s="110"/>
      <c r="N210" s="137" t="e">
        <f t="shared" si="62"/>
        <v>#DIV/0!</v>
      </c>
    </row>
    <row r="211" spans="1:14" ht="12.75" customHeight="1" thickBot="1" x14ac:dyDescent="0.3">
      <c r="A211" s="267">
        <v>5171</v>
      </c>
      <c r="B211" s="272"/>
      <c r="C211" s="89" t="s">
        <v>536</v>
      </c>
      <c r="D211" s="113">
        <f>D9+D163</f>
        <v>185</v>
      </c>
      <c r="E211" s="113">
        <f>E9+E163</f>
        <v>1639334</v>
      </c>
      <c r="F211" s="113">
        <f>F9+F163</f>
        <v>1639519</v>
      </c>
      <c r="G211" s="113">
        <f t="shared" si="61"/>
        <v>385214</v>
      </c>
      <c r="H211" s="113">
        <f t="shared" ref="H211:M211" si="63">H9+H163</f>
        <v>51</v>
      </c>
      <c r="I211" s="113">
        <f t="shared" si="63"/>
        <v>0</v>
      </c>
      <c r="J211" s="113">
        <f t="shared" si="63"/>
        <v>0</v>
      </c>
      <c r="K211" s="113">
        <f t="shared" si="63"/>
        <v>381946</v>
      </c>
      <c r="L211" s="113">
        <f t="shared" si="63"/>
        <v>0</v>
      </c>
      <c r="M211" s="114">
        <f t="shared" si="63"/>
        <v>3217</v>
      </c>
      <c r="N211" s="138">
        <f t="shared" si="62"/>
        <v>0.23495549609367136</v>
      </c>
    </row>
    <row r="212" spans="1:14" ht="12.75" customHeight="1" x14ac:dyDescent="0.25">
      <c r="A212" s="90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</row>
    <row r="213" spans="1:14" ht="6" customHeight="1" x14ac:dyDescent="0.25">
      <c r="A213" s="90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</row>
    <row r="214" spans="1:14" ht="12.75" customHeight="1" x14ac:dyDescent="0.25">
      <c r="A214" s="92" t="s">
        <v>195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</row>
    <row r="215" spans="1:14" ht="12.75" customHeight="1" thickBot="1" x14ac:dyDescent="0.3">
      <c r="A215" s="90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 t="s">
        <v>196</v>
      </c>
      <c r="M215" s="91"/>
    </row>
    <row r="216" spans="1:14" ht="12.75" customHeight="1" thickBot="1" x14ac:dyDescent="0.3">
      <c r="A216" s="637" t="s">
        <v>0</v>
      </c>
      <c r="B216" s="572" t="s">
        <v>1</v>
      </c>
      <c r="C216" s="574" t="s">
        <v>2</v>
      </c>
      <c r="D216" s="700" t="s">
        <v>560</v>
      </c>
      <c r="E216" s="700" t="s">
        <v>558</v>
      </c>
      <c r="F216" s="700" t="s">
        <v>547</v>
      </c>
      <c r="G216" s="574" t="s">
        <v>198</v>
      </c>
      <c r="H216" s="590"/>
      <c r="I216" s="590"/>
      <c r="J216" s="590"/>
      <c r="K216" s="590"/>
      <c r="L216" s="590"/>
      <c r="M216" s="591"/>
      <c r="N216" s="695" t="s">
        <v>548</v>
      </c>
    </row>
    <row r="217" spans="1:14" ht="12.75" customHeight="1" thickBot="1" x14ac:dyDescent="0.3">
      <c r="A217" s="647"/>
      <c r="B217" s="588"/>
      <c r="C217" s="589"/>
      <c r="D217" s="701"/>
      <c r="E217" s="701"/>
      <c r="F217" s="701"/>
      <c r="G217" s="575" t="s">
        <v>199</v>
      </c>
      <c r="H217" s="575" t="s">
        <v>200</v>
      </c>
      <c r="I217" s="589"/>
      <c r="J217" s="589"/>
      <c r="K217" s="589"/>
      <c r="L217" s="575" t="s">
        <v>7</v>
      </c>
      <c r="M217" s="582" t="s">
        <v>8</v>
      </c>
      <c r="N217" s="696"/>
    </row>
    <row r="218" spans="1:14" ht="27.75" customHeight="1" x14ac:dyDescent="0.25">
      <c r="A218" s="647"/>
      <c r="B218" s="588"/>
      <c r="C218" s="589"/>
      <c r="D218" s="701"/>
      <c r="E218" s="701"/>
      <c r="F218" s="701"/>
      <c r="G218" s="589"/>
      <c r="H218" s="487" t="s">
        <v>201</v>
      </c>
      <c r="I218" s="487" t="s">
        <v>10</v>
      </c>
      <c r="J218" s="487" t="s">
        <v>559</v>
      </c>
      <c r="K218" s="487" t="s">
        <v>12</v>
      </c>
      <c r="L218" s="589"/>
      <c r="M218" s="592"/>
      <c r="N218" s="696"/>
    </row>
    <row r="219" spans="1:14" ht="12.75" customHeight="1" x14ac:dyDescent="0.25">
      <c r="A219" s="490">
        <v>1</v>
      </c>
      <c r="B219" s="488">
        <v>2</v>
      </c>
      <c r="C219" s="487">
        <v>3</v>
      </c>
      <c r="D219" s="526">
        <v>4</v>
      </c>
      <c r="E219" s="526">
        <v>5</v>
      </c>
      <c r="F219" s="526" t="s">
        <v>551</v>
      </c>
      <c r="G219" s="526">
        <v>7</v>
      </c>
      <c r="H219" s="526">
        <v>8</v>
      </c>
      <c r="I219" s="526">
        <v>7</v>
      </c>
      <c r="J219" s="526">
        <v>9</v>
      </c>
      <c r="K219" s="526">
        <v>10</v>
      </c>
      <c r="L219" s="526">
        <v>10</v>
      </c>
      <c r="M219" s="527">
        <v>11</v>
      </c>
      <c r="N219" s="528" t="s">
        <v>552</v>
      </c>
    </row>
    <row r="220" spans="1:14" ht="12.75" customHeight="1" x14ac:dyDescent="0.25">
      <c r="A220" s="273">
        <v>5172</v>
      </c>
      <c r="B220" s="488"/>
      <c r="C220" s="82" t="s">
        <v>202</v>
      </c>
      <c r="D220" s="256">
        <f>D221+D417</f>
        <v>69812</v>
      </c>
      <c r="E220" s="100">
        <f>E221+E417</f>
        <v>1639055</v>
      </c>
      <c r="F220" s="100">
        <f>F221+F417</f>
        <v>1708867</v>
      </c>
      <c r="G220" s="100">
        <f t="shared" ref="G220:G291" si="64">SUM(H220:M220)</f>
        <v>392640</v>
      </c>
      <c r="H220" s="100">
        <f t="shared" ref="H220:M220" si="65">H221+H417</f>
        <v>263</v>
      </c>
      <c r="I220" s="100">
        <f t="shared" si="65"/>
        <v>0</v>
      </c>
      <c r="J220" s="100">
        <f t="shared" si="65"/>
        <v>5866</v>
      </c>
      <c r="K220" s="100">
        <f t="shared" si="65"/>
        <v>382951</v>
      </c>
      <c r="L220" s="100">
        <f t="shared" si="65"/>
        <v>0</v>
      </c>
      <c r="M220" s="101">
        <f t="shared" si="65"/>
        <v>3560</v>
      </c>
      <c r="N220" s="137">
        <f>G220/F220</f>
        <v>0.22976627203872507</v>
      </c>
    </row>
    <row r="221" spans="1:14" ht="12.75" customHeight="1" x14ac:dyDescent="0.25">
      <c r="A221" s="273">
        <v>5173</v>
      </c>
      <c r="B221" s="488">
        <v>400000</v>
      </c>
      <c r="C221" s="82" t="s">
        <v>203</v>
      </c>
      <c r="D221" s="256">
        <f>D222+D248+D297+D316+D344+D357+D377+D396</f>
        <v>68852</v>
      </c>
      <c r="E221" s="100">
        <f>E222+E248+E297+E316+E344+E357+E377+E396</f>
        <v>1611726</v>
      </c>
      <c r="F221" s="100">
        <f>F222+F248+F297+F316+F344+F357+F377+F396</f>
        <v>1680578</v>
      </c>
      <c r="G221" s="100">
        <f t="shared" si="64"/>
        <v>391900</v>
      </c>
      <c r="H221" s="100">
        <f t="shared" ref="H221:M221" si="66">H222+H248+H297+H316+H344+H357+H377+H396</f>
        <v>263</v>
      </c>
      <c r="I221" s="100">
        <f t="shared" si="66"/>
        <v>0</v>
      </c>
      <c r="J221" s="100">
        <f t="shared" si="66"/>
        <v>5381</v>
      </c>
      <c r="K221" s="100">
        <f t="shared" si="66"/>
        <v>382951</v>
      </c>
      <c r="L221" s="100">
        <f t="shared" si="66"/>
        <v>0</v>
      </c>
      <c r="M221" s="101">
        <f t="shared" si="66"/>
        <v>3305</v>
      </c>
      <c r="N221" s="137">
        <f t="shared" ref="N221:N284" si="67">G221/F221</f>
        <v>0.23319357982789254</v>
      </c>
    </row>
    <row r="222" spans="1:14" ht="12.75" customHeight="1" x14ac:dyDescent="0.25">
      <c r="A222" s="273">
        <v>5174</v>
      </c>
      <c r="B222" s="488">
        <v>410000</v>
      </c>
      <c r="C222" s="82" t="s">
        <v>204</v>
      </c>
      <c r="D222" s="256">
        <f>D223+D225+D229+D231+D240+D242+D244+D246</f>
        <v>46451</v>
      </c>
      <c r="E222" s="100">
        <f>E223+E225+E229+E231+E240+E242+E244+E246</f>
        <v>1216506</v>
      </c>
      <c r="F222" s="100">
        <f>F223+F225+F229+F231+F240+F242+F244+F246</f>
        <v>1262957</v>
      </c>
      <c r="G222" s="100">
        <f t="shared" si="64"/>
        <v>295732</v>
      </c>
      <c r="H222" s="100">
        <f t="shared" ref="H222:M222" si="68">H223+H225+H229+H231+H240+H242+H244+H246</f>
        <v>0</v>
      </c>
      <c r="I222" s="100">
        <f t="shared" si="68"/>
        <v>0</v>
      </c>
      <c r="J222" s="100">
        <f t="shared" si="68"/>
        <v>0</v>
      </c>
      <c r="K222" s="100">
        <f t="shared" si="68"/>
        <v>294869</v>
      </c>
      <c r="L222" s="100">
        <f t="shared" si="68"/>
        <v>0</v>
      </c>
      <c r="M222" s="101">
        <f t="shared" si="68"/>
        <v>863</v>
      </c>
      <c r="N222" s="137">
        <f t="shared" si="67"/>
        <v>0.23415840761007697</v>
      </c>
    </row>
    <row r="223" spans="1:14" ht="12.75" customHeight="1" x14ac:dyDescent="0.25">
      <c r="A223" s="273">
        <v>5175</v>
      </c>
      <c r="B223" s="488">
        <v>411000</v>
      </c>
      <c r="C223" s="82" t="s">
        <v>205</v>
      </c>
      <c r="D223" s="256">
        <f>D224</f>
        <v>38644.85578992682</v>
      </c>
      <c r="E223" s="100">
        <f>E224</f>
        <v>1010985</v>
      </c>
      <c r="F223" s="100">
        <f>F224</f>
        <v>1049629.8557899268</v>
      </c>
      <c r="G223" s="100">
        <f t="shared" si="64"/>
        <v>245845</v>
      </c>
      <c r="H223" s="100">
        <f t="shared" ref="H223:M223" si="69">H224</f>
        <v>0</v>
      </c>
      <c r="I223" s="100">
        <f t="shared" si="69"/>
        <v>0</v>
      </c>
      <c r="J223" s="100">
        <f t="shared" si="69"/>
        <v>0</v>
      </c>
      <c r="K223" s="100">
        <f>K224</f>
        <v>245165</v>
      </c>
      <c r="L223" s="100">
        <f t="shared" si="69"/>
        <v>0</v>
      </c>
      <c r="M223" s="101">
        <f t="shared" si="69"/>
        <v>680</v>
      </c>
      <c r="N223" s="137">
        <f t="shared" si="67"/>
        <v>0.23422066230669744</v>
      </c>
    </row>
    <row r="224" spans="1:14" ht="12.75" customHeight="1" x14ac:dyDescent="0.25">
      <c r="A224" s="274">
        <v>5176</v>
      </c>
      <c r="B224" s="83">
        <v>411100</v>
      </c>
      <c r="C224" s="84" t="s">
        <v>206</v>
      </c>
      <c r="D224" s="257">
        <f>(44825+61)/1.1615</f>
        <v>38644.85578992682</v>
      </c>
      <c r="E224" s="108">
        <v>1010985</v>
      </c>
      <c r="F224" s="108">
        <f>D224+E224</f>
        <v>1049629.8557899268</v>
      </c>
      <c r="G224" s="100">
        <f t="shared" si="64"/>
        <v>245845</v>
      </c>
      <c r="H224" s="108"/>
      <c r="I224" s="108"/>
      <c r="J224" s="108"/>
      <c r="K224" s="108">
        <v>245165</v>
      </c>
      <c r="L224" s="108"/>
      <c r="M224" s="110">
        <v>680</v>
      </c>
      <c r="N224" s="137">
        <f t="shared" si="67"/>
        <v>0.23422066230669744</v>
      </c>
    </row>
    <row r="225" spans="1:14" ht="12.75" customHeight="1" x14ac:dyDescent="0.25">
      <c r="A225" s="273">
        <v>5177</v>
      </c>
      <c r="B225" s="488">
        <v>412000</v>
      </c>
      <c r="C225" s="82" t="s">
        <v>207</v>
      </c>
      <c r="D225" s="256">
        <f>SUM(D226:D228)</f>
        <v>6241.144210073182</v>
      </c>
      <c r="E225" s="100">
        <f>SUM(E226:E228)</f>
        <v>153194</v>
      </c>
      <c r="F225" s="100">
        <f>SUM(F226:F228)</f>
        <v>159435.14421007319</v>
      </c>
      <c r="G225" s="100">
        <f t="shared" si="64"/>
        <v>37245</v>
      </c>
      <c r="H225" s="100">
        <f t="shared" ref="H225:M225" si="70">SUM(H226:H228)</f>
        <v>0</v>
      </c>
      <c r="I225" s="100">
        <f t="shared" si="70"/>
        <v>0</v>
      </c>
      <c r="J225" s="100">
        <f t="shared" si="70"/>
        <v>0</v>
      </c>
      <c r="K225" s="100">
        <f t="shared" si="70"/>
        <v>37142</v>
      </c>
      <c r="L225" s="100">
        <f t="shared" si="70"/>
        <v>0</v>
      </c>
      <c r="M225" s="101">
        <f t="shared" si="70"/>
        <v>103</v>
      </c>
      <c r="N225" s="137">
        <f t="shared" si="67"/>
        <v>0.23360596049592208</v>
      </c>
    </row>
    <row r="226" spans="1:14" ht="12.75" customHeight="1" x14ac:dyDescent="0.25">
      <c r="A226" s="274">
        <v>5178</v>
      </c>
      <c r="B226" s="83">
        <v>412100</v>
      </c>
      <c r="C226" s="84" t="s">
        <v>208</v>
      </c>
      <c r="D226" s="257">
        <f>D224*0.11</f>
        <v>4250.9341368919504</v>
      </c>
      <c r="E226" s="108">
        <v>101128</v>
      </c>
      <c r="F226" s="108">
        <f>D226+E226</f>
        <v>105378.93413689196</v>
      </c>
      <c r="G226" s="100">
        <f t="shared" si="64"/>
        <v>24584</v>
      </c>
      <c r="H226" s="108"/>
      <c r="I226" s="108"/>
      <c r="J226" s="108"/>
      <c r="K226" s="108">
        <v>24516</v>
      </c>
      <c r="L226" s="108"/>
      <c r="M226" s="110">
        <v>68</v>
      </c>
      <c r="N226" s="137">
        <f t="shared" si="67"/>
        <v>0.23329140877496712</v>
      </c>
    </row>
    <row r="227" spans="1:14" ht="12.75" customHeight="1" x14ac:dyDescent="0.25">
      <c r="A227" s="274">
        <v>5179</v>
      </c>
      <c r="B227" s="83">
        <v>412200</v>
      </c>
      <c r="C227" s="84" t="s">
        <v>209</v>
      </c>
      <c r="D227" s="257">
        <f>D224*0.0515</f>
        <v>1990.2100731812311</v>
      </c>
      <c r="E227" s="108">
        <v>52066</v>
      </c>
      <c r="F227" s="108">
        <f t="shared" ref="F227:F230" si="71">D227+E227</f>
        <v>54056.210073181232</v>
      </c>
      <c r="G227" s="100">
        <f t="shared" si="64"/>
        <v>12661</v>
      </c>
      <c r="H227" s="108"/>
      <c r="I227" s="108"/>
      <c r="J227" s="108"/>
      <c r="K227" s="108">
        <v>12626</v>
      </c>
      <c r="L227" s="108"/>
      <c r="M227" s="110">
        <v>35</v>
      </c>
      <c r="N227" s="137">
        <f t="shared" si="67"/>
        <v>0.23421915785179082</v>
      </c>
    </row>
    <row r="228" spans="1:14" ht="12.75" hidden="1" customHeight="1" x14ac:dyDescent="0.25">
      <c r="A228" s="274">
        <v>5180</v>
      </c>
      <c r="B228" s="83">
        <v>412300</v>
      </c>
      <c r="C228" s="84" t="s">
        <v>210</v>
      </c>
      <c r="D228" s="257"/>
      <c r="E228" s="108"/>
      <c r="F228" s="108">
        <f t="shared" si="71"/>
        <v>0</v>
      </c>
      <c r="G228" s="109">
        <f t="shared" si="64"/>
        <v>0</v>
      </c>
      <c r="H228" s="108"/>
      <c r="I228" s="108"/>
      <c r="J228" s="108"/>
      <c r="K228" s="108"/>
      <c r="L228" s="108"/>
      <c r="M228" s="110"/>
      <c r="N228" s="137" t="e">
        <f t="shared" si="67"/>
        <v>#DIV/0!</v>
      </c>
    </row>
    <row r="229" spans="1:14" ht="12.75" hidden="1" customHeight="1" x14ac:dyDescent="0.25">
      <c r="A229" s="273">
        <v>5181</v>
      </c>
      <c r="B229" s="488">
        <v>413000</v>
      </c>
      <c r="C229" s="82" t="s">
        <v>211</v>
      </c>
      <c r="D229" s="256"/>
      <c r="E229" s="100">
        <f>E230</f>
        <v>0</v>
      </c>
      <c r="F229" s="108">
        <f t="shared" si="71"/>
        <v>0</v>
      </c>
      <c r="G229" s="100">
        <f t="shared" si="64"/>
        <v>0</v>
      </c>
      <c r="H229" s="100">
        <f t="shared" ref="H229:M229" si="72">H230</f>
        <v>0</v>
      </c>
      <c r="I229" s="100">
        <f t="shared" si="72"/>
        <v>0</v>
      </c>
      <c r="J229" s="100">
        <f t="shared" si="72"/>
        <v>0</v>
      </c>
      <c r="K229" s="100">
        <f t="shared" si="72"/>
        <v>0</v>
      </c>
      <c r="L229" s="100">
        <f t="shared" si="72"/>
        <v>0</v>
      </c>
      <c r="M229" s="101">
        <f t="shared" si="72"/>
        <v>0</v>
      </c>
      <c r="N229" s="137" t="e">
        <f t="shared" si="67"/>
        <v>#DIV/0!</v>
      </c>
    </row>
    <row r="230" spans="1:14" ht="12.75" hidden="1" customHeight="1" x14ac:dyDescent="0.25">
      <c r="A230" s="274">
        <v>5182</v>
      </c>
      <c r="B230" s="83">
        <v>413100</v>
      </c>
      <c r="C230" s="84" t="s">
        <v>212</v>
      </c>
      <c r="D230" s="257"/>
      <c r="E230" s="108"/>
      <c r="F230" s="108">
        <f t="shared" si="71"/>
        <v>0</v>
      </c>
      <c r="G230" s="109">
        <f t="shared" si="64"/>
        <v>0</v>
      </c>
      <c r="H230" s="108"/>
      <c r="I230" s="108"/>
      <c r="J230" s="108"/>
      <c r="K230" s="108"/>
      <c r="L230" s="108"/>
      <c r="M230" s="110"/>
      <c r="N230" s="137" t="e">
        <f t="shared" si="67"/>
        <v>#DIV/0!</v>
      </c>
    </row>
    <row r="231" spans="1:14" ht="12.75" customHeight="1" x14ac:dyDescent="0.25">
      <c r="A231" s="273">
        <v>5183</v>
      </c>
      <c r="B231" s="488">
        <v>414000</v>
      </c>
      <c r="C231" s="82" t="s">
        <v>213</v>
      </c>
      <c r="D231" s="258">
        <f>SUM(D232:D239)</f>
        <v>338</v>
      </c>
      <c r="E231" s="100">
        <f>SUM(E232:E239)</f>
        <v>9632</v>
      </c>
      <c r="F231" s="100">
        <f>SUM(F232:F239)</f>
        <v>9970</v>
      </c>
      <c r="G231" s="100">
        <f t="shared" si="64"/>
        <v>2951</v>
      </c>
      <c r="H231" s="100">
        <f t="shared" ref="H231:M231" si="73">SUM(H232:H239)</f>
        <v>0</v>
      </c>
      <c r="I231" s="100">
        <f t="shared" si="73"/>
        <v>0</v>
      </c>
      <c r="J231" s="100">
        <f t="shared" si="73"/>
        <v>0</v>
      </c>
      <c r="K231" s="100">
        <f t="shared" si="73"/>
        <v>2871</v>
      </c>
      <c r="L231" s="100">
        <f t="shared" si="73"/>
        <v>0</v>
      </c>
      <c r="M231" s="101">
        <f t="shared" si="73"/>
        <v>80</v>
      </c>
      <c r="N231" s="137">
        <f t="shared" si="67"/>
        <v>0.29598796389167503</v>
      </c>
    </row>
    <row r="232" spans="1:14" ht="12.75" hidden="1" customHeight="1" x14ac:dyDescent="0.25">
      <c r="A232" s="274">
        <v>5184</v>
      </c>
      <c r="B232" s="83">
        <v>414100</v>
      </c>
      <c r="C232" s="84" t="s">
        <v>214</v>
      </c>
      <c r="D232" s="257"/>
      <c r="E232" s="108"/>
      <c r="F232" s="108"/>
      <c r="G232" s="109">
        <f t="shared" si="64"/>
        <v>0</v>
      </c>
      <c r="H232" s="108"/>
      <c r="I232" s="108"/>
      <c r="J232" s="108"/>
      <c r="K232" s="108"/>
      <c r="L232" s="108"/>
      <c r="M232" s="110"/>
      <c r="N232" s="137" t="e">
        <f t="shared" si="67"/>
        <v>#DIV/0!</v>
      </c>
    </row>
    <row r="233" spans="1:14" ht="12.75" hidden="1" customHeight="1" x14ac:dyDescent="0.25">
      <c r="A233" s="274">
        <v>5185</v>
      </c>
      <c r="B233" s="83">
        <v>414200</v>
      </c>
      <c r="C233" s="84" t="s">
        <v>215</v>
      </c>
      <c r="D233" s="257"/>
      <c r="E233" s="108"/>
      <c r="F233" s="108"/>
      <c r="G233" s="109">
        <f t="shared" si="64"/>
        <v>0</v>
      </c>
      <c r="H233" s="108"/>
      <c r="I233" s="108"/>
      <c r="J233" s="108"/>
      <c r="K233" s="108"/>
      <c r="L233" s="108"/>
      <c r="M233" s="110"/>
      <c r="N233" s="137" t="e">
        <f t="shared" si="67"/>
        <v>#DIV/0!</v>
      </c>
    </row>
    <row r="234" spans="1:14" ht="12.75" customHeight="1" x14ac:dyDescent="0.25">
      <c r="A234" s="274">
        <v>5186</v>
      </c>
      <c r="B234" s="83">
        <v>414300</v>
      </c>
      <c r="C234" s="84" t="s">
        <v>216</v>
      </c>
      <c r="D234" s="257">
        <v>338</v>
      </c>
      <c r="E234" s="108">
        <v>8432</v>
      </c>
      <c r="F234" s="108">
        <f>D234+E234</f>
        <v>8770</v>
      </c>
      <c r="G234" s="109">
        <f>K234+M234</f>
        <v>2343</v>
      </c>
      <c r="H234" s="108"/>
      <c r="I234" s="108"/>
      <c r="J234" s="108"/>
      <c r="K234" s="108">
        <v>2263</v>
      </c>
      <c r="L234" s="108"/>
      <c r="M234" s="110">
        <v>80</v>
      </c>
      <c r="N234" s="137">
        <f t="shared" si="67"/>
        <v>0.26716077537058153</v>
      </c>
    </row>
    <row r="235" spans="1:14" ht="12.75" hidden="1" customHeight="1" x14ac:dyDescent="0.25">
      <c r="A235" s="645" t="s">
        <v>0</v>
      </c>
      <c r="B235" s="646" t="s">
        <v>1</v>
      </c>
      <c r="C235" s="585" t="s">
        <v>2</v>
      </c>
      <c r="D235" s="259"/>
      <c r="E235" s="585"/>
      <c r="F235" s="108">
        <f t="shared" ref="F235:F239" si="74">D235+E235</f>
        <v>0</v>
      </c>
      <c r="G235" s="575"/>
      <c r="H235" s="589"/>
      <c r="I235" s="589"/>
      <c r="J235" s="589"/>
      <c r="K235" s="589"/>
      <c r="L235" s="589"/>
      <c r="M235" s="592"/>
      <c r="N235" s="137" t="e">
        <f t="shared" si="67"/>
        <v>#DIV/0!</v>
      </c>
    </row>
    <row r="236" spans="1:14" ht="12.75" hidden="1" customHeight="1" x14ac:dyDescent="0.25">
      <c r="A236" s="645"/>
      <c r="B236" s="646"/>
      <c r="C236" s="585"/>
      <c r="D236" s="259"/>
      <c r="E236" s="585"/>
      <c r="F236" s="108">
        <f t="shared" si="74"/>
        <v>0</v>
      </c>
      <c r="G236" s="575"/>
      <c r="H236" s="575"/>
      <c r="I236" s="589"/>
      <c r="J236" s="589"/>
      <c r="K236" s="589"/>
      <c r="L236" s="575"/>
      <c r="M236" s="582"/>
      <c r="N236" s="137" t="e">
        <f t="shared" si="67"/>
        <v>#DIV/0!</v>
      </c>
    </row>
    <row r="237" spans="1:14" ht="12.75" hidden="1" customHeight="1" x14ac:dyDescent="0.25">
      <c r="A237" s="645"/>
      <c r="B237" s="646"/>
      <c r="C237" s="585"/>
      <c r="D237" s="259"/>
      <c r="E237" s="585"/>
      <c r="F237" s="108">
        <f t="shared" si="74"/>
        <v>0</v>
      </c>
      <c r="G237" s="589"/>
      <c r="H237" s="487"/>
      <c r="I237" s="487"/>
      <c r="J237" s="487"/>
      <c r="K237" s="487"/>
      <c r="L237" s="589"/>
      <c r="M237" s="592"/>
      <c r="N237" s="137" t="e">
        <f t="shared" si="67"/>
        <v>#DIV/0!</v>
      </c>
    </row>
    <row r="238" spans="1:14" ht="12.75" hidden="1" customHeight="1" x14ac:dyDescent="0.25">
      <c r="A238" s="275" t="s">
        <v>18</v>
      </c>
      <c r="B238" s="491" t="s">
        <v>19</v>
      </c>
      <c r="C238" s="485" t="s">
        <v>20</v>
      </c>
      <c r="D238" s="259"/>
      <c r="E238" s="485"/>
      <c r="F238" s="108">
        <f t="shared" si="74"/>
        <v>0</v>
      </c>
      <c r="G238" s="485"/>
      <c r="H238" s="485"/>
      <c r="I238" s="485"/>
      <c r="J238" s="485"/>
      <c r="K238" s="485"/>
      <c r="L238" s="485"/>
      <c r="M238" s="99"/>
      <c r="N238" s="137" t="e">
        <f t="shared" si="67"/>
        <v>#DIV/0!</v>
      </c>
    </row>
    <row r="239" spans="1:14" ht="25.5" customHeight="1" x14ac:dyDescent="0.25">
      <c r="A239" s="274">
        <v>5187</v>
      </c>
      <c r="B239" s="83">
        <v>414400</v>
      </c>
      <c r="C239" s="84" t="s">
        <v>218</v>
      </c>
      <c r="D239" s="257">
        <v>0</v>
      </c>
      <c r="E239" s="108">
        <v>1200</v>
      </c>
      <c r="F239" s="108">
        <f t="shared" si="74"/>
        <v>1200</v>
      </c>
      <c r="G239" s="109">
        <f>K239+M239</f>
        <v>608</v>
      </c>
      <c r="H239" s="108"/>
      <c r="I239" s="108"/>
      <c r="J239" s="108"/>
      <c r="K239" s="108">
        <v>608</v>
      </c>
      <c r="L239" s="108"/>
      <c r="M239" s="110"/>
      <c r="N239" s="137">
        <f t="shared" si="67"/>
        <v>0.50666666666666671</v>
      </c>
    </row>
    <row r="240" spans="1:14" ht="12.75" customHeight="1" x14ac:dyDescent="0.25">
      <c r="A240" s="273">
        <v>5188</v>
      </c>
      <c r="B240" s="488">
        <v>415000</v>
      </c>
      <c r="C240" s="82" t="s">
        <v>219</v>
      </c>
      <c r="D240" s="256">
        <f>D241</f>
        <v>0</v>
      </c>
      <c r="E240" s="100">
        <f>E241</f>
        <v>28788</v>
      </c>
      <c r="F240" s="100">
        <f>F241</f>
        <v>28788</v>
      </c>
      <c r="G240" s="100">
        <f t="shared" si="64"/>
        <v>6517</v>
      </c>
      <c r="H240" s="100">
        <f t="shared" ref="H240:M240" si="75">H241</f>
        <v>0</v>
      </c>
      <c r="I240" s="100">
        <f t="shared" si="75"/>
        <v>0</v>
      </c>
      <c r="J240" s="100">
        <f t="shared" si="75"/>
        <v>0</v>
      </c>
      <c r="K240" s="100">
        <f t="shared" si="75"/>
        <v>6517</v>
      </c>
      <c r="L240" s="100">
        <f t="shared" si="75"/>
        <v>0</v>
      </c>
      <c r="M240" s="101">
        <f t="shared" si="75"/>
        <v>0</v>
      </c>
      <c r="N240" s="137">
        <f t="shared" si="67"/>
        <v>0.22637904682506599</v>
      </c>
    </row>
    <row r="241" spans="1:14" ht="12.75" customHeight="1" x14ac:dyDescent="0.25">
      <c r="A241" s="274">
        <v>5189</v>
      </c>
      <c r="B241" s="83">
        <v>415100</v>
      </c>
      <c r="C241" s="84" t="s">
        <v>220</v>
      </c>
      <c r="D241" s="257">
        <v>0</v>
      </c>
      <c r="E241" s="108">
        <v>28788</v>
      </c>
      <c r="F241" s="108">
        <f>D241+E241</f>
        <v>28788</v>
      </c>
      <c r="G241" s="109">
        <f t="shared" si="64"/>
        <v>6517</v>
      </c>
      <c r="H241" s="108"/>
      <c r="I241" s="108"/>
      <c r="J241" s="108"/>
      <c r="K241" s="108">
        <v>6517</v>
      </c>
      <c r="L241" s="108"/>
      <c r="M241" s="110"/>
      <c r="N241" s="137">
        <f t="shared" si="67"/>
        <v>0.22637904682506599</v>
      </c>
    </row>
    <row r="242" spans="1:14" ht="12.75" customHeight="1" x14ac:dyDescent="0.25">
      <c r="A242" s="273">
        <v>5190</v>
      </c>
      <c r="B242" s="488">
        <v>416000</v>
      </c>
      <c r="C242" s="82" t="s">
        <v>221</v>
      </c>
      <c r="D242" s="256">
        <f>D243</f>
        <v>1227</v>
      </c>
      <c r="E242" s="100">
        <f>E243</f>
        <v>13907</v>
      </c>
      <c r="F242" s="119">
        <f>F243</f>
        <v>15134</v>
      </c>
      <c r="G242" s="119">
        <f t="shared" si="64"/>
        <v>3174</v>
      </c>
      <c r="H242" s="119">
        <f t="shared" ref="H242:M242" si="76">H243</f>
        <v>0</v>
      </c>
      <c r="I242" s="119">
        <f t="shared" si="76"/>
        <v>0</v>
      </c>
      <c r="J242" s="119">
        <f t="shared" si="76"/>
        <v>0</v>
      </c>
      <c r="K242" s="119">
        <f t="shared" si="76"/>
        <v>3174</v>
      </c>
      <c r="L242" s="119">
        <f t="shared" si="76"/>
        <v>0</v>
      </c>
      <c r="M242" s="120">
        <f t="shared" si="76"/>
        <v>0</v>
      </c>
      <c r="N242" s="137">
        <f t="shared" si="67"/>
        <v>0.20972644376899696</v>
      </c>
    </row>
    <row r="243" spans="1:14" ht="12.75" customHeight="1" x14ac:dyDescent="0.25">
      <c r="A243" s="274">
        <v>5191</v>
      </c>
      <c r="B243" s="83">
        <v>416100</v>
      </c>
      <c r="C243" s="84" t="s">
        <v>222</v>
      </c>
      <c r="D243" s="257">
        <v>1227</v>
      </c>
      <c r="E243" s="108">
        <v>13907</v>
      </c>
      <c r="F243" s="108">
        <f>D243+E243</f>
        <v>15134</v>
      </c>
      <c r="G243" s="109">
        <f t="shared" si="64"/>
        <v>3174</v>
      </c>
      <c r="H243" s="108"/>
      <c r="I243" s="108"/>
      <c r="J243" s="108"/>
      <c r="K243" s="108">
        <v>3174</v>
      </c>
      <c r="L243" s="108"/>
      <c r="M243" s="110"/>
      <c r="N243" s="137">
        <f t="shared" si="67"/>
        <v>0.20972644376899696</v>
      </c>
    </row>
    <row r="244" spans="1:14" ht="12.75" hidden="1" customHeight="1" x14ac:dyDescent="0.25">
      <c r="A244" s="273">
        <v>5192</v>
      </c>
      <c r="B244" s="488">
        <v>417000</v>
      </c>
      <c r="C244" s="82" t="s">
        <v>223</v>
      </c>
      <c r="D244" s="256"/>
      <c r="E244" s="100">
        <f>E245</f>
        <v>0</v>
      </c>
      <c r="F244" s="100">
        <f>F245</f>
        <v>0</v>
      </c>
      <c r="G244" s="100">
        <f t="shared" si="64"/>
        <v>0</v>
      </c>
      <c r="H244" s="100">
        <f t="shared" ref="H244:M244" si="77">H245</f>
        <v>0</v>
      </c>
      <c r="I244" s="100">
        <f t="shared" si="77"/>
        <v>0</v>
      </c>
      <c r="J244" s="100">
        <f t="shared" si="77"/>
        <v>0</v>
      </c>
      <c r="K244" s="100">
        <f t="shared" si="77"/>
        <v>0</v>
      </c>
      <c r="L244" s="100">
        <f t="shared" si="77"/>
        <v>0</v>
      </c>
      <c r="M244" s="101">
        <f t="shared" si="77"/>
        <v>0</v>
      </c>
      <c r="N244" s="137" t="e">
        <f t="shared" si="67"/>
        <v>#DIV/0!</v>
      </c>
    </row>
    <row r="245" spans="1:14" ht="12.75" hidden="1" customHeight="1" x14ac:dyDescent="0.25">
      <c r="A245" s="274">
        <v>5193</v>
      </c>
      <c r="B245" s="83">
        <v>417100</v>
      </c>
      <c r="C245" s="84" t="s">
        <v>224</v>
      </c>
      <c r="D245" s="257"/>
      <c r="E245" s="108"/>
      <c r="F245" s="108"/>
      <c r="G245" s="109">
        <f t="shared" si="64"/>
        <v>0</v>
      </c>
      <c r="H245" s="108"/>
      <c r="I245" s="108"/>
      <c r="J245" s="108"/>
      <c r="K245" s="108"/>
      <c r="L245" s="108"/>
      <c r="M245" s="110"/>
      <c r="N245" s="137" t="e">
        <f t="shared" si="67"/>
        <v>#DIV/0!</v>
      </c>
    </row>
    <row r="246" spans="1:14" ht="12.75" hidden="1" customHeight="1" x14ac:dyDescent="0.25">
      <c r="A246" s="273">
        <v>5194</v>
      </c>
      <c r="B246" s="488">
        <v>418000</v>
      </c>
      <c r="C246" s="82" t="s">
        <v>225</v>
      </c>
      <c r="D246" s="256"/>
      <c r="E246" s="100">
        <f>E247</f>
        <v>0</v>
      </c>
      <c r="F246" s="100">
        <f>F247</f>
        <v>0</v>
      </c>
      <c r="G246" s="100">
        <f t="shared" si="64"/>
        <v>0</v>
      </c>
      <c r="H246" s="100">
        <f t="shared" ref="H246:M246" si="78">H247</f>
        <v>0</v>
      </c>
      <c r="I246" s="100">
        <f t="shared" si="78"/>
        <v>0</v>
      </c>
      <c r="J246" s="100">
        <f t="shared" si="78"/>
        <v>0</v>
      </c>
      <c r="K246" s="100">
        <f t="shared" si="78"/>
        <v>0</v>
      </c>
      <c r="L246" s="100">
        <f t="shared" si="78"/>
        <v>0</v>
      </c>
      <c r="M246" s="101">
        <f t="shared" si="78"/>
        <v>0</v>
      </c>
      <c r="N246" s="137" t="e">
        <f t="shared" si="67"/>
        <v>#DIV/0!</v>
      </c>
    </row>
    <row r="247" spans="1:14" ht="12.75" hidden="1" customHeight="1" x14ac:dyDescent="0.25">
      <c r="A247" s="274">
        <v>5195</v>
      </c>
      <c r="B247" s="83">
        <v>418100</v>
      </c>
      <c r="C247" s="84" t="s">
        <v>226</v>
      </c>
      <c r="D247" s="257"/>
      <c r="E247" s="108"/>
      <c r="F247" s="108"/>
      <c r="G247" s="109">
        <f t="shared" si="64"/>
        <v>0</v>
      </c>
      <c r="H247" s="108"/>
      <c r="I247" s="108"/>
      <c r="J247" s="108"/>
      <c r="K247" s="108"/>
      <c r="L247" s="108"/>
      <c r="M247" s="110"/>
      <c r="N247" s="137" t="e">
        <f t="shared" si="67"/>
        <v>#DIV/0!</v>
      </c>
    </row>
    <row r="248" spans="1:14" ht="12.75" customHeight="1" x14ac:dyDescent="0.25">
      <c r="A248" s="273">
        <v>5196</v>
      </c>
      <c r="B248" s="488">
        <v>420000</v>
      </c>
      <c r="C248" s="82" t="s">
        <v>227</v>
      </c>
      <c r="D248" s="256">
        <f>D249+D257+D263+D276+D284+D287</f>
        <v>22401</v>
      </c>
      <c r="E248" s="100">
        <f>E249+E257+E263+E276+E284+E287</f>
        <v>384240</v>
      </c>
      <c r="F248" s="100">
        <f>F249+F257+F263+F276+F284+F287</f>
        <v>406641</v>
      </c>
      <c r="G248" s="100">
        <f t="shared" si="64"/>
        <v>93812</v>
      </c>
      <c r="H248" s="100">
        <f t="shared" ref="H248:M248" si="79">H249+H257+H263+H276+H284+H287</f>
        <v>263</v>
      </c>
      <c r="I248" s="100">
        <f t="shared" si="79"/>
        <v>0</v>
      </c>
      <c r="J248" s="100">
        <f t="shared" si="79"/>
        <v>5381</v>
      </c>
      <c r="K248" s="100">
        <f t="shared" si="79"/>
        <v>85791</v>
      </c>
      <c r="L248" s="100">
        <f t="shared" si="79"/>
        <v>0</v>
      </c>
      <c r="M248" s="101">
        <f t="shared" si="79"/>
        <v>2377</v>
      </c>
      <c r="N248" s="137">
        <f t="shared" si="67"/>
        <v>0.2306998064631948</v>
      </c>
    </row>
    <row r="249" spans="1:14" ht="12.75" customHeight="1" x14ac:dyDescent="0.25">
      <c r="A249" s="273">
        <v>5197</v>
      </c>
      <c r="B249" s="488">
        <v>421000</v>
      </c>
      <c r="C249" s="82" t="s">
        <v>228</v>
      </c>
      <c r="D249" s="256">
        <f>SUM(D250:D256)</f>
        <v>-1960</v>
      </c>
      <c r="E249" s="100">
        <f>SUM(E250:E256)</f>
        <v>117092</v>
      </c>
      <c r="F249" s="100">
        <f>SUM(F250:F256)</f>
        <v>115132</v>
      </c>
      <c r="G249" s="100">
        <f t="shared" si="64"/>
        <v>17214</v>
      </c>
      <c r="H249" s="100">
        <f t="shared" ref="H249:M249" si="80">SUM(H250:H256)</f>
        <v>0</v>
      </c>
      <c r="I249" s="100">
        <f t="shared" si="80"/>
        <v>0</v>
      </c>
      <c r="J249" s="100">
        <f t="shared" si="80"/>
        <v>0</v>
      </c>
      <c r="K249" s="100">
        <f t="shared" si="80"/>
        <v>16589</v>
      </c>
      <c r="L249" s="100">
        <f t="shared" si="80"/>
        <v>0</v>
      </c>
      <c r="M249" s="101">
        <f t="shared" si="80"/>
        <v>625</v>
      </c>
      <c r="N249" s="137">
        <f t="shared" si="67"/>
        <v>0.14951533891533197</v>
      </c>
    </row>
    <row r="250" spans="1:14" ht="12.75" customHeight="1" x14ac:dyDescent="0.25">
      <c r="A250" s="274">
        <v>5198</v>
      </c>
      <c r="B250" s="83">
        <v>421100</v>
      </c>
      <c r="C250" s="84" t="s">
        <v>229</v>
      </c>
      <c r="D250" s="257">
        <v>0</v>
      </c>
      <c r="E250" s="108">
        <v>1580</v>
      </c>
      <c r="F250" s="108">
        <f>D250+E250</f>
        <v>1580</v>
      </c>
      <c r="G250" s="109">
        <f t="shared" si="64"/>
        <v>203</v>
      </c>
      <c r="H250" s="108"/>
      <c r="I250" s="108"/>
      <c r="J250" s="108"/>
      <c r="K250" s="108">
        <v>180</v>
      </c>
      <c r="L250" s="108"/>
      <c r="M250" s="110">
        <v>23</v>
      </c>
      <c r="N250" s="137">
        <f t="shared" si="67"/>
        <v>0.12848101265822784</v>
      </c>
    </row>
    <row r="251" spans="1:14" ht="12.75" customHeight="1" x14ac:dyDescent="0.25">
      <c r="A251" s="274">
        <v>5199</v>
      </c>
      <c r="B251" s="83">
        <v>421200</v>
      </c>
      <c r="C251" s="84" t="s">
        <v>230</v>
      </c>
      <c r="D251" s="257">
        <v>-1660</v>
      </c>
      <c r="E251" s="108">
        <v>98556</v>
      </c>
      <c r="F251" s="108">
        <f t="shared" ref="F251:F256" si="81">D251+E251</f>
        <v>96896</v>
      </c>
      <c r="G251" s="109">
        <f t="shared" si="64"/>
        <v>13940</v>
      </c>
      <c r="H251" s="108"/>
      <c r="I251" s="108"/>
      <c r="J251" s="108"/>
      <c r="K251" s="108">
        <v>13841</v>
      </c>
      <c r="L251" s="108"/>
      <c r="M251" s="110">
        <v>99</v>
      </c>
      <c r="N251" s="137">
        <f t="shared" si="67"/>
        <v>0.14386558784676354</v>
      </c>
    </row>
    <row r="252" spans="1:14" ht="12.75" customHeight="1" x14ac:dyDescent="0.25">
      <c r="A252" s="274">
        <v>5200</v>
      </c>
      <c r="B252" s="83">
        <v>421300</v>
      </c>
      <c r="C252" s="84" t="s">
        <v>231</v>
      </c>
      <c r="D252" s="257">
        <v>-200</v>
      </c>
      <c r="E252" s="108">
        <v>11740</v>
      </c>
      <c r="F252" s="108">
        <f t="shared" si="81"/>
        <v>11540</v>
      </c>
      <c r="G252" s="109">
        <f t="shared" si="64"/>
        <v>2121</v>
      </c>
      <c r="H252" s="108"/>
      <c r="I252" s="108"/>
      <c r="J252" s="108"/>
      <c r="K252" s="108">
        <v>1802</v>
      </c>
      <c r="L252" s="108"/>
      <c r="M252" s="110">
        <v>319</v>
      </c>
      <c r="N252" s="137">
        <f t="shared" si="67"/>
        <v>0.1837954939341421</v>
      </c>
    </row>
    <row r="253" spans="1:14" ht="12.75" customHeight="1" x14ac:dyDescent="0.25">
      <c r="A253" s="274">
        <v>5201</v>
      </c>
      <c r="B253" s="83">
        <v>421400</v>
      </c>
      <c r="C253" s="84" t="s">
        <v>232</v>
      </c>
      <c r="D253" s="257">
        <v>0</v>
      </c>
      <c r="E253" s="108">
        <v>2016</v>
      </c>
      <c r="F253" s="108">
        <f t="shared" si="81"/>
        <v>2016</v>
      </c>
      <c r="G253" s="109">
        <f t="shared" si="64"/>
        <v>476</v>
      </c>
      <c r="H253" s="108"/>
      <c r="I253" s="108"/>
      <c r="J253" s="108"/>
      <c r="K253" s="108">
        <v>340</v>
      </c>
      <c r="L253" s="108"/>
      <c r="M253" s="110">
        <v>136</v>
      </c>
      <c r="N253" s="137">
        <f t="shared" si="67"/>
        <v>0.2361111111111111</v>
      </c>
    </row>
    <row r="254" spans="1:14" ht="12.75" customHeight="1" x14ac:dyDescent="0.25">
      <c r="A254" s="274">
        <v>5202</v>
      </c>
      <c r="B254" s="83">
        <v>421500</v>
      </c>
      <c r="C254" s="84" t="s">
        <v>233</v>
      </c>
      <c r="D254" s="257">
        <v>-100</v>
      </c>
      <c r="E254" s="108">
        <v>3200</v>
      </c>
      <c r="F254" s="108">
        <f t="shared" si="81"/>
        <v>3100</v>
      </c>
      <c r="G254" s="109">
        <f t="shared" si="64"/>
        <v>474</v>
      </c>
      <c r="H254" s="108"/>
      <c r="I254" s="108"/>
      <c r="J254" s="108"/>
      <c r="K254" s="108">
        <v>426</v>
      </c>
      <c r="L254" s="108"/>
      <c r="M254" s="110">
        <v>48</v>
      </c>
      <c r="N254" s="137">
        <f t="shared" si="67"/>
        <v>0.1529032258064516</v>
      </c>
    </row>
    <row r="255" spans="1:14" ht="12.75" hidden="1" customHeight="1" x14ac:dyDescent="0.25">
      <c r="A255" s="274">
        <v>5203</v>
      </c>
      <c r="B255" s="83">
        <v>421600</v>
      </c>
      <c r="C255" s="84" t="s">
        <v>234</v>
      </c>
      <c r="D255" s="257"/>
      <c r="E255" s="108"/>
      <c r="F255" s="108">
        <f t="shared" si="81"/>
        <v>0</v>
      </c>
      <c r="G255" s="109">
        <f t="shared" si="64"/>
        <v>0</v>
      </c>
      <c r="H255" s="108"/>
      <c r="I255" s="108"/>
      <c r="J255" s="108"/>
      <c r="K255" s="108"/>
      <c r="L255" s="108"/>
      <c r="M255" s="110"/>
      <c r="N255" s="137" t="e">
        <f t="shared" si="67"/>
        <v>#DIV/0!</v>
      </c>
    </row>
    <row r="256" spans="1:14" ht="12.75" hidden="1" customHeight="1" x14ac:dyDescent="0.25">
      <c r="A256" s="274">
        <v>5204</v>
      </c>
      <c r="B256" s="83">
        <v>421900</v>
      </c>
      <c r="C256" s="84" t="s">
        <v>235</v>
      </c>
      <c r="D256" s="257"/>
      <c r="E256" s="108"/>
      <c r="F256" s="108">
        <f t="shared" si="81"/>
        <v>0</v>
      </c>
      <c r="G256" s="109">
        <f t="shared" si="64"/>
        <v>0</v>
      </c>
      <c r="H256" s="108"/>
      <c r="I256" s="108"/>
      <c r="J256" s="108"/>
      <c r="K256" s="108"/>
      <c r="L256" s="108"/>
      <c r="M256" s="110"/>
      <c r="N256" s="137" t="e">
        <f t="shared" si="67"/>
        <v>#DIV/0!</v>
      </c>
    </row>
    <row r="257" spans="1:14" ht="12.75" customHeight="1" x14ac:dyDescent="0.25">
      <c r="A257" s="273">
        <v>5205</v>
      </c>
      <c r="B257" s="488">
        <v>422000</v>
      </c>
      <c r="C257" s="82" t="s">
        <v>236</v>
      </c>
      <c r="D257" s="256">
        <f>SUM(D258:D262)</f>
        <v>-100</v>
      </c>
      <c r="E257" s="100">
        <f>SUM(E258:E262)</f>
        <v>624</v>
      </c>
      <c r="F257" s="100">
        <f>SUM(F258:F262)</f>
        <v>524</v>
      </c>
      <c r="G257" s="100">
        <f t="shared" si="64"/>
        <v>95</v>
      </c>
      <c r="H257" s="100">
        <f t="shared" ref="H257:M257" si="82">SUM(H258:H262)</f>
        <v>0</v>
      </c>
      <c r="I257" s="100">
        <f t="shared" si="82"/>
        <v>0</v>
      </c>
      <c r="J257" s="100">
        <f t="shared" si="82"/>
        <v>0</v>
      </c>
      <c r="K257" s="100">
        <f t="shared" si="82"/>
        <v>5</v>
      </c>
      <c r="L257" s="100">
        <f t="shared" si="82"/>
        <v>0</v>
      </c>
      <c r="M257" s="101">
        <f t="shared" si="82"/>
        <v>90</v>
      </c>
      <c r="N257" s="137">
        <f t="shared" si="67"/>
        <v>0.18129770992366412</v>
      </c>
    </row>
    <row r="258" spans="1:14" ht="12.75" customHeight="1" x14ac:dyDescent="0.25">
      <c r="A258" s="274">
        <v>5206</v>
      </c>
      <c r="B258" s="83">
        <v>422100</v>
      </c>
      <c r="C258" s="84" t="s">
        <v>237</v>
      </c>
      <c r="D258" s="257">
        <v>-100</v>
      </c>
      <c r="E258" s="108">
        <v>624</v>
      </c>
      <c r="F258" s="108">
        <f>D258+E258</f>
        <v>524</v>
      </c>
      <c r="G258" s="109">
        <f t="shared" si="64"/>
        <v>95</v>
      </c>
      <c r="H258" s="108"/>
      <c r="I258" s="108"/>
      <c r="J258" s="108"/>
      <c r="K258" s="108">
        <v>5</v>
      </c>
      <c r="L258" s="108"/>
      <c r="M258" s="110">
        <v>90</v>
      </c>
      <c r="N258" s="137">
        <f t="shared" si="67"/>
        <v>0.18129770992366412</v>
      </c>
    </row>
    <row r="259" spans="1:14" ht="12.75" hidden="1" customHeight="1" x14ac:dyDescent="0.25">
      <c r="A259" s="274">
        <v>5207</v>
      </c>
      <c r="B259" s="83">
        <v>422200</v>
      </c>
      <c r="C259" s="84" t="s">
        <v>238</v>
      </c>
      <c r="D259" s="257"/>
      <c r="E259" s="108"/>
      <c r="F259" s="108"/>
      <c r="G259" s="109">
        <f t="shared" si="64"/>
        <v>0</v>
      </c>
      <c r="H259" s="108"/>
      <c r="I259" s="108"/>
      <c r="J259" s="108"/>
      <c r="K259" s="108"/>
      <c r="L259" s="108"/>
      <c r="M259" s="110"/>
      <c r="N259" s="137" t="e">
        <f t="shared" si="67"/>
        <v>#DIV/0!</v>
      </c>
    </row>
    <row r="260" spans="1:14" ht="12.75" hidden="1" customHeight="1" x14ac:dyDescent="0.25">
      <c r="A260" s="274">
        <v>5208</v>
      </c>
      <c r="B260" s="83">
        <v>422300</v>
      </c>
      <c r="C260" s="84" t="s">
        <v>239</v>
      </c>
      <c r="D260" s="257"/>
      <c r="E260" s="108"/>
      <c r="F260" s="108"/>
      <c r="G260" s="109">
        <f t="shared" si="64"/>
        <v>0</v>
      </c>
      <c r="H260" s="108"/>
      <c r="I260" s="108"/>
      <c r="J260" s="108"/>
      <c r="K260" s="108"/>
      <c r="L260" s="108"/>
      <c r="M260" s="110"/>
      <c r="N260" s="137" t="e">
        <f t="shared" si="67"/>
        <v>#DIV/0!</v>
      </c>
    </row>
    <row r="261" spans="1:14" ht="12.75" hidden="1" customHeight="1" x14ac:dyDescent="0.25">
      <c r="A261" s="274">
        <v>5209</v>
      </c>
      <c r="B261" s="83">
        <v>422400</v>
      </c>
      <c r="C261" s="84" t="s">
        <v>240</v>
      </c>
      <c r="D261" s="257"/>
      <c r="E261" s="108"/>
      <c r="F261" s="108"/>
      <c r="G261" s="109">
        <f t="shared" si="64"/>
        <v>0</v>
      </c>
      <c r="H261" s="108"/>
      <c r="I261" s="108"/>
      <c r="J261" s="108"/>
      <c r="K261" s="108"/>
      <c r="L261" s="108"/>
      <c r="M261" s="110"/>
      <c r="N261" s="137" t="e">
        <f t="shared" si="67"/>
        <v>#DIV/0!</v>
      </c>
    </row>
    <row r="262" spans="1:14" ht="12.75" hidden="1" customHeight="1" x14ac:dyDescent="0.25">
      <c r="A262" s="274">
        <v>5210</v>
      </c>
      <c r="B262" s="83">
        <v>422900</v>
      </c>
      <c r="C262" s="84" t="s">
        <v>241</v>
      </c>
      <c r="D262" s="257"/>
      <c r="E262" s="108"/>
      <c r="F262" s="108"/>
      <c r="G262" s="109">
        <f t="shared" si="64"/>
        <v>0</v>
      </c>
      <c r="H262" s="108"/>
      <c r="I262" s="108"/>
      <c r="J262" s="108"/>
      <c r="K262" s="108"/>
      <c r="L262" s="108"/>
      <c r="M262" s="110"/>
      <c r="N262" s="137" t="e">
        <f t="shared" si="67"/>
        <v>#DIV/0!</v>
      </c>
    </row>
    <row r="263" spans="1:14" ht="12.75" customHeight="1" x14ac:dyDescent="0.25">
      <c r="A263" s="273">
        <v>5211</v>
      </c>
      <c r="B263" s="488">
        <v>423000</v>
      </c>
      <c r="C263" s="82" t="s">
        <v>242</v>
      </c>
      <c r="D263" s="256">
        <f>SUM(D264:D275)</f>
        <v>0</v>
      </c>
      <c r="E263" s="100">
        <f>SUM(E264:E275)</f>
        <v>9869</v>
      </c>
      <c r="F263" s="100">
        <f>SUM(F264:F275)</f>
        <v>9869</v>
      </c>
      <c r="G263" s="100">
        <f t="shared" si="64"/>
        <v>2534</v>
      </c>
      <c r="H263" s="100">
        <f t="shared" ref="H263:M263" si="83">SUM(H264:H275)</f>
        <v>0</v>
      </c>
      <c r="I263" s="100">
        <f t="shared" si="83"/>
        <v>0</v>
      </c>
      <c r="J263" s="100">
        <f t="shared" si="83"/>
        <v>0</v>
      </c>
      <c r="K263" s="100">
        <f t="shared" si="83"/>
        <v>1757</v>
      </c>
      <c r="L263" s="100">
        <f t="shared" si="83"/>
        <v>0</v>
      </c>
      <c r="M263" s="101">
        <f t="shared" si="83"/>
        <v>777</v>
      </c>
      <c r="N263" s="137">
        <f t="shared" si="67"/>
        <v>0.25676360320194547</v>
      </c>
    </row>
    <row r="264" spans="1:14" ht="12.75" hidden="1" customHeight="1" x14ac:dyDescent="0.25">
      <c r="A264" s="274">
        <v>5212</v>
      </c>
      <c r="B264" s="83">
        <v>423100</v>
      </c>
      <c r="C264" s="84" t="s">
        <v>243</v>
      </c>
      <c r="D264" s="257"/>
      <c r="E264" s="108"/>
      <c r="F264" s="108"/>
      <c r="G264" s="109">
        <f t="shared" si="64"/>
        <v>0</v>
      </c>
      <c r="H264" s="108"/>
      <c r="I264" s="108"/>
      <c r="J264" s="108"/>
      <c r="K264" s="108"/>
      <c r="L264" s="108"/>
      <c r="M264" s="110"/>
      <c r="N264" s="137" t="e">
        <f t="shared" si="67"/>
        <v>#DIV/0!</v>
      </c>
    </row>
    <row r="265" spans="1:14" ht="12.75" customHeight="1" x14ac:dyDescent="0.25">
      <c r="A265" s="274">
        <v>5213</v>
      </c>
      <c r="B265" s="83">
        <v>423200</v>
      </c>
      <c r="C265" s="84" t="s">
        <v>244</v>
      </c>
      <c r="D265" s="257">
        <v>0</v>
      </c>
      <c r="E265" s="108">
        <v>3852</v>
      </c>
      <c r="F265" s="108">
        <f>D265+E265</f>
        <v>3852</v>
      </c>
      <c r="G265" s="109">
        <f t="shared" si="64"/>
        <v>810</v>
      </c>
      <c r="H265" s="108"/>
      <c r="I265" s="108"/>
      <c r="J265" s="108"/>
      <c r="K265" s="108">
        <v>810</v>
      </c>
      <c r="L265" s="108"/>
      <c r="M265" s="110"/>
      <c r="N265" s="137">
        <f t="shared" si="67"/>
        <v>0.2102803738317757</v>
      </c>
    </row>
    <row r="266" spans="1:14" ht="12.75" customHeight="1" x14ac:dyDescent="0.25">
      <c r="A266" s="274">
        <v>5214</v>
      </c>
      <c r="B266" s="83">
        <v>423300</v>
      </c>
      <c r="C266" s="84" t="s">
        <v>245</v>
      </c>
      <c r="D266" s="257">
        <v>0</v>
      </c>
      <c r="E266" s="108">
        <v>3772</v>
      </c>
      <c r="F266" s="108">
        <f t="shared" ref="F266:F275" si="84">D266+E266</f>
        <v>3772</v>
      </c>
      <c r="G266" s="109">
        <f t="shared" si="64"/>
        <v>1276</v>
      </c>
      <c r="H266" s="108"/>
      <c r="I266" s="108"/>
      <c r="J266" s="108"/>
      <c r="K266" s="108">
        <v>938</v>
      </c>
      <c r="L266" s="108"/>
      <c r="M266" s="110">
        <v>338</v>
      </c>
      <c r="N266" s="137">
        <f t="shared" si="67"/>
        <v>0.33828207847295866</v>
      </c>
    </row>
    <row r="267" spans="1:14" ht="12.75" customHeight="1" x14ac:dyDescent="0.25">
      <c r="A267" s="274">
        <v>5215</v>
      </c>
      <c r="B267" s="83">
        <v>423400</v>
      </c>
      <c r="C267" s="84" t="s">
        <v>246</v>
      </c>
      <c r="D267" s="257">
        <v>0</v>
      </c>
      <c r="E267" s="108">
        <v>100</v>
      </c>
      <c r="F267" s="108">
        <f t="shared" si="84"/>
        <v>100</v>
      </c>
      <c r="G267" s="109">
        <f t="shared" si="64"/>
        <v>9</v>
      </c>
      <c r="H267" s="108"/>
      <c r="I267" s="108"/>
      <c r="J267" s="108"/>
      <c r="K267" s="108">
        <v>9</v>
      </c>
      <c r="L267" s="108"/>
      <c r="M267" s="110"/>
      <c r="N267" s="137">
        <f t="shared" si="67"/>
        <v>0.09</v>
      </c>
    </row>
    <row r="268" spans="1:14" ht="12.75" customHeight="1" x14ac:dyDescent="0.25">
      <c r="A268" s="274">
        <v>5216</v>
      </c>
      <c r="B268" s="83">
        <v>423500</v>
      </c>
      <c r="C268" s="84" t="s">
        <v>247</v>
      </c>
      <c r="D268" s="257">
        <v>0</v>
      </c>
      <c r="E268" s="108">
        <v>1667</v>
      </c>
      <c r="F268" s="108">
        <f t="shared" si="84"/>
        <v>1667</v>
      </c>
      <c r="G268" s="109">
        <f t="shared" si="64"/>
        <v>370</v>
      </c>
      <c r="H268" s="108"/>
      <c r="I268" s="108"/>
      <c r="J268" s="108"/>
      <c r="K268" s="108"/>
      <c r="L268" s="108"/>
      <c r="M268" s="110">
        <v>370</v>
      </c>
      <c r="N268" s="137">
        <f t="shared" si="67"/>
        <v>0.22195560887822435</v>
      </c>
    </row>
    <row r="269" spans="1:14" ht="12.75" hidden="1" customHeight="1" x14ac:dyDescent="0.25">
      <c r="A269" s="274">
        <v>5217</v>
      </c>
      <c r="B269" s="83">
        <v>423600</v>
      </c>
      <c r="C269" s="84" t="s">
        <v>248</v>
      </c>
      <c r="D269" s="257">
        <v>0</v>
      </c>
      <c r="E269" s="108"/>
      <c r="F269" s="108">
        <f t="shared" si="84"/>
        <v>0</v>
      </c>
      <c r="G269" s="109">
        <f t="shared" si="64"/>
        <v>0</v>
      </c>
      <c r="H269" s="108"/>
      <c r="I269" s="108"/>
      <c r="J269" s="108"/>
      <c r="K269" s="108"/>
      <c r="L269" s="108"/>
      <c r="M269" s="110"/>
      <c r="N269" s="137" t="e">
        <f t="shared" si="67"/>
        <v>#DIV/0!</v>
      </c>
    </row>
    <row r="270" spans="1:14" ht="12.75" customHeight="1" x14ac:dyDescent="0.25">
      <c r="A270" s="274">
        <v>5218</v>
      </c>
      <c r="B270" s="83">
        <v>423700</v>
      </c>
      <c r="C270" s="84" t="s">
        <v>249</v>
      </c>
      <c r="D270" s="257">
        <v>0</v>
      </c>
      <c r="E270" s="108">
        <v>200</v>
      </c>
      <c r="F270" s="108">
        <f t="shared" si="84"/>
        <v>200</v>
      </c>
      <c r="G270" s="109">
        <f t="shared" si="64"/>
        <v>0</v>
      </c>
      <c r="H270" s="108"/>
      <c r="I270" s="108"/>
      <c r="J270" s="108"/>
      <c r="K270" s="108"/>
      <c r="L270" s="108"/>
      <c r="M270" s="110"/>
      <c r="N270" s="137">
        <f t="shared" si="67"/>
        <v>0</v>
      </c>
    </row>
    <row r="271" spans="1:14" ht="12.75" hidden="1" customHeight="1" x14ac:dyDescent="0.25">
      <c r="A271" s="645" t="s">
        <v>0</v>
      </c>
      <c r="B271" s="646" t="s">
        <v>1</v>
      </c>
      <c r="C271" s="585" t="s">
        <v>2</v>
      </c>
      <c r="D271" s="257">
        <v>0</v>
      </c>
      <c r="E271" s="585"/>
      <c r="F271" s="108">
        <f t="shared" si="84"/>
        <v>0</v>
      </c>
      <c r="G271" s="575" t="s">
        <v>198</v>
      </c>
      <c r="H271" s="589"/>
      <c r="I271" s="589"/>
      <c r="J271" s="589"/>
      <c r="K271" s="589"/>
      <c r="L271" s="589"/>
      <c r="M271" s="592"/>
      <c r="N271" s="137" t="e">
        <f t="shared" si="67"/>
        <v>#VALUE!</v>
      </c>
    </row>
    <row r="272" spans="1:14" ht="12.75" hidden="1" customHeight="1" x14ac:dyDescent="0.25">
      <c r="A272" s="645"/>
      <c r="B272" s="646"/>
      <c r="C272" s="585"/>
      <c r="D272" s="257">
        <v>0</v>
      </c>
      <c r="E272" s="585"/>
      <c r="F272" s="108">
        <f t="shared" si="84"/>
        <v>0</v>
      </c>
      <c r="G272" s="575" t="s">
        <v>199</v>
      </c>
      <c r="H272" s="575" t="s">
        <v>200</v>
      </c>
      <c r="I272" s="589"/>
      <c r="J272" s="589"/>
      <c r="K272" s="589"/>
      <c r="L272" s="575" t="s">
        <v>7</v>
      </c>
      <c r="M272" s="582" t="s">
        <v>8</v>
      </c>
      <c r="N272" s="137" t="e">
        <f t="shared" si="67"/>
        <v>#VALUE!</v>
      </c>
    </row>
    <row r="273" spans="1:14" ht="12.75" hidden="1" customHeight="1" x14ac:dyDescent="0.25">
      <c r="A273" s="645"/>
      <c r="B273" s="646"/>
      <c r="C273" s="585"/>
      <c r="D273" s="257">
        <v>0</v>
      </c>
      <c r="E273" s="585"/>
      <c r="F273" s="108">
        <f t="shared" si="84"/>
        <v>0</v>
      </c>
      <c r="G273" s="589"/>
      <c r="H273" s="487" t="s">
        <v>201</v>
      </c>
      <c r="I273" s="487" t="s">
        <v>10</v>
      </c>
      <c r="J273" s="487" t="s">
        <v>11</v>
      </c>
      <c r="K273" s="487" t="s">
        <v>12</v>
      </c>
      <c r="L273" s="589"/>
      <c r="M273" s="592"/>
      <c r="N273" s="137" t="e">
        <f t="shared" si="67"/>
        <v>#DIV/0!</v>
      </c>
    </row>
    <row r="274" spans="1:14" ht="12.75" hidden="1" customHeight="1" x14ac:dyDescent="0.25">
      <c r="A274" s="275" t="s">
        <v>18</v>
      </c>
      <c r="B274" s="491" t="s">
        <v>19</v>
      </c>
      <c r="C274" s="485" t="s">
        <v>20</v>
      </c>
      <c r="D274" s="257">
        <v>0</v>
      </c>
      <c r="E274" s="485"/>
      <c r="F274" s="108">
        <f t="shared" si="84"/>
        <v>0</v>
      </c>
      <c r="G274" s="485" t="s">
        <v>22</v>
      </c>
      <c r="H274" s="485" t="s">
        <v>23</v>
      </c>
      <c r="I274" s="485" t="s">
        <v>24</v>
      </c>
      <c r="J274" s="485" t="s">
        <v>25</v>
      </c>
      <c r="K274" s="485" t="s">
        <v>26</v>
      </c>
      <c r="L274" s="485" t="s">
        <v>27</v>
      </c>
      <c r="M274" s="99" t="s">
        <v>28</v>
      </c>
      <c r="N274" s="137" t="e">
        <f t="shared" si="67"/>
        <v>#DIV/0!</v>
      </c>
    </row>
    <row r="275" spans="1:14" ht="12.75" customHeight="1" x14ac:dyDescent="0.25">
      <c r="A275" s="274">
        <v>5219</v>
      </c>
      <c r="B275" s="83">
        <v>423900</v>
      </c>
      <c r="C275" s="84" t="s">
        <v>250</v>
      </c>
      <c r="D275" s="257">
        <v>0</v>
      </c>
      <c r="E275" s="108">
        <v>278</v>
      </c>
      <c r="F275" s="108">
        <f t="shared" si="84"/>
        <v>278</v>
      </c>
      <c r="G275" s="109">
        <f t="shared" si="64"/>
        <v>69</v>
      </c>
      <c r="H275" s="108"/>
      <c r="I275" s="108"/>
      <c r="J275" s="108"/>
      <c r="K275" s="108"/>
      <c r="L275" s="108"/>
      <c r="M275" s="110">
        <v>69</v>
      </c>
      <c r="N275" s="137">
        <f t="shared" si="67"/>
        <v>0.24820143884892087</v>
      </c>
    </row>
    <row r="276" spans="1:14" ht="12.75" customHeight="1" x14ac:dyDescent="0.25">
      <c r="A276" s="273">
        <v>5220</v>
      </c>
      <c r="B276" s="488">
        <v>424000</v>
      </c>
      <c r="C276" s="82" t="s">
        <v>251</v>
      </c>
      <c r="D276" s="256">
        <f>SUM(D277:D283)</f>
        <v>0</v>
      </c>
      <c r="E276" s="100">
        <f>SUM(E277:E283)</f>
        <v>3554</v>
      </c>
      <c r="F276" s="100">
        <f>SUM(F277:F283)</f>
        <v>3554</v>
      </c>
      <c r="G276" s="100">
        <f t="shared" si="64"/>
        <v>809</v>
      </c>
      <c r="H276" s="100">
        <f t="shared" ref="H276:M276" si="85">SUM(H277:H283)</f>
        <v>51</v>
      </c>
      <c r="I276" s="100">
        <f t="shared" si="85"/>
        <v>0</v>
      </c>
      <c r="J276" s="100">
        <f t="shared" si="85"/>
        <v>0</v>
      </c>
      <c r="K276" s="100">
        <f t="shared" si="85"/>
        <v>394</v>
      </c>
      <c r="L276" s="100">
        <f t="shared" si="85"/>
        <v>0</v>
      </c>
      <c r="M276" s="101">
        <f t="shared" si="85"/>
        <v>364</v>
      </c>
      <c r="N276" s="137">
        <f t="shared" si="67"/>
        <v>0.22763083849184018</v>
      </c>
    </row>
    <row r="277" spans="1:14" ht="12.75" hidden="1" customHeight="1" x14ac:dyDescent="0.25">
      <c r="A277" s="274">
        <v>5221</v>
      </c>
      <c r="B277" s="83">
        <v>424100</v>
      </c>
      <c r="C277" s="84" t="s">
        <v>252</v>
      </c>
      <c r="D277" s="257"/>
      <c r="E277" s="108"/>
      <c r="F277" s="108"/>
      <c r="G277" s="109">
        <f t="shared" si="64"/>
        <v>0</v>
      </c>
      <c r="H277" s="108"/>
      <c r="I277" s="108"/>
      <c r="J277" s="108"/>
      <c r="K277" s="108"/>
      <c r="L277" s="108"/>
      <c r="M277" s="110"/>
      <c r="N277" s="137" t="e">
        <f t="shared" si="67"/>
        <v>#DIV/0!</v>
      </c>
    </row>
    <row r="278" spans="1:14" ht="12.75" hidden="1" customHeight="1" x14ac:dyDescent="0.25">
      <c r="A278" s="274">
        <v>5222</v>
      </c>
      <c r="B278" s="83">
        <v>424200</v>
      </c>
      <c r="C278" s="84" t="s">
        <v>253</v>
      </c>
      <c r="D278" s="257"/>
      <c r="E278" s="108"/>
      <c r="F278" s="108"/>
      <c r="G278" s="109">
        <f t="shared" si="64"/>
        <v>0</v>
      </c>
      <c r="H278" s="108"/>
      <c r="I278" s="108"/>
      <c r="J278" s="108"/>
      <c r="K278" s="108"/>
      <c r="L278" s="108"/>
      <c r="M278" s="110"/>
      <c r="N278" s="137" t="e">
        <f t="shared" si="67"/>
        <v>#DIV/0!</v>
      </c>
    </row>
    <row r="279" spans="1:14" ht="12.75" customHeight="1" x14ac:dyDescent="0.25">
      <c r="A279" s="274">
        <v>5223</v>
      </c>
      <c r="B279" s="83">
        <v>424300</v>
      </c>
      <c r="C279" s="84" t="s">
        <v>254</v>
      </c>
      <c r="D279" s="257">
        <v>0</v>
      </c>
      <c r="E279" s="108">
        <v>1400</v>
      </c>
      <c r="F279" s="108">
        <f>D279+E279</f>
        <v>1400</v>
      </c>
      <c r="G279" s="109">
        <f t="shared" si="64"/>
        <v>480</v>
      </c>
      <c r="H279" s="108"/>
      <c r="I279" s="108"/>
      <c r="J279" s="108"/>
      <c r="K279" s="108">
        <v>394</v>
      </c>
      <c r="L279" s="108"/>
      <c r="M279" s="110">
        <v>86</v>
      </c>
      <c r="N279" s="137">
        <f t="shared" si="67"/>
        <v>0.34285714285714286</v>
      </c>
    </row>
    <row r="280" spans="1:14" ht="12.75" hidden="1" customHeight="1" x14ac:dyDescent="0.25">
      <c r="A280" s="274">
        <v>5224</v>
      </c>
      <c r="B280" s="83">
        <v>424400</v>
      </c>
      <c r="C280" s="84" t="s">
        <v>255</v>
      </c>
      <c r="D280" s="257"/>
      <c r="E280" s="108"/>
      <c r="F280" s="108">
        <f t="shared" ref="F280:F283" si="86">D280+E280</f>
        <v>0</v>
      </c>
      <c r="G280" s="109">
        <f t="shared" si="64"/>
        <v>0</v>
      </c>
      <c r="H280" s="108"/>
      <c r="I280" s="108"/>
      <c r="J280" s="108"/>
      <c r="K280" s="108"/>
      <c r="L280" s="108"/>
      <c r="M280" s="110"/>
      <c r="N280" s="137" t="e">
        <f t="shared" si="67"/>
        <v>#DIV/0!</v>
      </c>
    </row>
    <row r="281" spans="1:14" ht="12.75" hidden="1" customHeight="1" x14ac:dyDescent="0.25">
      <c r="A281" s="274">
        <v>5225</v>
      </c>
      <c r="B281" s="83">
        <v>424500</v>
      </c>
      <c r="C281" s="84" t="s">
        <v>256</v>
      </c>
      <c r="D281" s="257"/>
      <c r="E281" s="108"/>
      <c r="F281" s="108">
        <f t="shared" si="86"/>
        <v>0</v>
      </c>
      <c r="G281" s="109">
        <f t="shared" si="64"/>
        <v>0</v>
      </c>
      <c r="H281" s="108"/>
      <c r="I281" s="108"/>
      <c r="J281" s="108"/>
      <c r="K281" s="108"/>
      <c r="L281" s="108"/>
      <c r="M281" s="110"/>
      <c r="N281" s="137" t="e">
        <f t="shared" si="67"/>
        <v>#DIV/0!</v>
      </c>
    </row>
    <row r="282" spans="1:14" ht="12.75" customHeight="1" x14ac:dyDescent="0.25">
      <c r="A282" s="274">
        <v>5226</v>
      </c>
      <c r="B282" s="83">
        <v>424600</v>
      </c>
      <c r="C282" s="84" t="s">
        <v>257</v>
      </c>
      <c r="D282" s="257">
        <v>0</v>
      </c>
      <c r="E282" s="108">
        <v>342</v>
      </c>
      <c r="F282" s="108">
        <f t="shared" si="86"/>
        <v>342</v>
      </c>
      <c r="G282" s="109">
        <f t="shared" si="64"/>
        <v>33</v>
      </c>
      <c r="H282" s="108"/>
      <c r="I282" s="108"/>
      <c r="J282" s="108"/>
      <c r="K282" s="108"/>
      <c r="L282" s="108"/>
      <c r="M282" s="110">
        <v>33</v>
      </c>
      <c r="N282" s="137">
        <f t="shared" si="67"/>
        <v>9.6491228070175433E-2</v>
      </c>
    </row>
    <row r="283" spans="1:14" ht="12.75" customHeight="1" x14ac:dyDescent="0.25">
      <c r="A283" s="274">
        <v>5227</v>
      </c>
      <c r="B283" s="83">
        <v>424900</v>
      </c>
      <c r="C283" s="84" t="s">
        <v>258</v>
      </c>
      <c r="D283" s="257">
        <v>0</v>
      </c>
      <c r="E283" s="108">
        <v>1812</v>
      </c>
      <c r="F283" s="108">
        <f t="shared" si="86"/>
        <v>1812</v>
      </c>
      <c r="G283" s="109">
        <f t="shared" si="64"/>
        <v>296</v>
      </c>
      <c r="H283" s="108">
        <v>51</v>
      </c>
      <c r="I283" s="108"/>
      <c r="J283" s="108"/>
      <c r="K283" s="108"/>
      <c r="L283" s="108"/>
      <c r="M283" s="110">
        <v>245</v>
      </c>
      <c r="N283" s="137">
        <f t="shared" si="67"/>
        <v>0.16335540838852097</v>
      </c>
    </row>
    <row r="284" spans="1:14" ht="12.75" customHeight="1" x14ac:dyDescent="0.25">
      <c r="A284" s="273">
        <v>5228</v>
      </c>
      <c r="B284" s="488">
        <v>425000</v>
      </c>
      <c r="C284" s="82" t="s">
        <v>259</v>
      </c>
      <c r="D284" s="256">
        <f>D285+D286</f>
        <v>-187</v>
      </c>
      <c r="E284" s="100">
        <f>E285+E286</f>
        <v>15138</v>
      </c>
      <c r="F284" s="100">
        <f>F285+F286</f>
        <v>14951</v>
      </c>
      <c r="G284" s="100">
        <f t="shared" si="64"/>
        <v>1932</v>
      </c>
      <c r="H284" s="100">
        <f t="shared" ref="H284:M284" si="87">H285+H286</f>
        <v>0</v>
      </c>
      <c r="I284" s="100">
        <f t="shared" si="87"/>
        <v>0</v>
      </c>
      <c r="J284" s="100">
        <f t="shared" si="87"/>
        <v>0</v>
      </c>
      <c r="K284" s="100">
        <f t="shared" si="87"/>
        <v>1787</v>
      </c>
      <c r="L284" s="100">
        <f t="shared" si="87"/>
        <v>0</v>
      </c>
      <c r="M284" s="101">
        <f t="shared" si="87"/>
        <v>145</v>
      </c>
      <c r="N284" s="137">
        <f t="shared" si="67"/>
        <v>0.12922212561032706</v>
      </c>
    </row>
    <row r="285" spans="1:14" ht="12.75" customHeight="1" x14ac:dyDescent="0.25">
      <c r="A285" s="274">
        <v>5229</v>
      </c>
      <c r="B285" s="83">
        <v>425100</v>
      </c>
      <c r="C285" s="84" t="s">
        <v>260</v>
      </c>
      <c r="D285" s="257">
        <v>-187</v>
      </c>
      <c r="E285" s="108">
        <v>5000</v>
      </c>
      <c r="F285" s="108">
        <f>D285+E285</f>
        <v>4813</v>
      </c>
      <c r="G285" s="109">
        <f t="shared" si="64"/>
        <v>51</v>
      </c>
      <c r="H285" s="108"/>
      <c r="I285" s="108"/>
      <c r="J285" s="108"/>
      <c r="K285" s="108">
        <v>23</v>
      </c>
      <c r="L285" s="108"/>
      <c r="M285" s="110">
        <v>28</v>
      </c>
      <c r="N285" s="137">
        <f t="shared" ref="N285:N348" si="88">G285/F285</f>
        <v>1.0596301682942032E-2</v>
      </c>
    </row>
    <row r="286" spans="1:14" ht="12.75" customHeight="1" x14ac:dyDescent="0.25">
      <c r="A286" s="274">
        <v>5230</v>
      </c>
      <c r="B286" s="83">
        <v>425200</v>
      </c>
      <c r="C286" s="84" t="s">
        <v>261</v>
      </c>
      <c r="D286" s="257">
        <v>0</v>
      </c>
      <c r="E286" s="108">
        <v>10138</v>
      </c>
      <c r="F286" s="108">
        <f>D286+E286</f>
        <v>10138</v>
      </c>
      <c r="G286" s="109">
        <f t="shared" si="64"/>
        <v>1881</v>
      </c>
      <c r="H286" s="108"/>
      <c r="I286" s="108"/>
      <c r="J286" s="108"/>
      <c r="K286" s="108">
        <v>1764</v>
      </c>
      <c r="L286" s="108"/>
      <c r="M286" s="110">
        <v>117</v>
      </c>
      <c r="N286" s="137">
        <f t="shared" si="88"/>
        <v>0.18553955415269283</v>
      </c>
    </row>
    <row r="287" spans="1:14" ht="12.75" customHeight="1" x14ac:dyDescent="0.25">
      <c r="A287" s="273">
        <v>5231</v>
      </c>
      <c r="B287" s="488">
        <v>426000</v>
      </c>
      <c r="C287" s="82" t="s">
        <v>262</v>
      </c>
      <c r="D287" s="256">
        <f>SUM(D288:D296)</f>
        <v>24648</v>
      </c>
      <c r="E287" s="100">
        <f>SUM(E288:E296)</f>
        <v>237963</v>
      </c>
      <c r="F287" s="100">
        <f>SUM(F288:F296)</f>
        <v>262611</v>
      </c>
      <c r="G287" s="100">
        <f t="shared" si="64"/>
        <v>71228</v>
      </c>
      <c r="H287" s="100">
        <f t="shared" ref="H287:M287" si="89">SUM(H288:H296)</f>
        <v>212</v>
      </c>
      <c r="I287" s="100">
        <f t="shared" si="89"/>
        <v>0</v>
      </c>
      <c r="J287" s="100">
        <f t="shared" si="89"/>
        <v>5381</v>
      </c>
      <c r="K287" s="100">
        <f t="shared" si="89"/>
        <v>65259</v>
      </c>
      <c r="L287" s="100">
        <f t="shared" si="89"/>
        <v>0</v>
      </c>
      <c r="M287" s="101">
        <f t="shared" si="89"/>
        <v>376</v>
      </c>
      <c r="N287" s="137">
        <f t="shared" si="88"/>
        <v>0.27123007033216429</v>
      </c>
    </row>
    <row r="288" spans="1:14" ht="12.75" customHeight="1" x14ac:dyDescent="0.25">
      <c r="A288" s="274">
        <v>5232</v>
      </c>
      <c r="B288" s="83">
        <v>426100</v>
      </c>
      <c r="C288" s="84" t="s">
        <v>263</v>
      </c>
      <c r="D288" s="257">
        <v>0</v>
      </c>
      <c r="E288" s="108">
        <v>4490</v>
      </c>
      <c r="F288" s="108">
        <f>D288+E288</f>
        <v>4490</v>
      </c>
      <c r="G288" s="109">
        <f t="shared" si="64"/>
        <v>910</v>
      </c>
      <c r="H288" s="108"/>
      <c r="I288" s="108"/>
      <c r="J288" s="108"/>
      <c r="K288" s="108">
        <v>910</v>
      </c>
      <c r="L288" s="108"/>
      <c r="M288" s="110"/>
      <c r="N288" s="137">
        <f t="shared" si="88"/>
        <v>0.20267260579064589</v>
      </c>
    </row>
    <row r="289" spans="1:14" ht="12.75" hidden="1" customHeight="1" x14ac:dyDescent="0.25">
      <c r="A289" s="274">
        <v>5233</v>
      </c>
      <c r="B289" s="83">
        <v>426200</v>
      </c>
      <c r="C289" s="84" t="s">
        <v>264</v>
      </c>
      <c r="D289" s="257"/>
      <c r="E289" s="108"/>
      <c r="F289" s="108">
        <f t="shared" ref="F289:F296" si="90">D289+E289</f>
        <v>0</v>
      </c>
      <c r="G289" s="109">
        <f t="shared" si="64"/>
        <v>0</v>
      </c>
      <c r="H289" s="108"/>
      <c r="I289" s="108"/>
      <c r="J289" s="108"/>
      <c r="K289" s="108"/>
      <c r="L289" s="108"/>
      <c r="M289" s="110"/>
      <c r="N289" s="137" t="e">
        <f t="shared" si="88"/>
        <v>#DIV/0!</v>
      </c>
    </row>
    <row r="290" spans="1:14" ht="12.75" customHeight="1" x14ac:dyDescent="0.25">
      <c r="A290" s="274">
        <v>5234</v>
      </c>
      <c r="B290" s="83">
        <v>426300</v>
      </c>
      <c r="C290" s="84" t="s">
        <v>265</v>
      </c>
      <c r="D290" s="257">
        <v>0</v>
      </c>
      <c r="E290" s="108">
        <v>110</v>
      </c>
      <c r="F290" s="108">
        <f t="shared" si="90"/>
        <v>110</v>
      </c>
      <c r="G290" s="109">
        <f t="shared" si="64"/>
        <v>7</v>
      </c>
      <c r="H290" s="108"/>
      <c r="I290" s="108"/>
      <c r="J290" s="108"/>
      <c r="K290" s="108"/>
      <c r="L290" s="108"/>
      <c r="M290" s="110">
        <v>7</v>
      </c>
      <c r="N290" s="137">
        <f t="shared" si="88"/>
        <v>6.363636363636363E-2</v>
      </c>
    </row>
    <row r="291" spans="1:14" ht="12.75" customHeight="1" x14ac:dyDescent="0.25">
      <c r="A291" s="274">
        <v>5235</v>
      </c>
      <c r="B291" s="83">
        <v>426400</v>
      </c>
      <c r="C291" s="84" t="s">
        <v>266</v>
      </c>
      <c r="D291" s="257">
        <v>0</v>
      </c>
      <c r="E291" s="108">
        <v>2040</v>
      </c>
      <c r="F291" s="108">
        <f t="shared" si="90"/>
        <v>2040</v>
      </c>
      <c r="G291" s="109">
        <f t="shared" si="64"/>
        <v>321</v>
      </c>
      <c r="H291" s="111"/>
      <c r="I291" s="111"/>
      <c r="J291" s="111"/>
      <c r="K291" s="111">
        <v>321</v>
      </c>
      <c r="L291" s="111"/>
      <c r="M291" s="112"/>
      <c r="N291" s="137">
        <f t="shared" si="88"/>
        <v>0.15735294117647058</v>
      </c>
    </row>
    <row r="292" spans="1:14" ht="12.75" hidden="1" customHeight="1" x14ac:dyDescent="0.25">
      <c r="A292" s="274">
        <v>5236</v>
      </c>
      <c r="B292" s="83">
        <v>426500</v>
      </c>
      <c r="C292" s="84" t="s">
        <v>267</v>
      </c>
      <c r="D292" s="257"/>
      <c r="E292" s="108"/>
      <c r="F292" s="108">
        <f t="shared" si="90"/>
        <v>0</v>
      </c>
      <c r="G292" s="109">
        <f t="shared" ref="G292:G367" si="91">SUM(H292:M292)</f>
        <v>0</v>
      </c>
      <c r="H292" s="108"/>
      <c r="I292" s="108"/>
      <c r="J292" s="108"/>
      <c r="K292" s="108"/>
      <c r="L292" s="108"/>
      <c r="M292" s="110"/>
      <c r="N292" s="137" t="e">
        <f t="shared" si="88"/>
        <v>#DIV/0!</v>
      </c>
    </row>
    <row r="293" spans="1:14" ht="12.75" hidden="1" customHeight="1" x14ac:dyDescent="0.25">
      <c r="A293" s="274">
        <v>5237</v>
      </c>
      <c r="B293" s="83">
        <v>426600</v>
      </c>
      <c r="C293" s="84" t="s">
        <v>268</v>
      </c>
      <c r="D293" s="257"/>
      <c r="E293" s="108"/>
      <c r="F293" s="108">
        <f t="shared" si="90"/>
        <v>0</v>
      </c>
      <c r="G293" s="109">
        <f t="shared" si="91"/>
        <v>0</v>
      </c>
      <c r="H293" s="108"/>
      <c r="I293" s="108"/>
      <c r="J293" s="108"/>
      <c r="K293" s="108"/>
      <c r="L293" s="108"/>
      <c r="M293" s="110"/>
      <c r="N293" s="137" t="e">
        <f t="shared" si="88"/>
        <v>#DIV/0!</v>
      </c>
    </row>
    <row r="294" spans="1:14" ht="12.75" customHeight="1" x14ac:dyDescent="0.25">
      <c r="A294" s="274">
        <v>5238</v>
      </c>
      <c r="B294" s="83">
        <v>426700</v>
      </c>
      <c r="C294" s="84" t="s">
        <v>269</v>
      </c>
      <c r="D294" s="257">
        <f>7844+2067+600+5116+7526+4581-7084-1083-2505+1158</f>
        <v>18220</v>
      </c>
      <c r="E294" s="108">
        <v>209806</v>
      </c>
      <c r="F294" s="108">
        <f t="shared" si="90"/>
        <v>228026</v>
      </c>
      <c r="G294" s="109">
        <f t="shared" si="91"/>
        <v>58322</v>
      </c>
      <c r="H294" s="108"/>
      <c r="I294" s="108"/>
      <c r="J294" s="108"/>
      <c r="K294" s="108">
        <v>58176</v>
      </c>
      <c r="L294" s="108"/>
      <c r="M294" s="110">
        <v>146</v>
      </c>
      <c r="N294" s="137">
        <f t="shared" si="88"/>
        <v>0.25576907896467949</v>
      </c>
    </row>
    <row r="295" spans="1:14" ht="12.75" customHeight="1" x14ac:dyDescent="0.25">
      <c r="A295" s="274">
        <v>5239</v>
      </c>
      <c r="B295" s="83">
        <v>426800</v>
      </c>
      <c r="C295" s="84" t="s">
        <v>515</v>
      </c>
      <c r="D295" s="257">
        <v>1047</v>
      </c>
      <c r="E295" s="108">
        <v>16860</v>
      </c>
      <c r="F295" s="108">
        <f t="shared" si="90"/>
        <v>17907</v>
      </c>
      <c r="G295" s="109">
        <f t="shared" si="91"/>
        <v>4397</v>
      </c>
      <c r="H295" s="108"/>
      <c r="I295" s="108"/>
      <c r="J295" s="108"/>
      <c r="K295" s="108">
        <v>4247</v>
      </c>
      <c r="L295" s="108"/>
      <c r="M295" s="110">
        <v>150</v>
      </c>
      <c r="N295" s="137">
        <f t="shared" si="88"/>
        <v>0.24554643435528006</v>
      </c>
    </row>
    <row r="296" spans="1:14" ht="12.75" customHeight="1" x14ac:dyDescent="0.25">
      <c r="A296" s="274">
        <v>5240</v>
      </c>
      <c r="B296" s="83">
        <v>426900</v>
      </c>
      <c r="C296" s="84" t="s">
        <v>270</v>
      </c>
      <c r="D296" s="257">
        <v>5381</v>
      </c>
      <c r="E296" s="108">
        <v>4657</v>
      </c>
      <c r="F296" s="108">
        <f t="shared" si="90"/>
        <v>10038</v>
      </c>
      <c r="G296" s="109">
        <f t="shared" si="91"/>
        <v>7271</v>
      </c>
      <c r="H296" s="108">
        <v>212</v>
      </c>
      <c r="I296" s="108"/>
      <c r="J296" s="108">
        <v>5381</v>
      </c>
      <c r="K296" s="108">
        <v>1605</v>
      </c>
      <c r="L296" s="108"/>
      <c r="M296" s="110">
        <v>73</v>
      </c>
      <c r="N296" s="137">
        <f>G296/F296</f>
        <v>0.72434747957760515</v>
      </c>
    </row>
    <row r="297" spans="1:14" ht="12.75" hidden="1" customHeight="1" x14ac:dyDescent="0.25">
      <c r="A297" s="273">
        <v>5241</v>
      </c>
      <c r="B297" s="488">
        <v>430000</v>
      </c>
      <c r="C297" s="82" t="s">
        <v>271</v>
      </c>
      <c r="D297" s="256"/>
      <c r="E297" s="100">
        <f>E298+E306+E308+E310+E314</f>
        <v>0</v>
      </c>
      <c r="F297" s="100">
        <f>F298+F306+F308+F310+F314</f>
        <v>0</v>
      </c>
      <c r="G297" s="100">
        <f t="shared" si="91"/>
        <v>0</v>
      </c>
      <c r="H297" s="100">
        <f t="shared" ref="H297:M297" si="92">H298+H306+H308+H310+H314</f>
        <v>0</v>
      </c>
      <c r="I297" s="100">
        <f t="shared" si="92"/>
        <v>0</v>
      </c>
      <c r="J297" s="100">
        <f t="shared" si="92"/>
        <v>0</v>
      </c>
      <c r="K297" s="100">
        <f t="shared" si="92"/>
        <v>0</v>
      </c>
      <c r="L297" s="100">
        <f t="shared" si="92"/>
        <v>0</v>
      </c>
      <c r="M297" s="101">
        <f t="shared" si="92"/>
        <v>0</v>
      </c>
      <c r="N297" s="137" t="e">
        <f t="shared" si="88"/>
        <v>#DIV/0!</v>
      </c>
    </row>
    <row r="298" spans="1:14" ht="12.75" hidden="1" customHeight="1" x14ac:dyDescent="0.25">
      <c r="A298" s="273">
        <v>5242</v>
      </c>
      <c r="B298" s="488">
        <v>431000</v>
      </c>
      <c r="C298" s="82" t="s">
        <v>272</v>
      </c>
      <c r="D298" s="256"/>
      <c r="E298" s="100">
        <f>SUM(E299:E301)</f>
        <v>0</v>
      </c>
      <c r="F298" s="100">
        <f>SUM(F299:F301)</f>
        <v>0</v>
      </c>
      <c r="G298" s="100">
        <f t="shared" si="91"/>
        <v>0</v>
      </c>
      <c r="H298" s="100">
        <f t="shared" ref="H298:M298" si="93">SUM(H299:H301)</f>
        <v>0</v>
      </c>
      <c r="I298" s="100">
        <f t="shared" si="93"/>
        <v>0</v>
      </c>
      <c r="J298" s="100">
        <f t="shared" si="93"/>
        <v>0</v>
      </c>
      <c r="K298" s="100">
        <f t="shared" si="93"/>
        <v>0</v>
      </c>
      <c r="L298" s="100">
        <f t="shared" si="93"/>
        <v>0</v>
      </c>
      <c r="M298" s="101">
        <f t="shared" si="93"/>
        <v>0</v>
      </c>
      <c r="N298" s="137" t="e">
        <f t="shared" si="88"/>
        <v>#DIV/0!</v>
      </c>
    </row>
    <row r="299" spans="1:14" ht="12.75" hidden="1" customHeight="1" x14ac:dyDescent="0.25">
      <c r="A299" s="274">
        <v>5243</v>
      </c>
      <c r="B299" s="83">
        <v>431100</v>
      </c>
      <c r="C299" s="84" t="s">
        <v>273</v>
      </c>
      <c r="D299" s="257"/>
      <c r="E299" s="108"/>
      <c r="F299" s="108"/>
      <c r="G299" s="109">
        <f t="shared" si="91"/>
        <v>0</v>
      </c>
      <c r="H299" s="108"/>
      <c r="I299" s="108"/>
      <c r="J299" s="108"/>
      <c r="K299" s="108"/>
      <c r="L299" s="108"/>
      <c r="M299" s="110"/>
      <c r="N299" s="137" t="e">
        <f t="shared" si="88"/>
        <v>#DIV/0!</v>
      </c>
    </row>
    <row r="300" spans="1:14" ht="12.75" hidden="1" customHeight="1" x14ac:dyDescent="0.25">
      <c r="A300" s="274">
        <v>5244</v>
      </c>
      <c r="B300" s="83">
        <v>431200</v>
      </c>
      <c r="C300" s="84" t="s">
        <v>274</v>
      </c>
      <c r="D300" s="257"/>
      <c r="E300" s="108"/>
      <c r="F300" s="108"/>
      <c r="G300" s="109">
        <f t="shared" si="91"/>
        <v>0</v>
      </c>
      <c r="H300" s="108"/>
      <c r="I300" s="108"/>
      <c r="J300" s="108"/>
      <c r="K300" s="108"/>
      <c r="L300" s="108"/>
      <c r="M300" s="110"/>
      <c r="N300" s="137" t="e">
        <f t="shared" si="88"/>
        <v>#DIV/0!</v>
      </c>
    </row>
    <row r="301" spans="1:14" ht="12.75" hidden="1" customHeight="1" x14ac:dyDescent="0.25">
      <c r="A301" s="274">
        <v>5245</v>
      </c>
      <c r="B301" s="83">
        <v>431300</v>
      </c>
      <c r="C301" s="84" t="s">
        <v>275</v>
      </c>
      <c r="D301" s="257"/>
      <c r="E301" s="108"/>
      <c r="F301" s="108"/>
      <c r="G301" s="109">
        <f t="shared" si="91"/>
        <v>0</v>
      </c>
      <c r="H301" s="108"/>
      <c r="I301" s="108"/>
      <c r="J301" s="108"/>
      <c r="K301" s="108"/>
      <c r="L301" s="108"/>
      <c r="M301" s="110"/>
      <c r="N301" s="137" t="e">
        <f t="shared" si="88"/>
        <v>#DIV/0!</v>
      </c>
    </row>
    <row r="302" spans="1:14" ht="12.75" hidden="1" customHeight="1" x14ac:dyDescent="0.25">
      <c r="A302" s="645" t="s">
        <v>0</v>
      </c>
      <c r="B302" s="646" t="s">
        <v>1</v>
      </c>
      <c r="C302" s="585" t="s">
        <v>2</v>
      </c>
      <c r="D302" s="259"/>
      <c r="E302" s="585" t="s">
        <v>217</v>
      </c>
      <c r="F302" s="486" t="s">
        <v>217</v>
      </c>
      <c r="G302" s="575" t="s">
        <v>198</v>
      </c>
      <c r="H302" s="589"/>
      <c r="I302" s="589"/>
      <c r="J302" s="589"/>
      <c r="K302" s="589"/>
      <c r="L302" s="589"/>
      <c r="M302" s="592"/>
      <c r="N302" s="137" t="e">
        <f t="shared" si="88"/>
        <v>#VALUE!</v>
      </c>
    </row>
    <row r="303" spans="1:14" ht="12.75" hidden="1" customHeight="1" x14ac:dyDescent="0.25">
      <c r="A303" s="645"/>
      <c r="B303" s="646"/>
      <c r="C303" s="585"/>
      <c r="D303" s="259"/>
      <c r="E303" s="585"/>
      <c r="F303" s="486"/>
      <c r="G303" s="575" t="s">
        <v>199</v>
      </c>
      <c r="H303" s="575" t="s">
        <v>200</v>
      </c>
      <c r="I303" s="589"/>
      <c r="J303" s="589"/>
      <c r="K303" s="589"/>
      <c r="L303" s="575" t="s">
        <v>7</v>
      </c>
      <c r="M303" s="582" t="s">
        <v>8</v>
      </c>
      <c r="N303" s="137" t="e">
        <f t="shared" si="88"/>
        <v>#VALUE!</v>
      </c>
    </row>
    <row r="304" spans="1:14" ht="12.75" hidden="1" customHeight="1" x14ac:dyDescent="0.25">
      <c r="A304" s="645"/>
      <c r="B304" s="646"/>
      <c r="C304" s="585"/>
      <c r="D304" s="259"/>
      <c r="E304" s="585"/>
      <c r="F304" s="486"/>
      <c r="G304" s="589"/>
      <c r="H304" s="487" t="s">
        <v>201</v>
      </c>
      <c r="I304" s="487" t="s">
        <v>10</v>
      </c>
      <c r="J304" s="487" t="s">
        <v>11</v>
      </c>
      <c r="K304" s="487" t="s">
        <v>12</v>
      </c>
      <c r="L304" s="589"/>
      <c r="M304" s="592"/>
      <c r="N304" s="137" t="e">
        <f t="shared" si="88"/>
        <v>#DIV/0!</v>
      </c>
    </row>
    <row r="305" spans="1:14" ht="12.75" hidden="1" customHeight="1" x14ac:dyDescent="0.25">
      <c r="A305" s="275" t="s">
        <v>18</v>
      </c>
      <c r="B305" s="491" t="s">
        <v>19</v>
      </c>
      <c r="C305" s="485" t="s">
        <v>20</v>
      </c>
      <c r="D305" s="259"/>
      <c r="E305" s="485" t="s">
        <v>21</v>
      </c>
      <c r="F305" s="485" t="s">
        <v>21</v>
      </c>
      <c r="G305" s="485" t="s">
        <v>22</v>
      </c>
      <c r="H305" s="485" t="s">
        <v>23</v>
      </c>
      <c r="I305" s="485" t="s">
        <v>24</v>
      </c>
      <c r="J305" s="485" t="s">
        <v>25</v>
      </c>
      <c r="K305" s="485" t="s">
        <v>26</v>
      </c>
      <c r="L305" s="485" t="s">
        <v>27</v>
      </c>
      <c r="M305" s="99" t="s">
        <v>28</v>
      </c>
      <c r="N305" s="137">
        <f t="shared" si="88"/>
        <v>1.25</v>
      </c>
    </row>
    <row r="306" spans="1:14" ht="12.75" hidden="1" customHeight="1" x14ac:dyDescent="0.25">
      <c r="A306" s="273">
        <v>5246</v>
      </c>
      <c r="B306" s="488">
        <v>432000</v>
      </c>
      <c r="C306" s="82" t="s">
        <v>276</v>
      </c>
      <c r="D306" s="256"/>
      <c r="E306" s="100">
        <f>E307</f>
        <v>0</v>
      </c>
      <c r="F306" s="100">
        <f>F307</f>
        <v>0</v>
      </c>
      <c r="G306" s="100">
        <f t="shared" si="91"/>
        <v>0</v>
      </c>
      <c r="H306" s="100">
        <f t="shared" ref="H306:M306" si="94">H307</f>
        <v>0</v>
      </c>
      <c r="I306" s="100">
        <f t="shared" si="94"/>
        <v>0</v>
      </c>
      <c r="J306" s="100">
        <f t="shared" si="94"/>
        <v>0</v>
      </c>
      <c r="K306" s="100">
        <f t="shared" si="94"/>
        <v>0</v>
      </c>
      <c r="L306" s="100">
        <f t="shared" si="94"/>
        <v>0</v>
      </c>
      <c r="M306" s="101">
        <f t="shared" si="94"/>
        <v>0</v>
      </c>
      <c r="N306" s="137" t="e">
        <f t="shared" si="88"/>
        <v>#DIV/0!</v>
      </c>
    </row>
    <row r="307" spans="1:14" ht="12.75" hidden="1" customHeight="1" x14ac:dyDescent="0.25">
      <c r="A307" s="274">
        <v>5247</v>
      </c>
      <c r="B307" s="83">
        <v>432100</v>
      </c>
      <c r="C307" s="84" t="s">
        <v>277</v>
      </c>
      <c r="D307" s="257"/>
      <c r="E307" s="108"/>
      <c r="F307" s="108"/>
      <c r="G307" s="109">
        <f t="shared" si="91"/>
        <v>0</v>
      </c>
      <c r="H307" s="108"/>
      <c r="I307" s="108"/>
      <c r="J307" s="108"/>
      <c r="K307" s="108"/>
      <c r="L307" s="108"/>
      <c r="M307" s="110"/>
      <c r="N307" s="137" t="e">
        <f t="shared" si="88"/>
        <v>#DIV/0!</v>
      </c>
    </row>
    <row r="308" spans="1:14" ht="12.75" hidden="1" customHeight="1" x14ac:dyDescent="0.25">
      <c r="A308" s="273">
        <v>5248</v>
      </c>
      <c r="B308" s="488">
        <v>433000</v>
      </c>
      <c r="C308" s="82" t="s">
        <v>278</v>
      </c>
      <c r="D308" s="256"/>
      <c r="E308" s="100">
        <f>E309</f>
        <v>0</v>
      </c>
      <c r="F308" s="100">
        <f>F309</f>
        <v>0</v>
      </c>
      <c r="G308" s="100">
        <f t="shared" si="91"/>
        <v>0</v>
      </c>
      <c r="H308" s="100">
        <f t="shared" ref="H308:M308" si="95">H309</f>
        <v>0</v>
      </c>
      <c r="I308" s="100">
        <f t="shared" si="95"/>
        <v>0</v>
      </c>
      <c r="J308" s="100">
        <f t="shared" si="95"/>
        <v>0</v>
      </c>
      <c r="K308" s="100">
        <f t="shared" si="95"/>
        <v>0</v>
      </c>
      <c r="L308" s="100">
        <f t="shared" si="95"/>
        <v>0</v>
      </c>
      <c r="M308" s="101">
        <f t="shared" si="95"/>
        <v>0</v>
      </c>
      <c r="N308" s="137" t="e">
        <f t="shared" si="88"/>
        <v>#DIV/0!</v>
      </c>
    </row>
    <row r="309" spans="1:14" ht="12.75" hidden="1" customHeight="1" x14ac:dyDescent="0.25">
      <c r="A309" s="274">
        <v>5249</v>
      </c>
      <c r="B309" s="83">
        <v>433100</v>
      </c>
      <c r="C309" s="84" t="s">
        <v>279</v>
      </c>
      <c r="D309" s="257"/>
      <c r="E309" s="108"/>
      <c r="F309" s="108"/>
      <c r="G309" s="109">
        <f t="shared" si="91"/>
        <v>0</v>
      </c>
      <c r="H309" s="108"/>
      <c r="I309" s="108"/>
      <c r="J309" s="108"/>
      <c r="K309" s="108"/>
      <c r="L309" s="108"/>
      <c r="M309" s="110"/>
      <c r="N309" s="137" t="e">
        <f t="shared" si="88"/>
        <v>#DIV/0!</v>
      </c>
    </row>
    <row r="310" spans="1:14" ht="12.75" hidden="1" customHeight="1" x14ac:dyDescent="0.25">
      <c r="A310" s="273">
        <v>5250</v>
      </c>
      <c r="B310" s="488">
        <v>434000</v>
      </c>
      <c r="C310" s="82" t="s">
        <v>280</v>
      </c>
      <c r="D310" s="256"/>
      <c r="E310" s="100">
        <f>SUM(E311:E313)</f>
        <v>0</v>
      </c>
      <c r="F310" s="100">
        <f>SUM(F311:F313)</f>
        <v>0</v>
      </c>
      <c r="G310" s="100">
        <f t="shared" si="91"/>
        <v>0</v>
      </c>
      <c r="H310" s="100">
        <f t="shared" ref="H310:M310" si="96">SUM(H311:H313)</f>
        <v>0</v>
      </c>
      <c r="I310" s="100">
        <f t="shared" si="96"/>
        <v>0</v>
      </c>
      <c r="J310" s="100">
        <f t="shared" si="96"/>
        <v>0</v>
      </c>
      <c r="K310" s="100">
        <f t="shared" si="96"/>
        <v>0</v>
      </c>
      <c r="L310" s="100">
        <f t="shared" si="96"/>
        <v>0</v>
      </c>
      <c r="M310" s="101">
        <f t="shared" si="96"/>
        <v>0</v>
      </c>
      <c r="N310" s="137" t="e">
        <f t="shared" si="88"/>
        <v>#DIV/0!</v>
      </c>
    </row>
    <row r="311" spans="1:14" ht="12.75" hidden="1" customHeight="1" x14ac:dyDescent="0.25">
      <c r="A311" s="274">
        <v>5251</v>
      </c>
      <c r="B311" s="83">
        <v>434100</v>
      </c>
      <c r="C311" s="84" t="s">
        <v>281</v>
      </c>
      <c r="D311" s="257"/>
      <c r="E311" s="108"/>
      <c r="F311" s="108"/>
      <c r="G311" s="109">
        <f t="shared" si="91"/>
        <v>0</v>
      </c>
      <c r="H311" s="108"/>
      <c r="I311" s="108"/>
      <c r="J311" s="108"/>
      <c r="K311" s="108"/>
      <c r="L311" s="108"/>
      <c r="M311" s="110"/>
      <c r="N311" s="137" t="e">
        <f t="shared" si="88"/>
        <v>#DIV/0!</v>
      </c>
    </row>
    <row r="312" spans="1:14" ht="12.75" hidden="1" customHeight="1" x14ac:dyDescent="0.25">
      <c r="A312" s="274">
        <v>5252</v>
      </c>
      <c r="B312" s="83">
        <v>434200</v>
      </c>
      <c r="C312" s="84" t="s">
        <v>282</v>
      </c>
      <c r="D312" s="257"/>
      <c r="E312" s="108"/>
      <c r="F312" s="108"/>
      <c r="G312" s="109">
        <f t="shared" si="91"/>
        <v>0</v>
      </c>
      <c r="H312" s="108"/>
      <c r="I312" s="108"/>
      <c r="J312" s="108"/>
      <c r="K312" s="108"/>
      <c r="L312" s="108"/>
      <c r="M312" s="110"/>
      <c r="N312" s="137" t="e">
        <f t="shared" si="88"/>
        <v>#DIV/0!</v>
      </c>
    </row>
    <row r="313" spans="1:14" ht="12.75" hidden="1" customHeight="1" x14ac:dyDescent="0.25">
      <c r="A313" s="274">
        <v>5253</v>
      </c>
      <c r="B313" s="83">
        <v>434300</v>
      </c>
      <c r="C313" s="84" t="s">
        <v>283</v>
      </c>
      <c r="D313" s="257"/>
      <c r="E313" s="108"/>
      <c r="F313" s="108"/>
      <c r="G313" s="109">
        <f t="shared" si="91"/>
        <v>0</v>
      </c>
      <c r="H313" s="108"/>
      <c r="I313" s="108"/>
      <c r="J313" s="108"/>
      <c r="K313" s="108"/>
      <c r="L313" s="108"/>
      <c r="M313" s="110"/>
      <c r="N313" s="137" t="e">
        <f t="shared" si="88"/>
        <v>#DIV/0!</v>
      </c>
    </row>
    <row r="314" spans="1:14" ht="12.75" hidden="1" customHeight="1" x14ac:dyDescent="0.25">
      <c r="A314" s="273">
        <v>5254</v>
      </c>
      <c r="B314" s="488">
        <v>435000</v>
      </c>
      <c r="C314" s="82" t="s">
        <v>284</v>
      </c>
      <c r="D314" s="256"/>
      <c r="E314" s="100">
        <f>E315</f>
        <v>0</v>
      </c>
      <c r="F314" s="100">
        <f>F315</f>
        <v>0</v>
      </c>
      <c r="G314" s="100">
        <f t="shared" si="91"/>
        <v>0</v>
      </c>
      <c r="H314" s="100">
        <f t="shared" ref="H314:M314" si="97">H315</f>
        <v>0</v>
      </c>
      <c r="I314" s="100">
        <f t="shared" si="97"/>
        <v>0</v>
      </c>
      <c r="J314" s="100">
        <f t="shared" si="97"/>
        <v>0</v>
      </c>
      <c r="K314" s="100">
        <f t="shared" si="97"/>
        <v>0</v>
      </c>
      <c r="L314" s="100">
        <f t="shared" si="97"/>
        <v>0</v>
      </c>
      <c r="M314" s="101">
        <f t="shared" si="97"/>
        <v>0</v>
      </c>
      <c r="N314" s="137" t="e">
        <f t="shared" si="88"/>
        <v>#DIV/0!</v>
      </c>
    </row>
    <row r="315" spans="1:14" ht="12.75" hidden="1" customHeight="1" x14ac:dyDescent="0.25">
      <c r="A315" s="274">
        <v>5255</v>
      </c>
      <c r="B315" s="83">
        <v>435100</v>
      </c>
      <c r="C315" s="84" t="s">
        <v>285</v>
      </c>
      <c r="D315" s="257"/>
      <c r="E315" s="108"/>
      <c r="F315" s="108"/>
      <c r="G315" s="109">
        <f t="shared" si="91"/>
        <v>0</v>
      </c>
      <c r="H315" s="108"/>
      <c r="I315" s="108"/>
      <c r="J315" s="108"/>
      <c r="K315" s="108"/>
      <c r="L315" s="108"/>
      <c r="M315" s="110"/>
      <c r="N315" s="137" t="e">
        <f t="shared" si="88"/>
        <v>#DIV/0!</v>
      </c>
    </row>
    <row r="316" spans="1:14" ht="12.75" customHeight="1" x14ac:dyDescent="0.25">
      <c r="A316" s="273">
        <v>5256</v>
      </c>
      <c r="B316" s="488">
        <v>440000</v>
      </c>
      <c r="C316" s="82" t="s">
        <v>286</v>
      </c>
      <c r="D316" s="256">
        <f>D317+D327+D338+D340</f>
        <v>0</v>
      </c>
      <c r="E316" s="100">
        <f>E317+E327+E338+E340</f>
        <v>600</v>
      </c>
      <c r="F316" s="100">
        <f>F317+F327+F338+F340</f>
        <v>600</v>
      </c>
      <c r="G316" s="100">
        <f t="shared" si="91"/>
        <v>0</v>
      </c>
      <c r="H316" s="100">
        <f t="shared" ref="H316:M316" si="98">H317+H327+H338+H340</f>
        <v>0</v>
      </c>
      <c r="I316" s="100">
        <f t="shared" si="98"/>
        <v>0</v>
      </c>
      <c r="J316" s="100">
        <f t="shared" si="98"/>
        <v>0</v>
      </c>
      <c r="K316" s="100">
        <f t="shared" si="98"/>
        <v>0</v>
      </c>
      <c r="L316" s="100">
        <f t="shared" si="98"/>
        <v>0</v>
      </c>
      <c r="M316" s="101">
        <f t="shared" si="98"/>
        <v>0</v>
      </c>
      <c r="N316" s="137">
        <f t="shared" si="88"/>
        <v>0</v>
      </c>
    </row>
    <row r="317" spans="1:14" ht="12.75" customHeight="1" x14ac:dyDescent="0.25">
      <c r="A317" s="273">
        <v>5257</v>
      </c>
      <c r="B317" s="488">
        <v>441000</v>
      </c>
      <c r="C317" s="82" t="s">
        <v>287</v>
      </c>
      <c r="D317" s="256">
        <f>SUM(D318:D326)</f>
        <v>0</v>
      </c>
      <c r="E317" s="100">
        <f>SUM(E318:E326)</f>
        <v>600</v>
      </c>
      <c r="F317" s="100">
        <f>SUM(F318:F326)</f>
        <v>600</v>
      </c>
      <c r="G317" s="100">
        <f t="shared" si="91"/>
        <v>0</v>
      </c>
      <c r="H317" s="100">
        <f t="shared" ref="H317:M317" si="99">SUM(H318:H326)</f>
        <v>0</v>
      </c>
      <c r="I317" s="100">
        <f t="shared" si="99"/>
        <v>0</v>
      </c>
      <c r="J317" s="100">
        <f t="shared" si="99"/>
        <v>0</v>
      </c>
      <c r="K317" s="100">
        <f t="shared" si="99"/>
        <v>0</v>
      </c>
      <c r="L317" s="100">
        <f t="shared" si="99"/>
        <v>0</v>
      </c>
      <c r="M317" s="101">
        <f t="shared" si="99"/>
        <v>0</v>
      </c>
      <c r="N317" s="137">
        <f t="shared" si="88"/>
        <v>0</v>
      </c>
    </row>
    <row r="318" spans="1:14" ht="12.75" hidden="1" customHeight="1" x14ac:dyDescent="0.25">
      <c r="A318" s="274">
        <v>5258</v>
      </c>
      <c r="B318" s="83">
        <v>441100</v>
      </c>
      <c r="C318" s="84" t="s">
        <v>288</v>
      </c>
      <c r="D318" s="257"/>
      <c r="E318" s="108"/>
      <c r="F318" s="108"/>
      <c r="G318" s="109">
        <f t="shared" si="91"/>
        <v>0</v>
      </c>
      <c r="H318" s="108"/>
      <c r="I318" s="108"/>
      <c r="J318" s="108"/>
      <c r="K318" s="108"/>
      <c r="L318" s="108"/>
      <c r="M318" s="110"/>
      <c r="N318" s="137" t="e">
        <f t="shared" si="88"/>
        <v>#DIV/0!</v>
      </c>
    </row>
    <row r="319" spans="1:14" ht="12.75" hidden="1" customHeight="1" x14ac:dyDescent="0.25">
      <c r="A319" s="274">
        <v>5259</v>
      </c>
      <c r="B319" s="83">
        <v>441200</v>
      </c>
      <c r="C319" s="84" t="s">
        <v>289</v>
      </c>
      <c r="D319" s="257"/>
      <c r="E319" s="108"/>
      <c r="F319" s="108"/>
      <c r="G319" s="109">
        <f t="shared" si="91"/>
        <v>0</v>
      </c>
      <c r="H319" s="108"/>
      <c r="I319" s="108"/>
      <c r="J319" s="108"/>
      <c r="K319" s="108"/>
      <c r="L319" s="108"/>
      <c r="M319" s="110"/>
      <c r="N319" s="137" t="e">
        <f t="shared" si="88"/>
        <v>#DIV/0!</v>
      </c>
    </row>
    <row r="320" spans="1:14" ht="12.75" hidden="1" customHeight="1" x14ac:dyDescent="0.25">
      <c r="A320" s="274">
        <v>5260</v>
      </c>
      <c r="B320" s="83">
        <v>441300</v>
      </c>
      <c r="C320" s="84" t="s">
        <v>290</v>
      </c>
      <c r="D320" s="257"/>
      <c r="E320" s="108"/>
      <c r="F320" s="108"/>
      <c r="G320" s="109">
        <f t="shared" si="91"/>
        <v>0</v>
      </c>
      <c r="H320" s="108"/>
      <c r="I320" s="108"/>
      <c r="J320" s="108"/>
      <c r="K320" s="108"/>
      <c r="L320" s="108"/>
      <c r="M320" s="110"/>
      <c r="N320" s="137" t="e">
        <f t="shared" si="88"/>
        <v>#DIV/0!</v>
      </c>
    </row>
    <row r="321" spans="1:14" ht="12.75" hidden="1" customHeight="1" x14ac:dyDescent="0.25">
      <c r="A321" s="274">
        <v>5261</v>
      </c>
      <c r="B321" s="83">
        <v>441400</v>
      </c>
      <c r="C321" s="84" t="s">
        <v>291</v>
      </c>
      <c r="D321" s="257"/>
      <c r="E321" s="108"/>
      <c r="F321" s="108"/>
      <c r="G321" s="109">
        <f t="shared" si="91"/>
        <v>0</v>
      </c>
      <c r="H321" s="108"/>
      <c r="I321" s="108"/>
      <c r="J321" s="108"/>
      <c r="K321" s="108"/>
      <c r="L321" s="108"/>
      <c r="M321" s="110"/>
      <c r="N321" s="137" t="e">
        <f t="shared" si="88"/>
        <v>#DIV/0!</v>
      </c>
    </row>
    <row r="322" spans="1:14" ht="12.75" customHeight="1" x14ac:dyDescent="0.25">
      <c r="A322" s="274">
        <v>5262</v>
      </c>
      <c r="B322" s="83">
        <v>441500</v>
      </c>
      <c r="C322" s="84" t="s">
        <v>292</v>
      </c>
      <c r="D322" s="257">
        <v>0</v>
      </c>
      <c r="E322" s="108">
        <v>600</v>
      </c>
      <c r="F322" s="108">
        <f>D322+E322</f>
        <v>600</v>
      </c>
      <c r="G322" s="109">
        <f t="shared" si="91"/>
        <v>0</v>
      </c>
      <c r="H322" s="108"/>
      <c r="I322" s="108"/>
      <c r="J322" s="108"/>
      <c r="K322" s="108"/>
      <c r="L322" s="108"/>
      <c r="M322" s="110"/>
      <c r="N322" s="137">
        <f t="shared" si="88"/>
        <v>0</v>
      </c>
    </row>
    <row r="323" spans="1:14" ht="12.75" hidden="1" customHeight="1" x14ac:dyDescent="0.25">
      <c r="A323" s="274">
        <v>5263</v>
      </c>
      <c r="B323" s="83">
        <v>441600</v>
      </c>
      <c r="C323" s="84" t="s">
        <v>293</v>
      </c>
      <c r="D323" s="257"/>
      <c r="E323" s="108"/>
      <c r="F323" s="108"/>
      <c r="G323" s="109">
        <f t="shared" si="91"/>
        <v>0</v>
      </c>
      <c r="H323" s="108"/>
      <c r="I323" s="108"/>
      <c r="J323" s="108"/>
      <c r="K323" s="108"/>
      <c r="L323" s="108"/>
      <c r="M323" s="110"/>
      <c r="N323" s="137" t="e">
        <f t="shared" si="88"/>
        <v>#DIV/0!</v>
      </c>
    </row>
    <row r="324" spans="1:14" ht="12.75" hidden="1" customHeight="1" x14ac:dyDescent="0.25">
      <c r="A324" s="274">
        <v>5264</v>
      </c>
      <c r="B324" s="83">
        <v>441700</v>
      </c>
      <c r="C324" s="84" t="s">
        <v>294</v>
      </c>
      <c r="D324" s="257"/>
      <c r="E324" s="108"/>
      <c r="F324" s="108"/>
      <c r="G324" s="109">
        <f t="shared" si="91"/>
        <v>0</v>
      </c>
      <c r="H324" s="108"/>
      <c r="I324" s="108"/>
      <c r="J324" s="108"/>
      <c r="K324" s="108"/>
      <c r="L324" s="108"/>
      <c r="M324" s="110"/>
      <c r="N324" s="137" t="e">
        <f t="shared" si="88"/>
        <v>#DIV/0!</v>
      </c>
    </row>
    <row r="325" spans="1:14" ht="12.75" hidden="1" customHeight="1" x14ac:dyDescent="0.25">
      <c r="A325" s="274">
        <v>5265</v>
      </c>
      <c r="B325" s="83">
        <v>441800</v>
      </c>
      <c r="C325" s="84" t="s">
        <v>295</v>
      </c>
      <c r="D325" s="257"/>
      <c r="E325" s="108"/>
      <c r="F325" s="108"/>
      <c r="G325" s="109">
        <f t="shared" si="91"/>
        <v>0</v>
      </c>
      <c r="H325" s="108"/>
      <c r="I325" s="108"/>
      <c r="J325" s="108"/>
      <c r="K325" s="108"/>
      <c r="L325" s="108"/>
      <c r="M325" s="110"/>
      <c r="N325" s="137" t="e">
        <f t="shared" si="88"/>
        <v>#DIV/0!</v>
      </c>
    </row>
    <row r="326" spans="1:14" ht="12.75" hidden="1" customHeight="1" x14ac:dyDescent="0.25">
      <c r="A326" s="274">
        <v>5266</v>
      </c>
      <c r="B326" s="83">
        <v>441900</v>
      </c>
      <c r="C326" s="84" t="s">
        <v>99</v>
      </c>
      <c r="D326" s="257"/>
      <c r="E326" s="108"/>
      <c r="F326" s="108"/>
      <c r="G326" s="109">
        <f t="shared" si="91"/>
        <v>0</v>
      </c>
      <c r="H326" s="108"/>
      <c r="I326" s="108"/>
      <c r="J326" s="108"/>
      <c r="K326" s="108"/>
      <c r="L326" s="108"/>
      <c r="M326" s="110"/>
      <c r="N326" s="137" t="e">
        <f t="shared" si="88"/>
        <v>#DIV/0!</v>
      </c>
    </row>
    <row r="327" spans="1:14" ht="12.75" hidden="1" customHeight="1" x14ac:dyDescent="0.25">
      <c r="A327" s="273">
        <v>5267</v>
      </c>
      <c r="B327" s="488">
        <v>442000</v>
      </c>
      <c r="C327" s="82" t="s">
        <v>296</v>
      </c>
      <c r="D327" s="256">
        <f>SUM(D328:D337)</f>
        <v>0</v>
      </c>
      <c r="E327" s="100">
        <f>SUM(E328:E337)</f>
        <v>0</v>
      </c>
      <c r="F327" s="100">
        <f>SUM(F328:F337)</f>
        <v>0</v>
      </c>
      <c r="G327" s="100">
        <f t="shared" si="91"/>
        <v>0</v>
      </c>
      <c r="H327" s="100">
        <f t="shared" ref="H327:M327" si="100">SUM(H328:H337)</f>
        <v>0</v>
      </c>
      <c r="I327" s="100">
        <f t="shared" si="100"/>
        <v>0</v>
      </c>
      <c r="J327" s="100">
        <f t="shared" si="100"/>
        <v>0</v>
      </c>
      <c r="K327" s="100">
        <f t="shared" si="100"/>
        <v>0</v>
      </c>
      <c r="L327" s="100">
        <f t="shared" si="100"/>
        <v>0</v>
      </c>
      <c r="M327" s="101">
        <f t="shared" si="100"/>
        <v>0</v>
      </c>
      <c r="N327" s="137" t="e">
        <f t="shared" si="88"/>
        <v>#DIV/0!</v>
      </c>
    </row>
    <row r="328" spans="1:14" ht="12.75" hidden="1" customHeight="1" x14ac:dyDescent="0.25">
      <c r="A328" s="274">
        <v>5268</v>
      </c>
      <c r="B328" s="83">
        <v>442100</v>
      </c>
      <c r="C328" s="84" t="s">
        <v>297</v>
      </c>
      <c r="D328" s="257"/>
      <c r="E328" s="108"/>
      <c r="F328" s="108"/>
      <c r="G328" s="109">
        <f t="shared" si="91"/>
        <v>0</v>
      </c>
      <c r="H328" s="108"/>
      <c r="I328" s="108"/>
      <c r="J328" s="108"/>
      <c r="K328" s="108"/>
      <c r="L328" s="108"/>
      <c r="M328" s="110"/>
      <c r="N328" s="137" t="e">
        <f t="shared" si="88"/>
        <v>#DIV/0!</v>
      </c>
    </row>
    <row r="329" spans="1:14" ht="12.75" hidden="1" customHeight="1" x14ac:dyDescent="0.25">
      <c r="A329" s="274">
        <v>5269</v>
      </c>
      <c r="B329" s="83">
        <v>442200</v>
      </c>
      <c r="C329" s="84" t="s">
        <v>298</v>
      </c>
      <c r="D329" s="257"/>
      <c r="E329" s="108"/>
      <c r="F329" s="108"/>
      <c r="G329" s="109">
        <f t="shared" si="91"/>
        <v>0</v>
      </c>
      <c r="H329" s="108"/>
      <c r="I329" s="108"/>
      <c r="J329" s="108"/>
      <c r="K329" s="108"/>
      <c r="L329" s="108"/>
      <c r="M329" s="110"/>
      <c r="N329" s="137" t="e">
        <f t="shared" si="88"/>
        <v>#DIV/0!</v>
      </c>
    </row>
    <row r="330" spans="1:14" ht="12.75" hidden="1" customHeight="1" x14ac:dyDescent="0.25">
      <c r="A330" s="274">
        <v>5270</v>
      </c>
      <c r="B330" s="83">
        <v>442300</v>
      </c>
      <c r="C330" s="84" t="s">
        <v>299</v>
      </c>
      <c r="D330" s="257"/>
      <c r="E330" s="108"/>
      <c r="F330" s="108"/>
      <c r="G330" s="109">
        <f t="shared" si="91"/>
        <v>0</v>
      </c>
      <c r="H330" s="108"/>
      <c r="I330" s="108"/>
      <c r="J330" s="108"/>
      <c r="K330" s="108"/>
      <c r="L330" s="108"/>
      <c r="M330" s="110"/>
      <c r="N330" s="137" t="e">
        <f t="shared" si="88"/>
        <v>#DIV/0!</v>
      </c>
    </row>
    <row r="331" spans="1:14" ht="12.75" hidden="1" customHeight="1" x14ac:dyDescent="0.25">
      <c r="A331" s="274">
        <v>5271</v>
      </c>
      <c r="B331" s="83">
        <v>442400</v>
      </c>
      <c r="C331" s="84" t="s">
        <v>300</v>
      </c>
      <c r="D331" s="257"/>
      <c r="E331" s="108"/>
      <c r="F331" s="108"/>
      <c r="G331" s="109">
        <f t="shared" si="91"/>
        <v>0</v>
      </c>
      <c r="H331" s="108"/>
      <c r="I331" s="108"/>
      <c r="J331" s="108"/>
      <c r="K331" s="108"/>
      <c r="L331" s="108"/>
      <c r="M331" s="110"/>
      <c r="N331" s="137" t="e">
        <f t="shared" si="88"/>
        <v>#DIV/0!</v>
      </c>
    </row>
    <row r="332" spans="1:14" ht="12.75" hidden="1" customHeight="1" x14ac:dyDescent="0.25">
      <c r="A332" s="645" t="s">
        <v>0</v>
      </c>
      <c r="B332" s="646" t="s">
        <v>1</v>
      </c>
      <c r="C332" s="585" t="s">
        <v>2</v>
      </c>
      <c r="D332" s="259" t="s">
        <v>217</v>
      </c>
      <c r="E332" s="585" t="s">
        <v>217</v>
      </c>
      <c r="F332" s="486" t="s">
        <v>217</v>
      </c>
      <c r="G332" s="575" t="s">
        <v>198</v>
      </c>
      <c r="H332" s="589"/>
      <c r="I332" s="589"/>
      <c r="J332" s="589"/>
      <c r="K332" s="589"/>
      <c r="L332" s="589"/>
      <c r="M332" s="592"/>
      <c r="N332" s="137" t="e">
        <f t="shared" si="88"/>
        <v>#VALUE!</v>
      </c>
    </row>
    <row r="333" spans="1:14" ht="12.75" hidden="1" customHeight="1" x14ac:dyDescent="0.25">
      <c r="A333" s="645"/>
      <c r="B333" s="646"/>
      <c r="C333" s="585"/>
      <c r="D333" s="259"/>
      <c r="E333" s="585"/>
      <c r="F333" s="486"/>
      <c r="G333" s="575" t="s">
        <v>199</v>
      </c>
      <c r="H333" s="575" t="s">
        <v>200</v>
      </c>
      <c r="I333" s="589"/>
      <c r="J333" s="589"/>
      <c r="K333" s="589"/>
      <c r="L333" s="575" t="s">
        <v>7</v>
      </c>
      <c r="M333" s="582" t="s">
        <v>8</v>
      </c>
      <c r="N333" s="137" t="e">
        <f t="shared" si="88"/>
        <v>#VALUE!</v>
      </c>
    </row>
    <row r="334" spans="1:14" ht="12.75" hidden="1" customHeight="1" x14ac:dyDescent="0.25">
      <c r="A334" s="645"/>
      <c r="B334" s="646"/>
      <c r="C334" s="585"/>
      <c r="D334" s="259"/>
      <c r="E334" s="585"/>
      <c r="F334" s="486"/>
      <c r="G334" s="589"/>
      <c r="H334" s="487" t="s">
        <v>201</v>
      </c>
      <c r="I334" s="487" t="s">
        <v>10</v>
      </c>
      <c r="J334" s="487" t="s">
        <v>11</v>
      </c>
      <c r="K334" s="487" t="s">
        <v>12</v>
      </c>
      <c r="L334" s="589"/>
      <c r="M334" s="592"/>
      <c r="N334" s="137" t="e">
        <f t="shared" si="88"/>
        <v>#DIV/0!</v>
      </c>
    </row>
    <row r="335" spans="1:14" ht="12.75" hidden="1" customHeight="1" x14ac:dyDescent="0.25">
      <c r="A335" s="275" t="s">
        <v>18</v>
      </c>
      <c r="B335" s="491" t="s">
        <v>19</v>
      </c>
      <c r="C335" s="485" t="s">
        <v>20</v>
      </c>
      <c r="D335" s="259" t="s">
        <v>21</v>
      </c>
      <c r="E335" s="485" t="s">
        <v>21</v>
      </c>
      <c r="F335" s="485" t="s">
        <v>21</v>
      </c>
      <c r="G335" s="485" t="s">
        <v>22</v>
      </c>
      <c r="H335" s="485" t="s">
        <v>23</v>
      </c>
      <c r="I335" s="485" t="s">
        <v>24</v>
      </c>
      <c r="J335" s="485" t="s">
        <v>25</v>
      </c>
      <c r="K335" s="485" t="s">
        <v>26</v>
      </c>
      <c r="L335" s="485" t="s">
        <v>27</v>
      </c>
      <c r="M335" s="99" t="s">
        <v>28</v>
      </c>
      <c r="N335" s="137">
        <f t="shared" si="88"/>
        <v>1.25</v>
      </c>
    </row>
    <row r="336" spans="1:14" ht="12.75" hidden="1" customHeight="1" x14ac:dyDescent="0.25">
      <c r="A336" s="274">
        <v>5272</v>
      </c>
      <c r="B336" s="83">
        <v>442500</v>
      </c>
      <c r="C336" s="84" t="s">
        <v>301</v>
      </c>
      <c r="D336" s="257"/>
      <c r="E336" s="108"/>
      <c r="F336" s="108"/>
      <c r="G336" s="109">
        <f t="shared" si="91"/>
        <v>0</v>
      </c>
      <c r="H336" s="108"/>
      <c r="I336" s="108"/>
      <c r="J336" s="108"/>
      <c r="K336" s="108"/>
      <c r="L336" s="108"/>
      <c r="M336" s="110"/>
      <c r="N336" s="137" t="e">
        <f t="shared" si="88"/>
        <v>#DIV/0!</v>
      </c>
    </row>
    <row r="337" spans="1:14" ht="12.75" hidden="1" customHeight="1" x14ac:dyDescent="0.25">
      <c r="A337" s="274">
        <v>5273</v>
      </c>
      <c r="B337" s="83">
        <v>442600</v>
      </c>
      <c r="C337" s="84" t="s">
        <v>302</v>
      </c>
      <c r="D337" s="257"/>
      <c r="E337" s="108"/>
      <c r="F337" s="108"/>
      <c r="G337" s="109">
        <f t="shared" si="91"/>
        <v>0</v>
      </c>
      <c r="H337" s="108"/>
      <c r="I337" s="108"/>
      <c r="J337" s="108"/>
      <c r="K337" s="108"/>
      <c r="L337" s="108"/>
      <c r="M337" s="110"/>
      <c r="N337" s="137" t="e">
        <f t="shared" si="88"/>
        <v>#DIV/0!</v>
      </c>
    </row>
    <row r="338" spans="1:14" ht="12.75" hidden="1" customHeight="1" x14ac:dyDescent="0.25">
      <c r="A338" s="273">
        <v>5274</v>
      </c>
      <c r="B338" s="488">
        <v>443000</v>
      </c>
      <c r="C338" s="82" t="s">
        <v>303</v>
      </c>
      <c r="D338" s="256">
        <f>D339</f>
        <v>0</v>
      </c>
      <c r="E338" s="100">
        <f>E339</f>
        <v>0</v>
      </c>
      <c r="F338" s="100">
        <f>F339</f>
        <v>0</v>
      </c>
      <c r="G338" s="100">
        <f t="shared" si="91"/>
        <v>0</v>
      </c>
      <c r="H338" s="100">
        <f t="shared" ref="H338:M338" si="101">H339</f>
        <v>0</v>
      </c>
      <c r="I338" s="100">
        <f t="shared" si="101"/>
        <v>0</v>
      </c>
      <c r="J338" s="100">
        <f t="shared" si="101"/>
        <v>0</v>
      </c>
      <c r="K338" s="100">
        <f t="shared" si="101"/>
        <v>0</v>
      </c>
      <c r="L338" s="100">
        <f t="shared" si="101"/>
        <v>0</v>
      </c>
      <c r="M338" s="101">
        <f t="shared" si="101"/>
        <v>0</v>
      </c>
      <c r="N338" s="137" t="e">
        <f t="shared" si="88"/>
        <v>#DIV/0!</v>
      </c>
    </row>
    <row r="339" spans="1:14" ht="12.75" hidden="1" customHeight="1" x14ac:dyDescent="0.25">
      <c r="A339" s="274">
        <v>5275</v>
      </c>
      <c r="B339" s="83">
        <v>443100</v>
      </c>
      <c r="C339" s="84" t="s">
        <v>304</v>
      </c>
      <c r="D339" s="257"/>
      <c r="E339" s="108"/>
      <c r="F339" s="108"/>
      <c r="G339" s="109">
        <f t="shared" si="91"/>
        <v>0</v>
      </c>
      <c r="H339" s="108"/>
      <c r="I339" s="108"/>
      <c r="J339" s="108"/>
      <c r="K339" s="108"/>
      <c r="L339" s="108"/>
      <c r="M339" s="110"/>
      <c r="N339" s="137" t="e">
        <f t="shared" si="88"/>
        <v>#DIV/0!</v>
      </c>
    </row>
    <row r="340" spans="1:14" ht="12.75" hidden="1" customHeight="1" x14ac:dyDescent="0.25">
      <c r="A340" s="273">
        <v>5276</v>
      </c>
      <c r="B340" s="488">
        <v>444000</v>
      </c>
      <c r="C340" s="82" t="s">
        <v>305</v>
      </c>
      <c r="D340" s="256">
        <f>SUM(D341:D343)</f>
        <v>0</v>
      </c>
      <c r="E340" s="100">
        <f>SUM(E341:E343)</f>
        <v>0</v>
      </c>
      <c r="F340" s="100">
        <f>SUM(F341:F343)</f>
        <v>0</v>
      </c>
      <c r="G340" s="100">
        <f t="shared" si="91"/>
        <v>0</v>
      </c>
      <c r="H340" s="100">
        <f t="shared" ref="H340:M340" si="102">SUM(H341:H343)</f>
        <v>0</v>
      </c>
      <c r="I340" s="100">
        <f t="shared" si="102"/>
        <v>0</v>
      </c>
      <c r="J340" s="100">
        <f t="shared" si="102"/>
        <v>0</v>
      </c>
      <c r="K340" s="100">
        <f t="shared" si="102"/>
        <v>0</v>
      </c>
      <c r="L340" s="100">
        <f t="shared" si="102"/>
        <v>0</v>
      </c>
      <c r="M340" s="101">
        <f t="shared" si="102"/>
        <v>0</v>
      </c>
      <c r="N340" s="137" t="e">
        <f t="shared" si="88"/>
        <v>#DIV/0!</v>
      </c>
    </row>
    <row r="341" spans="1:14" ht="12.75" hidden="1" customHeight="1" x14ac:dyDescent="0.25">
      <c r="A341" s="274">
        <v>5277</v>
      </c>
      <c r="B341" s="83">
        <v>444100</v>
      </c>
      <c r="C341" s="84" t="s">
        <v>306</v>
      </c>
      <c r="D341" s="257"/>
      <c r="E341" s="108"/>
      <c r="F341" s="108"/>
      <c r="G341" s="109">
        <f t="shared" si="91"/>
        <v>0</v>
      </c>
      <c r="H341" s="108"/>
      <c r="I341" s="108"/>
      <c r="J341" s="108"/>
      <c r="K341" s="108"/>
      <c r="L341" s="108"/>
      <c r="M341" s="110"/>
      <c r="N341" s="137" t="e">
        <f t="shared" si="88"/>
        <v>#DIV/0!</v>
      </c>
    </row>
    <row r="342" spans="1:14" ht="12.75" hidden="1" customHeight="1" x14ac:dyDescent="0.25">
      <c r="A342" s="274">
        <v>5278</v>
      </c>
      <c r="B342" s="83">
        <v>444200</v>
      </c>
      <c r="C342" s="84" t="s">
        <v>307</v>
      </c>
      <c r="D342" s="257"/>
      <c r="E342" s="108"/>
      <c r="F342" s="108"/>
      <c r="G342" s="109">
        <f t="shared" si="91"/>
        <v>0</v>
      </c>
      <c r="H342" s="108"/>
      <c r="I342" s="108"/>
      <c r="J342" s="108"/>
      <c r="K342" s="108"/>
      <c r="L342" s="108"/>
      <c r="M342" s="110"/>
      <c r="N342" s="137" t="e">
        <f t="shared" si="88"/>
        <v>#DIV/0!</v>
      </c>
    </row>
    <row r="343" spans="1:14" ht="12.75" hidden="1" customHeight="1" x14ac:dyDescent="0.25">
      <c r="A343" s="274">
        <v>5279</v>
      </c>
      <c r="B343" s="83">
        <v>444300</v>
      </c>
      <c r="C343" s="84" t="s">
        <v>308</v>
      </c>
      <c r="D343" s="257"/>
      <c r="E343" s="108"/>
      <c r="F343" s="108"/>
      <c r="G343" s="109">
        <f t="shared" si="91"/>
        <v>0</v>
      </c>
      <c r="H343" s="108"/>
      <c r="I343" s="108"/>
      <c r="J343" s="108"/>
      <c r="K343" s="108"/>
      <c r="L343" s="108"/>
      <c r="M343" s="110"/>
      <c r="N343" s="137" t="e">
        <f t="shared" si="88"/>
        <v>#DIV/0!</v>
      </c>
    </row>
    <row r="344" spans="1:14" ht="12.75" hidden="1" customHeight="1" x14ac:dyDescent="0.25">
      <c r="A344" s="273">
        <v>5280</v>
      </c>
      <c r="B344" s="488">
        <v>450000</v>
      </c>
      <c r="C344" s="82" t="s">
        <v>309</v>
      </c>
      <c r="D344" s="256">
        <f>D345+D348+D351+D354</f>
        <v>0</v>
      </c>
      <c r="E344" s="100">
        <f>E345+E348+E351+E354</f>
        <v>0</v>
      </c>
      <c r="F344" s="100">
        <f>F345+F348+F351+F354</f>
        <v>0</v>
      </c>
      <c r="G344" s="100">
        <f t="shared" si="91"/>
        <v>0</v>
      </c>
      <c r="H344" s="100">
        <f t="shared" ref="H344:M344" si="103">H345+H348+H351+H354</f>
        <v>0</v>
      </c>
      <c r="I344" s="100">
        <f t="shared" si="103"/>
        <v>0</v>
      </c>
      <c r="J344" s="100">
        <f t="shared" si="103"/>
        <v>0</v>
      </c>
      <c r="K344" s="100">
        <f t="shared" si="103"/>
        <v>0</v>
      </c>
      <c r="L344" s="100">
        <f t="shared" si="103"/>
        <v>0</v>
      </c>
      <c r="M344" s="101">
        <f t="shared" si="103"/>
        <v>0</v>
      </c>
      <c r="N344" s="137" t="e">
        <f t="shared" si="88"/>
        <v>#DIV/0!</v>
      </c>
    </row>
    <row r="345" spans="1:14" ht="12.75" hidden="1" customHeight="1" x14ac:dyDescent="0.25">
      <c r="A345" s="273">
        <v>5281</v>
      </c>
      <c r="B345" s="488">
        <v>451000</v>
      </c>
      <c r="C345" s="82" t="s">
        <v>310</v>
      </c>
      <c r="D345" s="256">
        <f>D346+D347</f>
        <v>0</v>
      </c>
      <c r="E345" s="100">
        <f>E346+E347</f>
        <v>0</v>
      </c>
      <c r="F345" s="100">
        <f>F346+F347</f>
        <v>0</v>
      </c>
      <c r="G345" s="100">
        <f t="shared" si="91"/>
        <v>0</v>
      </c>
      <c r="H345" s="100">
        <f t="shared" ref="H345:M345" si="104">H346+H347</f>
        <v>0</v>
      </c>
      <c r="I345" s="100">
        <f t="shared" si="104"/>
        <v>0</v>
      </c>
      <c r="J345" s="100">
        <f t="shared" si="104"/>
        <v>0</v>
      </c>
      <c r="K345" s="100">
        <f t="shared" si="104"/>
        <v>0</v>
      </c>
      <c r="L345" s="100">
        <f t="shared" si="104"/>
        <v>0</v>
      </c>
      <c r="M345" s="101">
        <f t="shared" si="104"/>
        <v>0</v>
      </c>
      <c r="N345" s="137" t="e">
        <f t="shared" si="88"/>
        <v>#DIV/0!</v>
      </c>
    </row>
    <row r="346" spans="1:14" ht="12.75" hidden="1" customHeight="1" x14ac:dyDescent="0.25">
      <c r="A346" s="274">
        <v>5282</v>
      </c>
      <c r="B346" s="83">
        <v>451100</v>
      </c>
      <c r="C346" s="84" t="s">
        <v>311</v>
      </c>
      <c r="D346" s="257"/>
      <c r="E346" s="108"/>
      <c r="F346" s="108"/>
      <c r="G346" s="109">
        <f t="shared" si="91"/>
        <v>0</v>
      </c>
      <c r="H346" s="108"/>
      <c r="I346" s="108"/>
      <c r="J346" s="108"/>
      <c r="K346" s="108"/>
      <c r="L346" s="108"/>
      <c r="M346" s="110"/>
      <c r="N346" s="137" t="e">
        <f t="shared" si="88"/>
        <v>#DIV/0!</v>
      </c>
    </row>
    <row r="347" spans="1:14" ht="12.75" hidden="1" customHeight="1" x14ac:dyDescent="0.25">
      <c r="A347" s="274">
        <v>5283</v>
      </c>
      <c r="B347" s="83">
        <v>451200</v>
      </c>
      <c r="C347" s="84" t="s">
        <v>312</v>
      </c>
      <c r="D347" s="257"/>
      <c r="E347" s="108"/>
      <c r="F347" s="108"/>
      <c r="G347" s="109">
        <f t="shared" si="91"/>
        <v>0</v>
      </c>
      <c r="H347" s="108"/>
      <c r="I347" s="108"/>
      <c r="J347" s="108"/>
      <c r="K347" s="108"/>
      <c r="L347" s="108"/>
      <c r="M347" s="110"/>
      <c r="N347" s="137" t="e">
        <f t="shared" si="88"/>
        <v>#DIV/0!</v>
      </c>
    </row>
    <row r="348" spans="1:14" ht="12.75" hidden="1" customHeight="1" x14ac:dyDescent="0.25">
      <c r="A348" s="273">
        <v>5284</v>
      </c>
      <c r="B348" s="488">
        <v>452000</v>
      </c>
      <c r="C348" s="82" t="s">
        <v>313</v>
      </c>
      <c r="D348" s="256">
        <f>D349+D350</f>
        <v>0</v>
      </c>
      <c r="E348" s="100">
        <f>E349+E350</f>
        <v>0</v>
      </c>
      <c r="F348" s="100">
        <f>F349+F350</f>
        <v>0</v>
      </c>
      <c r="G348" s="100">
        <f t="shared" si="91"/>
        <v>0</v>
      </c>
      <c r="H348" s="100">
        <f t="shared" ref="H348:M348" si="105">H349+H350</f>
        <v>0</v>
      </c>
      <c r="I348" s="100">
        <f t="shared" si="105"/>
        <v>0</v>
      </c>
      <c r="J348" s="100">
        <f t="shared" si="105"/>
        <v>0</v>
      </c>
      <c r="K348" s="100">
        <f t="shared" si="105"/>
        <v>0</v>
      </c>
      <c r="L348" s="100">
        <f t="shared" si="105"/>
        <v>0</v>
      </c>
      <c r="M348" s="101">
        <f t="shared" si="105"/>
        <v>0</v>
      </c>
      <c r="N348" s="137" t="e">
        <f t="shared" si="88"/>
        <v>#DIV/0!</v>
      </c>
    </row>
    <row r="349" spans="1:14" ht="12.75" hidden="1" customHeight="1" x14ac:dyDescent="0.25">
      <c r="A349" s="274">
        <v>5285</v>
      </c>
      <c r="B349" s="83">
        <v>452100</v>
      </c>
      <c r="C349" s="84" t="s">
        <v>314</v>
      </c>
      <c r="D349" s="257"/>
      <c r="E349" s="108"/>
      <c r="F349" s="108"/>
      <c r="G349" s="109">
        <f t="shared" si="91"/>
        <v>0</v>
      </c>
      <c r="H349" s="108"/>
      <c r="I349" s="108"/>
      <c r="J349" s="108"/>
      <c r="K349" s="108"/>
      <c r="L349" s="108"/>
      <c r="M349" s="110"/>
      <c r="N349" s="137" t="e">
        <f t="shared" ref="N349:N412" si="106">G349/F349</f>
        <v>#DIV/0!</v>
      </c>
    </row>
    <row r="350" spans="1:14" ht="12.75" hidden="1" customHeight="1" x14ac:dyDescent="0.25">
      <c r="A350" s="274">
        <v>5286</v>
      </c>
      <c r="B350" s="83">
        <v>452200</v>
      </c>
      <c r="C350" s="84" t="s">
        <v>315</v>
      </c>
      <c r="D350" s="257"/>
      <c r="E350" s="108"/>
      <c r="F350" s="108"/>
      <c r="G350" s="109">
        <f t="shared" si="91"/>
        <v>0</v>
      </c>
      <c r="H350" s="108"/>
      <c r="I350" s="108"/>
      <c r="J350" s="108"/>
      <c r="K350" s="108"/>
      <c r="L350" s="108"/>
      <c r="M350" s="110"/>
      <c r="N350" s="137" t="e">
        <f t="shared" si="106"/>
        <v>#DIV/0!</v>
      </c>
    </row>
    <row r="351" spans="1:14" ht="12.75" hidden="1" customHeight="1" x14ac:dyDescent="0.25">
      <c r="A351" s="273">
        <v>5287</v>
      </c>
      <c r="B351" s="488">
        <v>453000</v>
      </c>
      <c r="C351" s="82" t="s">
        <v>316</v>
      </c>
      <c r="D351" s="256">
        <f>D352+D353</f>
        <v>0</v>
      </c>
      <c r="E351" s="100">
        <f>E352+E353</f>
        <v>0</v>
      </c>
      <c r="F351" s="100">
        <f>F352+F353</f>
        <v>0</v>
      </c>
      <c r="G351" s="100">
        <f t="shared" si="91"/>
        <v>0</v>
      </c>
      <c r="H351" s="100">
        <f t="shared" ref="H351:M351" si="107">H352+H353</f>
        <v>0</v>
      </c>
      <c r="I351" s="100">
        <f t="shared" si="107"/>
        <v>0</v>
      </c>
      <c r="J351" s="100">
        <f t="shared" si="107"/>
        <v>0</v>
      </c>
      <c r="K351" s="100">
        <f t="shared" si="107"/>
        <v>0</v>
      </c>
      <c r="L351" s="100">
        <f t="shared" si="107"/>
        <v>0</v>
      </c>
      <c r="M351" s="101">
        <f t="shared" si="107"/>
        <v>0</v>
      </c>
      <c r="N351" s="137" t="e">
        <f t="shared" si="106"/>
        <v>#DIV/0!</v>
      </c>
    </row>
    <row r="352" spans="1:14" ht="12.75" hidden="1" customHeight="1" x14ac:dyDescent="0.25">
      <c r="A352" s="274">
        <v>5288</v>
      </c>
      <c r="B352" s="83">
        <v>453100</v>
      </c>
      <c r="C352" s="84" t="s">
        <v>317</v>
      </c>
      <c r="D352" s="257"/>
      <c r="E352" s="108"/>
      <c r="F352" s="108"/>
      <c r="G352" s="109">
        <f t="shared" si="91"/>
        <v>0</v>
      </c>
      <c r="H352" s="108"/>
      <c r="I352" s="108"/>
      <c r="J352" s="108"/>
      <c r="K352" s="108"/>
      <c r="L352" s="108"/>
      <c r="M352" s="110"/>
      <c r="N352" s="137" t="e">
        <f t="shared" si="106"/>
        <v>#DIV/0!</v>
      </c>
    </row>
    <row r="353" spans="1:14" ht="12.75" hidden="1" customHeight="1" x14ac:dyDescent="0.25">
      <c r="A353" s="274">
        <v>5289</v>
      </c>
      <c r="B353" s="83">
        <v>453200</v>
      </c>
      <c r="C353" s="84" t="s">
        <v>318</v>
      </c>
      <c r="D353" s="257"/>
      <c r="E353" s="108"/>
      <c r="F353" s="108"/>
      <c r="G353" s="109">
        <f t="shared" si="91"/>
        <v>0</v>
      </c>
      <c r="H353" s="108"/>
      <c r="I353" s="108"/>
      <c r="J353" s="108"/>
      <c r="K353" s="108"/>
      <c r="L353" s="108"/>
      <c r="M353" s="110"/>
      <c r="N353" s="137" t="e">
        <f t="shared" si="106"/>
        <v>#DIV/0!</v>
      </c>
    </row>
    <row r="354" spans="1:14" ht="12.75" hidden="1" customHeight="1" x14ac:dyDescent="0.25">
      <c r="A354" s="273">
        <v>5290</v>
      </c>
      <c r="B354" s="488">
        <v>454000</v>
      </c>
      <c r="C354" s="82" t="s">
        <v>319</v>
      </c>
      <c r="D354" s="256">
        <f>D355+D356</f>
        <v>0</v>
      </c>
      <c r="E354" s="100">
        <f>E355+E356</f>
        <v>0</v>
      </c>
      <c r="F354" s="100">
        <f>F355+F356</f>
        <v>0</v>
      </c>
      <c r="G354" s="100">
        <f t="shared" si="91"/>
        <v>0</v>
      </c>
      <c r="H354" s="100">
        <f t="shared" ref="H354:M354" si="108">H355+H356</f>
        <v>0</v>
      </c>
      <c r="I354" s="100">
        <f t="shared" si="108"/>
        <v>0</v>
      </c>
      <c r="J354" s="100">
        <f t="shared" si="108"/>
        <v>0</v>
      </c>
      <c r="K354" s="100">
        <f t="shared" si="108"/>
        <v>0</v>
      </c>
      <c r="L354" s="100">
        <f t="shared" si="108"/>
        <v>0</v>
      </c>
      <c r="M354" s="101">
        <f t="shared" si="108"/>
        <v>0</v>
      </c>
      <c r="N354" s="137" t="e">
        <f t="shared" si="106"/>
        <v>#DIV/0!</v>
      </c>
    </row>
    <row r="355" spans="1:14" ht="12.75" hidden="1" customHeight="1" x14ac:dyDescent="0.25">
      <c r="A355" s="274">
        <v>5291</v>
      </c>
      <c r="B355" s="83">
        <v>454100</v>
      </c>
      <c r="C355" s="84" t="s">
        <v>320</v>
      </c>
      <c r="D355" s="257"/>
      <c r="E355" s="108"/>
      <c r="F355" s="108"/>
      <c r="G355" s="109">
        <f t="shared" si="91"/>
        <v>0</v>
      </c>
      <c r="H355" s="108"/>
      <c r="I355" s="108"/>
      <c r="J355" s="108"/>
      <c r="K355" s="108"/>
      <c r="L355" s="108"/>
      <c r="M355" s="110"/>
      <c r="N355" s="137" t="e">
        <f t="shared" si="106"/>
        <v>#DIV/0!</v>
      </c>
    </row>
    <row r="356" spans="1:14" ht="12.75" hidden="1" customHeight="1" x14ac:dyDescent="0.25">
      <c r="A356" s="274">
        <v>5292</v>
      </c>
      <c r="B356" s="83">
        <v>454200</v>
      </c>
      <c r="C356" s="84" t="s">
        <v>321</v>
      </c>
      <c r="D356" s="257"/>
      <c r="E356" s="108"/>
      <c r="F356" s="108"/>
      <c r="G356" s="109">
        <f t="shared" si="91"/>
        <v>0</v>
      </c>
      <c r="H356" s="108"/>
      <c r="I356" s="108"/>
      <c r="J356" s="108"/>
      <c r="K356" s="108"/>
      <c r="L356" s="108"/>
      <c r="M356" s="110"/>
      <c r="N356" s="137" t="e">
        <f t="shared" si="106"/>
        <v>#DIV/0!</v>
      </c>
    </row>
    <row r="357" spans="1:14" ht="12.75" customHeight="1" x14ac:dyDescent="0.25">
      <c r="A357" s="273">
        <v>5293</v>
      </c>
      <c r="B357" s="488">
        <v>460000</v>
      </c>
      <c r="C357" s="82" t="s">
        <v>322</v>
      </c>
      <c r="D357" s="256">
        <f>D362+D365+D368+D371+D374</f>
        <v>0</v>
      </c>
      <c r="E357" s="100">
        <f>E362+E365+E368+E371+E374</f>
        <v>10080</v>
      </c>
      <c r="F357" s="100">
        <f>F362+F365+F368+F371+F374</f>
        <v>10080</v>
      </c>
      <c r="G357" s="100">
        <f t="shared" si="91"/>
        <v>2291</v>
      </c>
      <c r="H357" s="100">
        <f t="shared" ref="H357:M357" si="109">H362+H365+H368+H371+H374</f>
        <v>0</v>
      </c>
      <c r="I357" s="100">
        <f t="shared" si="109"/>
        <v>0</v>
      </c>
      <c r="J357" s="100">
        <f t="shared" si="109"/>
        <v>0</v>
      </c>
      <c r="K357" s="100">
        <f t="shared" si="109"/>
        <v>2291</v>
      </c>
      <c r="L357" s="100">
        <f t="shared" si="109"/>
        <v>0</v>
      </c>
      <c r="M357" s="101">
        <f t="shared" si="109"/>
        <v>0</v>
      </c>
      <c r="N357" s="137">
        <f t="shared" si="106"/>
        <v>0.22728174603174603</v>
      </c>
    </row>
    <row r="358" spans="1:14" ht="12.75" hidden="1" customHeight="1" x14ac:dyDescent="0.25">
      <c r="A358" s="645" t="s">
        <v>0</v>
      </c>
      <c r="B358" s="646" t="s">
        <v>1</v>
      </c>
      <c r="C358" s="585" t="s">
        <v>2</v>
      </c>
      <c r="D358" s="259" t="s">
        <v>217</v>
      </c>
      <c r="E358" s="585" t="s">
        <v>217</v>
      </c>
      <c r="F358" s="486" t="s">
        <v>217</v>
      </c>
      <c r="G358" s="575" t="s">
        <v>198</v>
      </c>
      <c r="H358" s="589"/>
      <c r="I358" s="589"/>
      <c r="J358" s="589"/>
      <c r="K358" s="589"/>
      <c r="L358" s="589"/>
      <c r="M358" s="592"/>
      <c r="N358" s="137" t="e">
        <f t="shared" si="106"/>
        <v>#VALUE!</v>
      </c>
    </row>
    <row r="359" spans="1:14" ht="12.75" hidden="1" customHeight="1" x14ac:dyDescent="0.25">
      <c r="A359" s="645"/>
      <c r="B359" s="646"/>
      <c r="C359" s="585"/>
      <c r="D359" s="259"/>
      <c r="E359" s="585"/>
      <c r="F359" s="486"/>
      <c r="G359" s="575" t="s">
        <v>199</v>
      </c>
      <c r="H359" s="575" t="s">
        <v>200</v>
      </c>
      <c r="I359" s="589"/>
      <c r="J359" s="589"/>
      <c r="K359" s="589"/>
      <c r="L359" s="575" t="s">
        <v>7</v>
      </c>
      <c r="M359" s="582" t="s">
        <v>8</v>
      </c>
      <c r="N359" s="137" t="e">
        <f t="shared" si="106"/>
        <v>#VALUE!</v>
      </c>
    </row>
    <row r="360" spans="1:14" ht="12.75" hidden="1" customHeight="1" x14ac:dyDescent="0.25">
      <c r="A360" s="645"/>
      <c r="B360" s="646"/>
      <c r="C360" s="585"/>
      <c r="D360" s="259"/>
      <c r="E360" s="585"/>
      <c r="F360" s="486"/>
      <c r="G360" s="589"/>
      <c r="H360" s="487" t="s">
        <v>201</v>
      </c>
      <c r="I360" s="487" t="s">
        <v>10</v>
      </c>
      <c r="J360" s="487" t="s">
        <v>11</v>
      </c>
      <c r="K360" s="487" t="s">
        <v>12</v>
      </c>
      <c r="L360" s="589"/>
      <c r="M360" s="592"/>
      <c r="N360" s="137" t="e">
        <f t="shared" si="106"/>
        <v>#DIV/0!</v>
      </c>
    </row>
    <row r="361" spans="1:14" ht="12.75" hidden="1" customHeight="1" x14ac:dyDescent="0.25">
      <c r="A361" s="275" t="s">
        <v>18</v>
      </c>
      <c r="B361" s="491" t="s">
        <v>19</v>
      </c>
      <c r="C361" s="485" t="s">
        <v>20</v>
      </c>
      <c r="D361" s="259" t="s">
        <v>21</v>
      </c>
      <c r="E361" s="485" t="s">
        <v>21</v>
      </c>
      <c r="F361" s="485" t="s">
        <v>21</v>
      </c>
      <c r="G361" s="485" t="s">
        <v>22</v>
      </c>
      <c r="H361" s="485" t="s">
        <v>23</v>
      </c>
      <c r="I361" s="485" t="s">
        <v>24</v>
      </c>
      <c r="J361" s="485" t="s">
        <v>25</v>
      </c>
      <c r="K361" s="485" t="s">
        <v>26</v>
      </c>
      <c r="L361" s="485" t="s">
        <v>27</v>
      </c>
      <c r="M361" s="99" t="s">
        <v>28</v>
      </c>
      <c r="N361" s="137">
        <f t="shared" si="106"/>
        <v>1.25</v>
      </c>
    </row>
    <row r="362" spans="1:14" ht="12.75" hidden="1" customHeight="1" x14ac:dyDescent="0.25">
      <c r="A362" s="273">
        <v>5294</v>
      </c>
      <c r="B362" s="488">
        <v>461000</v>
      </c>
      <c r="C362" s="82" t="s">
        <v>323</v>
      </c>
      <c r="D362" s="256">
        <f>D363+D364</f>
        <v>0</v>
      </c>
      <c r="E362" s="100">
        <f>E363+E364</f>
        <v>0</v>
      </c>
      <c r="F362" s="100">
        <f>F363+F364</f>
        <v>0</v>
      </c>
      <c r="G362" s="100">
        <f t="shared" si="91"/>
        <v>0</v>
      </c>
      <c r="H362" s="100">
        <f t="shared" ref="H362:M362" si="110">H363+H364</f>
        <v>0</v>
      </c>
      <c r="I362" s="100">
        <f t="shared" si="110"/>
        <v>0</v>
      </c>
      <c r="J362" s="100">
        <f t="shared" si="110"/>
        <v>0</v>
      </c>
      <c r="K362" s="100">
        <f t="shared" si="110"/>
        <v>0</v>
      </c>
      <c r="L362" s="100">
        <f t="shared" si="110"/>
        <v>0</v>
      </c>
      <c r="M362" s="101">
        <f t="shared" si="110"/>
        <v>0</v>
      </c>
      <c r="N362" s="137" t="e">
        <f t="shared" si="106"/>
        <v>#DIV/0!</v>
      </c>
    </row>
    <row r="363" spans="1:14" ht="12.75" hidden="1" customHeight="1" x14ac:dyDescent="0.25">
      <c r="A363" s="274">
        <v>5295</v>
      </c>
      <c r="B363" s="83">
        <v>461100</v>
      </c>
      <c r="C363" s="84" t="s">
        <v>324</v>
      </c>
      <c r="D363" s="257"/>
      <c r="E363" s="108"/>
      <c r="F363" s="108"/>
      <c r="G363" s="109">
        <f t="shared" si="91"/>
        <v>0</v>
      </c>
      <c r="H363" s="108"/>
      <c r="I363" s="108"/>
      <c r="J363" s="108"/>
      <c r="K363" s="108"/>
      <c r="L363" s="108"/>
      <c r="M363" s="110"/>
      <c r="N363" s="137" t="e">
        <f t="shared" si="106"/>
        <v>#DIV/0!</v>
      </c>
    </row>
    <row r="364" spans="1:14" ht="12.75" hidden="1" customHeight="1" x14ac:dyDescent="0.25">
      <c r="A364" s="274">
        <v>5296</v>
      </c>
      <c r="B364" s="83">
        <v>461200</v>
      </c>
      <c r="C364" s="84" t="s">
        <v>325</v>
      </c>
      <c r="D364" s="257"/>
      <c r="E364" s="108"/>
      <c r="F364" s="108"/>
      <c r="G364" s="109">
        <f t="shared" si="91"/>
        <v>0</v>
      </c>
      <c r="H364" s="108"/>
      <c r="I364" s="108"/>
      <c r="J364" s="108"/>
      <c r="K364" s="108"/>
      <c r="L364" s="108"/>
      <c r="M364" s="110"/>
      <c r="N364" s="137" t="e">
        <f t="shared" si="106"/>
        <v>#DIV/0!</v>
      </c>
    </row>
    <row r="365" spans="1:14" ht="12.75" hidden="1" customHeight="1" x14ac:dyDescent="0.25">
      <c r="A365" s="273">
        <v>5297</v>
      </c>
      <c r="B365" s="488">
        <v>462000</v>
      </c>
      <c r="C365" s="82" t="s">
        <v>326</v>
      </c>
      <c r="D365" s="256">
        <f>D366+D367</f>
        <v>0</v>
      </c>
      <c r="E365" s="100">
        <f>E366+E367</f>
        <v>0</v>
      </c>
      <c r="F365" s="100">
        <f>F366+F367</f>
        <v>0</v>
      </c>
      <c r="G365" s="100">
        <f t="shared" si="91"/>
        <v>0</v>
      </c>
      <c r="H365" s="100">
        <f t="shared" ref="H365:M365" si="111">H366+H367</f>
        <v>0</v>
      </c>
      <c r="I365" s="100">
        <f t="shared" si="111"/>
        <v>0</v>
      </c>
      <c r="J365" s="100">
        <f t="shared" si="111"/>
        <v>0</v>
      </c>
      <c r="K365" s="100">
        <f t="shared" si="111"/>
        <v>0</v>
      </c>
      <c r="L365" s="100">
        <f t="shared" si="111"/>
        <v>0</v>
      </c>
      <c r="M365" s="101">
        <f t="shared" si="111"/>
        <v>0</v>
      </c>
      <c r="N365" s="137" t="e">
        <f t="shared" si="106"/>
        <v>#DIV/0!</v>
      </c>
    </row>
    <row r="366" spans="1:14" ht="12.75" hidden="1" customHeight="1" x14ac:dyDescent="0.25">
      <c r="A366" s="274">
        <v>5298</v>
      </c>
      <c r="B366" s="83">
        <v>462100</v>
      </c>
      <c r="C366" s="84" t="s">
        <v>327</v>
      </c>
      <c r="D366" s="257"/>
      <c r="E366" s="108"/>
      <c r="F366" s="108"/>
      <c r="G366" s="109">
        <f t="shared" si="91"/>
        <v>0</v>
      </c>
      <c r="H366" s="108"/>
      <c r="I366" s="108"/>
      <c r="J366" s="108"/>
      <c r="K366" s="108"/>
      <c r="L366" s="108"/>
      <c r="M366" s="110"/>
      <c r="N366" s="137" t="e">
        <f t="shared" si="106"/>
        <v>#DIV/0!</v>
      </c>
    </row>
    <row r="367" spans="1:14" ht="12.75" hidden="1" customHeight="1" x14ac:dyDescent="0.25">
      <c r="A367" s="274">
        <v>5299</v>
      </c>
      <c r="B367" s="83">
        <v>462200</v>
      </c>
      <c r="C367" s="84" t="s">
        <v>328</v>
      </c>
      <c r="D367" s="257"/>
      <c r="E367" s="108"/>
      <c r="F367" s="108"/>
      <c r="G367" s="109">
        <f t="shared" si="91"/>
        <v>0</v>
      </c>
      <c r="H367" s="108"/>
      <c r="I367" s="108"/>
      <c r="J367" s="108"/>
      <c r="K367" s="108"/>
      <c r="L367" s="108"/>
      <c r="M367" s="110"/>
      <c r="N367" s="137" t="e">
        <f t="shared" si="106"/>
        <v>#DIV/0!</v>
      </c>
    </row>
    <row r="368" spans="1:14" ht="12.75" hidden="1" customHeight="1" x14ac:dyDescent="0.25">
      <c r="A368" s="273">
        <v>5300</v>
      </c>
      <c r="B368" s="488">
        <v>463000</v>
      </c>
      <c r="C368" s="82" t="s">
        <v>329</v>
      </c>
      <c r="D368" s="256">
        <f>D369+D370</f>
        <v>0</v>
      </c>
      <c r="E368" s="100">
        <f>E369+E370</f>
        <v>0</v>
      </c>
      <c r="F368" s="100">
        <f>F369+F370</f>
        <v>0</v>
      </c>
      <c r="G368" s="100">
        <f t="shared" ref="G368:G440" si="112">SUM(H368:M368)</f>
        <v>0</v>
      </c>
      <c r="H368" s="100">
        <f t="shared" ref="H368:M368" si="113">H369+H370</f>
        <v>0</v>
      </c>
      <c r="I368" s="100">
        <f t="shared" si="113"/>
        <v>0</v>
      </c>
      <c r="J368" s="100">
        <f t="shared" si="113"/>
        <v>0</v>
      </c>
      <c r="K368" s="100">
        <f t="shared" si="113"/>
        <v>0</v>
      </c>
      <c r="L368" s="100">
        <f t="shared" si="113"/>
        <v>0</v>
      </c>
      <c r="M368" s="101">
        <f t="shared" si="113"/>
        <v>0</v>
      </c>
      <c r="N368" s="137" t="e">
        <f t="shared" si="106"/>
        <v>#DIV/0!</v>
      </c>
    </row>
    <row r="369" spans="1:14" ht="12.75" hidden="1" customHeight="1" x14ac:dyDescent="0.25">
      <c r="A369" s="274">
        <v>5301</v>
      </c>
      <c r="B369" s="83">
        <v>463100</v>
      </c>
      <c r="C369" s="84" t="s">
        <v>330</v>
      </c>
      <c r="D369" s="257"/>
      <c r="E369" s="108"/>
      <c r="F369" s="108"/>
      <c r="G369" s="109">
        <f t="shared" si="112"/>
        <v>0</v>
      </c>
      <c r="H369" s="108"/>
      <c r="I369" s="108"/>
      <c r="J369" s="108"/>
      <c r="K369" s="108"/>
      <c r="L369" s="108"/>
      <c r="M369" s="110"/>
      <c r="N369" s="137" t="e">
        <f t="shared" si="106"/>
        <v>#DIV/0!</v>
      </c>
    </row>
    <row r="370" spans="1:14" ht="12.75" hidden="1" customHeight="1" x14ac:dyDescent="0.25">
      <c r="A370" s="274">
        <v>5302</v>
      </c>
      <c r="B370" s="83">
        <v>463200</v>
      </c>
      <c r="C370" s="84" t="s">
        <v>331</v>
      </c>
      <c r="D370" s="257"/>
      <c r="E370" s="108"/>
      <c r="F370" s="108"/>
      <c r="G370" s="109">
        <f t="shared" si="112"/>
        <v>0</v>
      </c>
      <c r="H370" s="108"/>
      <c r="I370" s="108"/>
      <c r="J370" s="108"/>
      <c r="K370" s="108"/>
      <c r="L370" s="108"/>
      <c r="M370" s="110"/>
      <c r="N370" s="137" t="e">
        <f t="shared" si="106"/>
        <v>#DIV/0!</v>
      </c>
    </row>
    <row r="371" spans="1:14" ht="12.75" hidden="1" customHeight="1" x14ac:dyDescent="0.25">
      <c r="A371" s="273">
        <v>5303</v>
      </c>
      <c r="B371" s="488">
        <v>464000</v>
      </c>
      <c r="C371" s="82" t="s">
        <v>332</v>
      </c>
      <c r="D371" s="256">
        <f>D372+D373</f>
        <v>0</v>
      </c>
      <c r="E371" s="100">
        <f>E372+E373</f>
        <v>0</v>
      </c>
      <c r="F371" s="100">
        <f>F372+F373</f>
        <v>0</v>
      </c>
      <c r="G371" s="100">
        <f t="shared" si="112"/>
        <v>0</v>
      </c>
      <c r="H371" s="100">
        <f t="shared" ref="H371:M371" si="114">H372+H373</f>
        <v>0</v>
      </c>
      <c r="I371" s="100">
        <f t="shared" si="114"/>
        <v>0</v>
      </c>
      <c r="J371" s="100">
        <f t="shared" si="114"/>
        <v>0</v>
      </c>
      <c r="K371" s="100">
        <f t="shared" si="114"/>
        <v>0</v>
      </c>
      <c r="L371" s="100">
        <f t="shared" si="114"/>
        <v>0</v>
      </c>
      <c r="M371" s="101">
        <f t="shared" si="114"/>
        <v>0</v>
      </c>
      <c r="N371" s="137" t="e">
        <f t="shared" si="106"/>
        <v>#DIV/0!</v>
      </c>
    </row>
    <row r="372" spans="1:14" ht="12.75" hidden="1" customHeight="1" x14ac:dyDescent="0.25">
      <c r="A372" s="274">
        <v>5304</v>
      </c>
      <c r="B372" s="83">
        <v>464100</v>
      </c>
      <c r="C372" s="84" t="s">
        <v>333</v>
      </c>
      <c r="D372" s="257"/>
      <c r="E372" s="108"/>
      <c r="F372" s="108"/>
      <c r="G372" s="109">
        <f t="shared" si="112"/>
        <v>0</v>
      </c>
      <c r="H372" s="108"/>
      <c r="I372" s="108"/>
      <c r="J372" s="108"/>
      <c r="K372" s="108"/>
      <c r="L372" s="108"/>
      <c r="M372" s="110"/>
      <c r="N372" s="137" t="e">
        <f t="shared" si="106"/>
        <v>#DIV/0!</v>
      </c>
    </row>
    <row r="373" spans="1:14" ht="12.75" hidden="1" customHeight="1" x14ac:dyDescent="0.25">
      <c r="A373" s="274">
        <v>5305</v>
      </c>
      <c r="B373" s="83">
        <v>464200</v>
      </c>
      <c r="C373" s="84" t="s">
        <v>334</v>
      </c>
      <c r="D373" s="257"/>
      <c r="E373" s="108"/>
      <c r="F373" s="108"/>
      <c r="G373" s="109">
        <f t="shared" si="112"/>
        <v>0</v>
      </c>
      <c r="H373" s="108"/>
      <c r="I373" s="108"/>
      <c r="J373" s="108"/>
      <c r="K373" s="108"/>
      <c r="L373" s="108"/>
      <c r="M373" s="110"/>
      <c r="N373" s="137" t="e">
        <f t="shared" si="106"/>
        <v>#DIV/0!</v>
      </c>
    </row>
    <row r="374" spans="1:14" ht="12.75" customHeight="1" x14ac:dyDescent="0.25">
      <c r="A374" s="273">
        <v>5306</v>
      </c>
      <c r="B374" s="488">
        <v>465000</v>
      </c>
      <c r="C374" s="82" t="s">
        <v>335</v>
      </c>
      <c r="D374" s="256">
        <f>D375+D376</f>
        <v>0</v>
      </c>
      <c r="E374" s="100">
        <f>E375+E376</f>
        <v>10080</v>
      </c>
      <c r="F374" s="100">
        <f>F375+F376</f>
        <v>10080</v>
      </c>
      <c r="G374" s="100">
        <f t="shared" si="112"/>
        <v>2291</v>
      </c>
      <c r="H374" s="100">
        <f t="shared" ref="H374:M374" si="115">H375+H376</f>
        <v>0</v>
      </c>
      <c r="I374" s="100">
        <f t="shared" si="115"/>
        <v>0</v>
      </c>
      <c r="J374" s="100">
        <f t="shared" si="115"/>
        <v>0</v>
      </c>
      <c r="K374" s="100">
        <f t="shared" si="115"/>
        <v>2291</v>
      </c>
      <c r="L374" s="100">
        <f t="shared" si="115"/>
        <v>0</v>
      </c>
      <c r="M374" s="101">
        <f t="shared" si="115"/>
        <v>0</v>
      </c>
      <c r="N374" s="137">
        <f t="shared" si="106"/>
        <v>0.22728174603174603</v>
      </c>
    </row>
    <row r="375" spans="1:14" ht="12.75" customHeight="1" x14ac:dyDescent="0.25">
      <c r="A375" s="274">
        <v>5307</v>
      </c>
      <c r="B375" s="83">
        <v>465100</v>
      </c>
      <c r="C375" s="84" t="s">
        <v>336</v>
      </c>
      <c r="D375" s="257">
        <v>0</v>
      </c>
      <c r="E375" s="108">
        <v>10080</v>
      </c>
      <c r="F375" s="108">
        <f>D375+E375</f>
        <v>10080</v>
      </c>
      <c r="G375" s="109">
        <f t="shared" si="112"/>
        <v>2291</v>
      </c>
      <c r="H375" s="108"/>
      <c r="I375" s="108"/>
      <c r="J375" s="108"/>
      <c r="K375" s="108">
        <v>2291</v>
      </c>
      <c r="L375" s="108"/>
      <c r="M375" s="110"/>
      <c r="N375" s="137">
        <f t="shared" si="106"/>
        <v>0.22728174603174603</v>
      </c>
    </row>
    <row r="376" spans="1:14" ht="12.75" hidden="1" customHeight="1" x14ac:dyDescent="0.25">
      <c r="A376" s="274">
        <v>5308</v>
      </c>
      <c r="B376" s="83">
        <v>465200</v>
      </c>
      <c r="C376" s="84" t="s">
        <v>337</v>
      </c>
      <c r="D376" s="257"/>
      <c r="E376" s="108"/>
      <c r="F376" s="108"/>
      <c r="G376" s="109">
        <f t="shared" si="112"/>
        <v>0</v>
      </c>
      <c r="H376" s="108"/>
      <c r="I376" s="108"/>
      <c r="J376" s="108"/>
      <c r="K376" s="108"/>
      <c r="L376" s="108"/>
      <c r="M376" s="110"/>
      <c r="N376" s="137" t="e">
        <f t="shared" si="106"/>
        <v>#DIV/0!</v>
      </c>
    </row>
    <row r="377" spans="1:14" ht="12.75" hidden="1" customHeight="1" x14ac:dyDescent="0.25">
      <c r="A377" s="273">
        <v>5309</v>
      </c>
      <c r="B377" s="488">
        <v>470000</v>
      </c>
      <c r="C377" s="82" t="s">
        <v>338</v>
      </c>
      <c r="D377" s="256">
        <f>D378+D382</f>
        <v>0</v>
      </c>
      <c r="E377" s="100">
        <f>E378+E382</f>
        <v>0</v>
      </c>
      <c r="F377" s="100">
        <f>F378+F382</f>
        <v>0</v>
      </c>
      <c r="G377" s="100">
        <f t="shared" si="112"/>
        <v>0</v>
      </c>
      <c r="H377" s="100">
        <f t="shared" ref="H377:M377" si="116">H378+H382</f>
        <v>0</v>
      </c>
      <c r="I377" s="100">
        <f t="shared" si="116"/>
        <v>0</v>
      </c>
      <c r="J377" s="100">
        <f t="shared" si="116"/>
        <v>0</v>
      </c>
      <c r="K377" s="100">
        <f t="shared" si="116"/>
        <v>0</v>
      </c>
      <c r="L377" s="100">
        <f t="shared" si="116"/>
        <v>0</v>
      </c>
      <c r="M377" s="101">
        <f t="shared" si="116"/>
        <v>0</v>
      </c>
      <c r="N377" s="137" t="e">
        <f t="shared" si="106"/>
        <v>#DIV/0!</v>
      </c>
    </row>
    <row r="378" spans="1:14" ht="12.75" hidden="1" customHeight="1" x14ac:dyDescent="0.25">
      <c r="A378" s="273">
        <v>5310</v>
      </c>
      <c r="B378" s="488">
        <v>471000</v>
      </c>
      <c r="C378" s="82" t="s">
        <v>339</v>
      </c>
      <c r="D378" s="256">
        <f>SUM(D379:D381)</f>
        <v>0</v>
      </c>
      <c r="E378" s="100">
        <f>SUM(E379:E381)</f>
        <v>0</v>
      </c>
      <c r="F378" s="100">
        <f>SUM(F379:F381)</f>
        <v>0</v>
      </c>
      <c r="G378" s="100">
        <f t="shared" si="112"/>
        <v>0</v>
      </c>
      <c r="H378" s="100">
        <f t="shared" ref="H378:M378" si="117">SUM(H379:H381)</f>
        <v>0</v>
      </c>
      <c r="I378" s="100">
        <f t="shared" si="117"/>
        <v>0</v>
      </c>
      <c r="J378" s="100">
        <f t="shared" si="117"/>
        <v>0</v>
      </c>
      <c r="K378" s="100">
        <f t="shared" si="117"/>
        <v>0</v>
      </c>
      <c r="L378" s="100">
        <f t="shared" si="117"/>
        <v>0</v>
      </c>
      <c r="M378" s="101">
        <f t="shared" si="117"/>
        <v>0</v>
      </c>
      <c r="N378" s="137" t="e">
        <f t="shared" si="106"/>
        <v>#DIV/0!</v>
      </c>
    </row>
    <row r="379" spans="1:14" ht="12.75" hidden="1" customHeight="1" x14ac:dyDescent="0.25">
      <c r="A379" s="274">
        <v>5311</v>
      </c>
      <c r="B379" s="83">
        <v>471100</v>
      </c>
      <c r="C379" s="84" t="s">
        <v>340</v>
      </c>
      <c r="D379" s="257"/>
      <c r="E379" s="108"/>
      <c r="F379" s="108"/>
      <c r="G379" s="109">
        <f t="shared" si="112"/>
        <v>0</v>
      </c>
      <c r="H379" s="108"/>
      <c r="I379" s="108"/>
      <c r="J379" s="108"/>
      <c r="K379" s="108"/>
      <c r="L379" s="108"/>
      <c r="M379" s="110"/>
      <c r="N379" s="137" t="e">
        <f t="shared" si="106"/>
        <v>#DIV/0!</v>
      </c>
    </row>
    <row r="380" spans="1:14" ht="12.75" hidden="1" customHeight="1" x14ac:dyDescent="0.25">
      <c r="A380" s="274">
        <v>5312</v>
      </c>
      <c r="B380" s="83">
        <v>471200</v>
      </c>
      <c r="C380" s="84" t="s">
        <v>341</v>
      </c>
      <c r="D380" s="257"/>
      <c r="E380" s="108"/>
      <c r="F380" s="108"/>
      <c r="G380" s="109">
        <f t="shared" si="112"/>
        <v>0</v>
      </c>
      <c r="H380" s="108"/>
      <c r="I380" s="108"/>
      <c r="J380" s="108"/>
      <c r="K380" s="108"/>
      <c r="L380" s="108"/>
      <c r="M380" s="110"/>
      <c r="N380" s="137" t="e">
        <f t="shared" si="106"/>
        <v>#DIV/0!</v>
      </c>
    </row>
    <row r="381" spans="1:14" ht="12.75" hidden="1" customHeight="1" x14ac:dyDescent="0.25">
      <c r="A381" s="274">
        <v>5313</v>
      </c>
      <c r="B381" s="83">
        <v>471900</v>
      </c>
      <c r="C381" s="84" t="s">
        <v>342</v>
      </c>
      <c r="D381" s="257"/>
      <c r="E381" s="108"/>
      <c r="F381" s="108"/>
      <c r="G381" s="109">
        <f t="shared" si="112"/>
        <v>0</v>
      </c>
      <c r="H381" s="108"/>
      <c r="I381" s="108"/>
      <c r="J381" s="108"/>
      <c r="K381" s="108"/>
      <c r="L381" s="108"/>
      <c r="M381" s="110"/>
      <c r="N381" s="137" t="e">
        <f t="shared" si="106"/>
        <v>#DIV/0!</v>
      </c>
    </row>
    <row r="382" spans="1:14" ht="12.75" hidden="1" customHeight="1" x14ac:dyDescent="0.25">
      <c r="A382" s="273">
        <v>5314</v>
      </c>
      <c r="B382" s="488">
        <v>472000</v>
      </c>
      <c r="C382" s="82" t="s">
        <v>343</v>
      </c>
      <c r="D382" s="256">
        <f>SUM(D387:D395)</f>
        <v>0</v>
      </c>
      <c r="E382" s="100">
        <f>SUM(E387:E395)</f>
        <v>0</v>
      </c>
      <c r="F382" s="100">
        <f>SUM(F387:F395)</f>
        <v>0</v>
      </c>
      <c r="G382" s="100">
        <f t="shared" si="112"/>
        <v>0</v>
      </c>
      <c r="H382" s="100">
        <f t="shared" ref="H382:M382" si="118">SUM(H387:H395)</f>
        <v>0</v>
      </c>
      <c r="I382" s="100">
        <f t="shared" si="118"/>
        <v>0</v>
      </c>
      <c r="J382" s="100">
        <f t="shared" si="118"/>
        <v>0</v>
      </c>
      <c r="K382" s="100">
        <f t="shared" si="118"/>
        <v>0</v>
      </c>
      <c r="L382" s="100">
        <f t="shared" si="118"/>
        <v>0</v>
      </c>
      <c r="M382" s="101">
        <f t="shared" si="118"/>
        <v>0</v>
      </c>
      <c r="N382" s="137" t="e">
        <f t="shared" si="106"/>
        <v>#DIV/0!</v>
      </c>
    </row>
    <row r="383" spans="1:14" ht="12.75" hidden="1" customHeight="1" x14ac:dyDescent="0.25">
      <c r="A383" s="645" t="s">
        <v>0</v>
      </c>
      <c r="B383" s="646" t="s">
        <v>1</v>
      </c>
      <c r="C383" s="585" t="s">
        <v>2</v>
      </c>
      <c r="D383" s="259" t="s">
        <v>217</v>
      </c>
      <c r="E383" s="585" t="s">
        <v>217</v>
      </c>
      <c r="F383" s="486" t="s">
        <v>217</v>
      </c>
      <c r="G383" s="575" t="s">
        <v>198</v>
      </c>
      <c r="H383" s="589"/>
      <c r="I383" s="589"/>
      <c r="J383" s="589"/>
      <c r="K383" s="589"/>
      <c r="L383" s="589"/>
      <c r="M383" s="592"/>
      <c r="N383" s="137" t="e">
        <f t="shared" si="106"/>
        <v>#VALUE!</v>
      </c>
    </row>
    <row r="384" spans="1:14" ht="12.75" hidden="1" customHeight="1" x14ac:dyDescent="0.25">
      <c r="A384" s="645"/>
      <c r="B384" s="646"/>
      <c r="C384" s="585"/>
      <c r="D384" s="259"/>
      <c r="E384" s="585"/>
      <c r="F384" s="486"/>
      <c r="G384" s="575" t="s">
        <v>199</v>
      </c>
      <c r="H384" s="575" t="s">
        <v>200</v>
      </c>
      <c r="I384" s="589"/>
      <c r="J384" s="589"/>
      <c r="K384" s="589"/>
      <c r="L384" s="575" t="s">
        <v>7</v>
      </c>
      <c r="M384" s="582" t="s">
        <v>8</v>
      </c>
      <c r="N384" s="137" t="e">
        <f t="shared" si="106"/>
        <v>#VALUE!</v>
      </c>
    </row>
    <row r="385" spans="1:14" ht="12.75" hidden="1" customHeight="1" x14ac:dyDescent="0.25">
      <c r="A385" s="645"/>
      <c r="B385" s="646"/>
      <c r="C385" s="585"/>
      <c r="D385" s="259"/>
      <c r="E385" s="585"/>
      <c r="F385" s="486"/>
      <c r="G385" s="589"/>
      <c r="H385" s="487" t="s">
        <v>201</v>
      </c>
      <c r="I385" s="487" t="s">
        <v>10</v>
      </c>
      <c r="J385" s="487" t="s">
        <v>11</v>
      </c>
      <c r="K385" s="487" t="s">
        <v>12</v>
      </c>
      <c r="L385" s="589"/>
      <c r="M385" s="592"/>
      <c r="N385" s="137" t="e">
        <f t="shared" si="106"/>
        <v>#DIV/0!</v>
      </c>
    </row>
    <row r="386" spans="1:14" ht="12.75" hidden="1" customHeight="1" x14ac:dyDescent="0.25">
      <c r="A386" s="275" t="s">
        <v>18</v>
      </c>
      <c r="B386" s="491" t="s">
        <v>19</v>
      </c>
      <c r="C386" s="485" t="s">
        <v>20</v>
      </c>
      <c r="D386" s="259" t="s">
        <v>21</v>
      </c>
      <c r="E386" s="485" t="s">
        <v>21</v>
      </c>
      <c r="F386" s="485" t="s">
        <v>21</v>
      </c>
      <c r="G386" s="485" t="s">
        <v>22</v>
      </c>
      <c r="H386" s="485" t="s">
        <v>23</v>
      </c>
      <c r="I386" s="485" t="s">
        <v>24</v>
      </c>
      <c r="J386" s="485" t="s">
        <v>25</v>
      </c>
      <c r="K386" s="485" t="s">
        <v>26</v>
      </c>
      <c r="L386" s="485" t="s">
        <v>27</v>
      </c>
      <c r="M386" s="99" t="s">
        <v>28</v>
      </c>
      <c r="N386" s="137">
        <f t="shared" si="106"/>
        <v>1.25</v>
      </c>
    </row>
    <row r="387" spans="1:14" ht="12.75" hidden="1" customHeight="1" x14ac:dyDescent="0.25">
      <c r="A387" s="274">
        <v>5315</v>
      </c>
      <c r="B387" s="83">
        <v>472100</v>
      </c>
      <c r="C387" s="84" t="s">
        <v>344</v>
      </c>
      <c r="D387" s="257"/>
      <c r="E387" s="108"/>
      <c r="F387" s="108"/>
      <c r="G387" s="109">
        <f t="shared" si="112"/>
        <v>0</v>
      </c>
      <c r="H387" s="108"/>
      <c r="I387" s="108"/>
      <c r="J387" s="108"/>
      <c r="K387" s="108"/>
      <c r="L387" s="108"/>
      <c r="M387" s="110"/>
      <c r="N387" s="137" t="e">
        <f t="shared" si="106"/>
        <v>#DIV/0!</v>
      </c>
    </row>
    <row r="388" spans="1:14" ht="12.75" hidden="1" customHeight="1" x14ac:dyDescent="0.25">
      <c r="A388" s="274">
        <v>5316</v>
      </c>
      <c r="B388" s="83">
        <v>472200</v>
      </c>
      <c r="C388" s="84" t="s">
        <v>345</v>
      </c>
      <c r="D388" s="257"/>
      <c r="E388" s="108"/>
      <c r="F388" s="108"/>
      <c r="G388" s="109">
        <f t="shared" si="112"/>
        <v>0</v>
      </c>
      <c r="H388" s="108"/>
      <c r="I388" s="108"/>
      <c r="J388" s="108"/>
      <c r="K388" s="108"/>
      <c r="L388" s="108"/>
      <c r="M388" s="110"/>
      <c r="N388" s="137" t="e">
        <f t="shared" si="106"/>
        <v>#DIV/0!</v>
      </c>
    </row>
    <row r="389" spans="1:14" ht="12.75" hidden="1" customHeight="1" x14ac:dyDescent="0.25">
      <c r="A389" s="274">
        <v>5317</v>
      </c>
      <c r="B389" s="83">
        <v>472300</v>
      </c>
      <c r="C389" s="84" t="s">
        <v>346</v>
      </c>
      <c r="D389" s="257"/>
      <c r="E389" s="108"/>
      <c r="F389" s="108"/>
      <c r="G389" s="109">
        <f t="shared" si="112"/>
        <v>0</v>
      </c>
      <c r="H389" s="108"/>
      <c r="I389" s="108"/>
      <c r="J389" s="108"/>
      <c r="K389" s="108"/>
      <c r="L389" s="108"/>
      <c r="M389" s="110"/>
      <c r="N389" s="137" t="e">
        <f t="shared" si="106"/>
        <v>#DIV/0!</v>
      </c>
    </row>
    <row r="390" spans="1:14" ht="12.75" hidden="1" customHeight="1" x14ac:dyDescent="0.25">
      <c r="A390" s="274">
        <v>5318</v>
      </c>
      <c r="B390" s="83">
        <v>472400</v>
      </c>
      <c r="C390" s="84" t="s">
        <v>347</v>
      </c>
      <c r="D390" s="257"/>
      <c r="E390" s="108"/>
      <c r="F390" s="108"/>
      <c r="G390" s="109">
        <f t="shared" si="112"/>
        <v>0</v>
      </c>
      <c r="H390" s="108"/>
      <c r="I390" s="108"/>
      <c r="J390" s="108"/>
      <c r="K390" s="108"/>
      <c r="L390" s="108"/>
      <c r="M390" s="110"/>
      <c r="N390" s="137" t="e">
        <f t="shared" si="106"/>
        <v>#DIV/0!</v>
      </c>
    </row>
    <row r="391" spans="1:14" ht="12.75" hidden="1" customHeight="1" x14ac:dyDescent="0.25">
      <c r="A391" s="274">
        <v>5319</v>
      </c>
      <c r="B391" s="83">
        <v>472500</v>
      </c>
      <c r="C391" s="84" t="s">
        <v>348</v>
      </c>
      <c r="D391" s="257"/>
      <c r="E391" s="108"/>
      <c r="F391" s="108"/>
      <c r="G391" s="109">
        <f t="shared" si="112"/>
        <v>0</v>
      </c>
      <c r="H391" s="108"/>
      <c r="I391" s="108"/>
      <c r="J391" s="108"/>
      <c r="K391" s="108"/>
      <c r="L391" s="108"/>
      <c r="M391" s="110"/>
      <c r="N391" s="137" t="e">
        <f t="shared" si="106"/>
        <v>#DIV/0!</v>
      </c>
    </row>
    <row r="392" spans="1:14" ht="12.75" hidden="1" customHeight="1" x14ac:dyDescent="0.25">
      <c r="A392" s="274">
        <v>5320</v>
      </c>
      <c r="B392" s="83">
        <v>472600</v>
      </c>
      <c r="C392" s="84" t="s">
        <v>349</v>
      </c>
      <c r="D392" s="257"/>
      <c r="E392" s="108"/>
      <c r="F392" s="108"/>
      <c r="G392" s="109">
        <f t="shared" si="112"/>
        <v>0</v>
      </c>
      <c r="H392" s="108"/>
      <c r="I392" s="108"/>
      <c r="J392" s="108"/>
      <c r="K392" s="108"/>
      <c r="L392" s="108"/>
      <c r="M392" s="110"/>
      <c r="N392" s="137" t="e">
        <f t="shared" si="106"/>
        <v>#DIV/0!</v>
      </c>
    </row>
    <row r="393" spans="1:14" ht="12.75" hidden="1" customHeight="1" x14ac:dyDescent="0.25">
      <c r="A393" s="274">
        <v>5321</v>
      </c>
      <c r="B393" s="83">
        <v>472700</v>
      </c>
      <c r="C393" s="84" t="s">
        <v>350</v>
      </c>
      <c r="D393" s="257"/>
      <c r="E393" s="108"/>
      <c r="F393" s="108"/>
      <c r="G393" s="109">
        <f t="shared" si="112"/>
        <v>0</v>
      </c>
      <c r="H393" s="108"/>
      <c r="I393" s="108"/>
      <c r="J393" s="108"/>
      <c r="K393" s="108"/>
      <c r="L393" s="108"/>
      <c r="M393" s="110"/>
      <c r="N393" s="137" t="e">
        <f t="shared" si="106"/>
        <v>#DIV/0!</v>
      </c>
    </row>
    <row r="394" spans="1:14" ht="12.75" hidden="1" customHeight="1" x14ac:dyDescent="0.25">
      <c r="A394" s="274">
        <v>5322</v>
      </c>
      <c r="B394" s="83">
        <v>472800</v>
      </c>
      <c r="C394" s="84" t="s">
        <v>351</v>
      </c>
      <c r="D394" s="257"/>
      <c r="E394" s="108"/>
      <c r="F394" s="108"/>
      <c r="G394" s="109">
        <f t="shared" si="112"/>
        <v>0</v>
      </c>
      <c r="H394" s="108"/>
      <c r="I394" s="108"/>
      <c r="J394" s="108"/>
      <c r="K394" s="108"/>
      <c r="L394" s="108"/>
      <c r="M394" s="110"/>
      <c r="N394" s="137" t="e">
        <f t="shared" si="106"/>
        <v>#DIV/0!</v>
      </c>
    </row>
    <row r="395" spans="1:14" ht="12.75" hidden="1" customHeight="1" x14ac:dyDescent="0.25">
      <c r="A395" s="274">
        <v>5323</v>
      </c>
      <c r="B395" s="83">
        <v>472900</v>
      </c>
      <c r="C395" s="84" t="s">
        <v>352</v>
      </c>
      <c r="D395" s="257"/>
      <c r="E395" s="108"/>
      <c r="F395" s="108"/>
      <c r="G395" s="109">
        <f t="shared" si="112"/>
        <v>0</v>
      </c>
      <c r="H395" s="108"/>
      <c r="I395" s="108"/>
      <c r="J395" s="108"/>
      <c r="K395" s="108"/>
      <c r="L395" s="108"/>
      <c r="M395" s="110"/>
      <c r="N395" s="137" t="e">
        <f t="shared" si="106"/>
        <v>#DIV/0!</v>
      </c>
    </row>
    <row r="396" spans="1:14" ht="12.75" customHeight="1" x14ac:dyDescent="0.25">
      <c r="A396" s="273">
        <v>5324</v>
      </c>
      <c r="B396" s="488">
        <v>480000</v>
      </c>
      <c r="C396" s="82" t="s">
        <v>353</v>
      </c>
      <c r="D396" s="256">
        <f>D397+D400+D404+D406+D409+D415</f>
        <v>0</v>
      </c>
      <c r="E396" s="100">
        <f>E397+E400+E404+E406+E409+E415</f>
        <v>300</v>
      </c>
      <c r="F396" s="100">
        <f>F397+F400+F404+F406+F409+F415</f>
        <v>300</v>
      </c>
      <c r="G396" s="100">
        <f t="shared" si="112"/>
        <v>65</v>
      </c>
      <c r="H396" s="100">
        <f t="shared" ref="H396:M396" si="119">H397+H400+H404+H406+H409+H415</f>
        <v>0</v>
      </c>
      <c r="I396" s="100">
        <f t="shared" si="119"/>
        <v>0</v>
      </c>
      <c r="J396" s="100">
        <f t="shared" si="119"/>
        <v>0</v>
      </c>
      <c r="K396" s="100">
        <f t="shared" si="119"/>
        <v>0</v>
      </c>
      <c r="L396" s="100">
        <f t="shared" si="119"/>
        <v>0</v>
      </c>
      <c r="M396" s="101">
        <f t="shared" si="119"/>
        <v>65</v>
      </c>
      <c r="N396" s="137">
        <f t="shared" si="106"/>
        <v>0.21666666666666667</v>
      </c>
    </row>
    <row r="397" spans="1:14" ht="12.75" customHeight="1" x14ac:dyDescent="0.25">
      <c r="A397" s="273">
        <v>5325</v>
      </c>
      <c r="B397" s="488">
        <v>481000</v>
      </c>
      <c r="C397" s="82" t="s">
        <v>354</v>
      </c>
      <c r="D397" s="256">
        <f>D398+D399</f>
        <v>0</v>
      </c>
      <c r="E397" s="100">
        <f>E398+E399</f>
        <v>35</v>
      </c>
      <c r="F397" s="100">
        <f>F398+F399</f>
        <v>35</v>
      </c>
      <c r="G397" s="100">
        <f t="shared" si="112"/>
        <v>10</v>
      </c>
      <c r="H397" s="100">
        <f t="shared" ref="H397:M397" si="120">H398+H399</f>
        <v>0</v>
      </c>
      <c r="I397" s="100">
        <f t="shared" si="120"/>
        <v>0</v>
      </c>
      <c r="J397" s="100">
        <f t="shared" si="120"/>
        <v>0</v>
      </c>
      <c r="K397" s="100">
        <f t="shared" si="120"/>
        <v>0</v>
      </c>
      <c r="L397" s="100">
        <f t="shared" si="120"/>
        <v>0</v>
      </c>
      <c r="M397" s="101">
        <f t="shared" si="120"/>
        <v>10</v>
      </c>
      <c r="N397" s="137">
        <f t="shared" si="106"/>
        <v>0.2857142857142857</v>
      </c>
    </row>
    <row r="398" spans="1:14" ht="12.75" hidden="1" customHeight="1" x14ac:dyDescent="0.25">
      <c r="A398" s="274">
        <v>5326</v>
      </c>
      <c r="B398" s="83">
        <v>481100</v>
      </c>
      <c r="C398" s="84" t="s">
        <v>355</v>
      </c>
      <c r="D398" s="257"/>
      <c r="E398" s="108"/>
      <c r="F398" s="108"/>
      <c r="G398" s="109">
        <f t="shared" si="112"/>
        <v>0</v>
      </c>
      <c r="H398" s="108"/>
      <c r="I398" s="108"/>
      <c r="J398" s="108"/>
      <c r="K398" s="108"/>
      <c r="L398" s="108"/>
      <c r="M398" s="110"/>
      <c r="N398" s="137" t="e">
        <f t="shared" si="106"/>
        <v>#DIV/0!</v>
      </c>
    </row>
    <row r="399" spans="1:14" ht="12.75" customHeight="1" x14ac:dyDescent="0.25">
      <c r="A399" s="274">
        <v>5327</v>
      </c>
      <c r="B399" s="83">
        <v>481900</v>
      </c>
      <c r="C399" s="84" t="s">
        <v>356</v>
      </c>
      <c r="D399" s="257">
        <v>0</v>
      </c>
      <c r="E399" s="108">
        <v>35</v>
      </c>
      <c r="F399" s="108">
        <f>D399+E399</f>
        <v>35</v>
      </c>
      <c r="G399" s="109">
        <f t="shared" si="112"/>
        <v>10</v>
      </c>
      <c r="H399" s="108"/>
      <c r="I399" s="108"/>
      <c r="J399" s="108"/>
      <c r="K399" s="108"/>
      <c r="L399" s="108"/>
      <c r="M399" s="110">
        <v>10</v>
      </c>
      <c r="N399" s="137">
        <f t="shared" si="106"/>
        <v>0.2857142857142857</v>
      </c>
    </row>
    <row r="400" spans="1:14" ht="12.75" customHeight="1" x14ac:dyDescent="0.25">
      <c r="A400" s="273">
        <v>5328</v>
      </c>
      <c r="B400" s="488">
        <v>482000</v>
      </c>
      <c r="C400" s="82" t="s">
        <v>357</v>
      </c>
      <c r="D400" s="256">
        <f>SUM(D401:D403)</f>
        <v>0</v>
      </c>
      <c r="E400" s="100">
        <f>SUM(E401:E403)</f>
        <v>65</v>
      </c>
      <c r="F400" s="100">
        <f>SUM(F401:F403)</f>
        <v>65</v>
      </c>
      <c r="G400" s="100">
        <f t="shared" si="112"/>
        <v>25</v>
      </c>
      <c r="H400" s="100">
        <f t="shared" ref="H400:M400" si="121">SUM(H401:H403)</f>
        <v>0</v>
      </c>
      <c r="I400" s="100">
        <f t="shared" si="121"/>
        <v>0</v>
      </c>
      <c r="J400" s="100">
        <f t="shared" si="121"/>
        <v>0</v>
      </c>
      <c r="K400" s="100">
        <f t="shared" si="121"/>
        <v>0</v>
      </c>
      <c r="L400" s="100">
        <f t="shared" si="121"/>
        <v>0</v>
      </c>
      <c r="M400" s="101">
        <f t="shared" si="121"/>
        <v>25</v>
      </c>
      <c r="N400" s="137">
        <f t="shared" si="106"/>
        <v>0.38461538461538464</v>
      </c>
    </row>
    <row r="401" spans="1:14" ht="12.75" customHeight="1" x14ac:dyDescent="0.25">
      <c r="A401" s="274">
        <v>5329</v>
      </c>
      <c r="B401" s="83">
        <v>482100</v>
      </c>
      <c r="C401" s="84" t="s">
        <v>358</v>
      </c>
      <c r="D401" s="257">
        <v>0</v>
      </c>
      <c r="E401" s="108">
        <v>30</v>
      </c>
      <c r="F401" s="108">
        <f>D401+E401</f>
        <v>30</v>
      </c>
      <c r="G401" s="109">
        <f t="shared" si="112"/>
        <v>25</v>
      </c>
      <c r="H401" s="108"/>
      <c r="I401" s="108"/>
      <c r="J401" s="108"/>
      <c r="K401" s="108"/>
      <c r="L401" s="108"/>
      <c r="M401" s="110">
        <v>25</v>
      </c>
      <c r="N401" s="137">
        <f t="shared" si="106"/>
        <v>0.83333333333333337</v>
      </c>
    </row>
    <row r="402" spans="1:14" ht="12.75" customHeight="1" x14ac:dyDescent="0.25">
      <c r="A402" s="274">
        <v>5330</v>
      </c>
      <c r="B402" s="83">
        <v>482200</v>
      </c>
      <c r="C402" s="84" t="s">
        <v>359</v>
      </c>
      <c r="D402" s="257">
        <v>0</v>
      </c>
      <c r="E402" s="108">
        <v>25</v>
      </c>
      <c r="F402" s="108">
        <f t="shared" ref="F402:F403" si="122">D402+E402</f>
        <v>25</v>
      </c>
      <c r="G402" s="109">
        <f t="shared" si="112"/>
        <v>0</v>
      </c>
      <c r="H402" s="108"/>
      <c r="I402" s="108"/>
      <c r="J402" s="108"/>
      <c r="K402" s="108"/>
      <c r="L402" s="108"/>
      <c r="M402" s="110"/>
      <c r="N402" s="137">
        <f t="shared" si="106"/>
        <v>0</v>
      </c>
    </row>
    <row r="403" spans="1:14" ht="12.75" customHeight="1" x14ac:dyDescent="0.25">
      <c r="A403" s="274">
        <v>5331</v>
      </c>
      <c r="B403" s="83">
        <v>482300</v>
      </c>
      <c r="C403" s="84" t="s">
        <v>360</v>
      </c>
      <c r="D403" s="257">
        <v>0</v>
      </c>
      <c r="E403" s="108">
        <v>10</v>
      </c>
      <c r="F403" s="108">
        <f t="shared" si="122"/>
        <v>10</v>
      </c>
      <c r="G403" s="109">
        <f t="shared" si="112"/>
        <v>0</v>
      </c>
      <c r="H403" s="108"/>
      <c r="I403" s="108"/>
      <c r="J403" s="108"/>
      <c r="K403" s="108"/>
      <c r="L403" s="108"/>
      <c r="M403" s="110"/>
      <c r="N403" s="137">
        <f t="shared" si="106"/>
        <v>0</v>
      </c>
    </row>
    <row r="404" spans="1:14" ht="12.75" customHeight="1" x14ac:dyDescent="0.25">
      <c r="A404" s="273">
        <v>5332</v>
      </c>
      <c r="B404" s="488">
        <v>483000</v>
      </c>
      <c r="C404" s="82" t="s">
        <v>361</v>
      </c>
      <c r="D404" s="256">
        <f>D405</f>
        <v>0</v>
      </c>
      <c r="E404" s="100">
        <f>E405</f>
        <v>200</v>
      </c>
      <c r="F404" s="100">
        <f>F405</f>
        <v>200</v>
      </c>
      <c r="G404" s="100">
        <f t="shared" si="112"/>
        <v>30</v>
      </c>
      <c r="H404" s="100">
        <f t="shared" ref="H404:M404" si="123">H405</f>
        <v>0</v>
      </c>
      <c r="I404" s="100">
        <f t="shared" si="123"/>
        <v>0</v>
      </c>
      <c r="J404" s="100">
        <f t="shared" si="123"/>
        <v>0</v>
      </c>
      <c r="K404" s="100">
        <f t="shared" si="123"/>
        <v>0</v>
      </c>
      <c r="L404" s="100">
        <f t="shared" si="123"/>
        <v>0</v>
      </c>
      <c r="M404" s="101">
        <f t="shared" si="123"/>
        <v>30</v>
      </c>
      <c r="N404" s="137">
        <f t="shared" si="106"/>
        <v>0.15</v>
      </c>
    </row>
    <row r="405" spans="1:14" ht="12.75" customHeight="1" x14ac:dyDescent="0.25">
      <c r="A405" s="274">
        <v>5333</v>
      </c>
      <c r="B405" s="83">
        <v>483100</v>
      </c>
      <c r="C405" s="84" t="s">
        <v>362</v>
      </c>
      <c r="D405" s="257">
        <v>0</v>
      </c>
      <c r="E405" s="108">
        <v>200</v>
      </c>
      <c r="F405" s="108">
        <f>D405+E405</f>
        <v>200</v>
      </c>
      <c r="G405" s="109">
        <f t="shared" si="112"/>
        <v>30</v>
      </c>
      <c r="H405" s="108"/>
      <c r="I405" s="108"/>
      <c r="J405" s="108"/>
      <c r="K405" s="108"/>
      <c r="L405" s="108"/>
      <c r="M405" s="110">
        <v>30</v>
      </c>
      <c r="N405" s="137">
        <f t="shared" si="106"/>
        <v>0.15</v>
      </c>
    </row>
    <row r="406" spans="1:14" ht="12.75" hidden="1" customHeight="1" x14ac:dyDescent="0.25">
      <c r="A406" s="273">
        <v>5334</v>
      </c>
      <c r="B406" s="488">
        <v>484000</v>
      </c>
      <c r="C406" s="82" t="s">
        <v>363</v>
      </c>
      <c r="D406" s="256">
        <f>D407+D408</f>
        <v>0</v>
      </c>
      <c r="E406" s="100">
        <f>E407+E408</f>
        <v>0</v>
      </c>
      <c r="F406" s="100">
        <f>F407+F408</f>
        <v>0</v>
      </c>
      <c r="G406" s="100">
        <f t="shared" si="112"/>
        <v>0</v>
      </c>
      <c r="H406" s="100">
        <f t="shared" ref="H406:M406" si="124">H407+H408</f>
        <v>0</v>
      </c>
      <c r="I406" s="100">
        <f t="shared" si="124"/>
        <v>0</v>
      </c>
      <c r="J406" s="100">
        <f t="shared" si="124"/>
        <v>0</v>
      </c>
      <c r="K406" s="100">
        <f t="shared" si="124"/>
        <v>0</v>
      </c>
      <c r="L406" s="100">
        <f t="shared" si="124"/>
        <v>0</v>
      </c>
      <c r="M406" s="101">
        <f t="shared" si="124"/>
        <v>0</v>
      </c>
      <c r="N406" s="137" t="e">
        <f t="shared" si="106"/>
        <v>#DIV/0!</v>
      </c>
    </row>
    <row r="407" spans="1:14" ht="12.75" hidden="1" customHeight="1" x14ac:dyDescent="0.25">
      <c r="A407" s="274">
        <v>5335</v>
      </c>
      <c r="B407" s="83">
        <v>484100</v>
      </c>
      <c r="C407" s="84" t="s">
        <v>364</v>
      </c>
      <c r="D407" s="257"/>
      <c r="E407" s="108"/>
      <c r="F407" s="108"/>
      <c r="G407" s="109">
        <f t="shared" si="112"/>
        <v>0</v>
      </c>
      <c r="H407" s="108"/>
      <c r="I407" s="108"/>
      <c r="J407" s="108"/>
      <c r="K407" s="108"/>
      <c r="L407" s="108"/>
      <c r="M407" s="110"/>
      <c r="N407" s="137" t="e">
        <f t="shared" si="106"/>
        <v>#DIV/0!</v>
      </c>
    </row>
    <row r="408" spans="1:14" ht="12.75" hidden="1" customHeight="1" x14ac:dyDescent="0.25">
      <c r="A408" s="274">
        <v>5336</v>
      </c>
      <c r="B408" s="83">
        <v>484200</v>
      </c>
      <c r="C408" s="84" t="s">
        <v>365</v>
      </c>
      <c r="D408" s="257"/>
      <c r="E408" s="108"/>
      <c r="F408" s="108"/>
      <c r="G408" s="109">
        <f t="shared" si="112"/>
        <v>0</v>
      </c>
      <c r="H408" s="108"/>
      <c r="I408" s="108"/>
      <c r="J408" s="108"/>
      <c r="K408" s="108"/>
      <c r="L408" s="108"/>
      <c r="M408" s="110"/>
      <c r="N408" s="137" t="e">
        <f t="shared" si="106"/>
        <v>#DIV/0!</v>
      </c>
    </row>
    <row r="409" spans="1:14" ht="12.75" hidden="1" customHeight="1" x14ac:dyDescent="0.25">
      <c r="A409" s="273">
        <v>5337</v>
      </c>
      <c r="B409" s="488">
        <v>485000</v>
      </c>
      <c r="C409" s="82" t="s">
        <v>366</v>
      </c>
      <c r="D409" s="256">
        <f>D410</f>
        <v>0</v>
      </c>
      <c r="E409" s="100">
        <f>E410</f>
        <v>0</v>
      </c>
      <c r="F409" s="100">
        <f>F410</f>
        <v>0</v>
      </c>
      <c r="G409" s="100">
        <f t="shared" si="112"/>
        <v>0</v>
      </c>
      <c r="H409" s="100">
        <f t="shared" ref="H409:M409" si="125">H410</f>
        <v>0</v>
      </c>
      <c r="I409" s="100">
        <f t="shared" si="125"/>
        <v>0</v>
      </c>
      <c r="J409" s="100">
        <f t="shared" si="125"/>
        <v>0</v>
      </c>
      <c r="K409" s="100">
        <f t="shared" si="125"/>
        <v>0</v>
      </c>
      <c r="L409" s="100">
        <f t="shared" si="125"/>
        <v>0</v>
      </c>
      <c r="M409" s="101">
        <f t="shared" si="125"/>
        <v>0</v>
      </c>
      <c r="N409" s="137" t="e">
        <f t="shared" si="106"/>
        <v>#DIV/0!</v>
      </c>
    </row>
    <row r="410" spans="1:14" ht="12.75" hidden="1" customHeight="1" x14ac:dyDescent="0.25">
      <c r="A410" s="274">
        <v>5338</v>
      </c>
      <c r="B410" s="83">
        <v>485100</v>
      </c>
      <c r="C410" s="84" t="s">
        <v>367</v>
      </c>
      <c r="D410" s="257"/>
      <c r="E410" s="108"/>
      <c r="F410" s="108"/>
      <c r="G410" s="109">
        <f t="shared" si="112"/>
        <v>0</v>
      </c>
      <c r="H410" s="108"/>
      <c r="I410" s="108"/>
      <c r="J410" s="108"/>
      <c r="K410" s="108"/>
      <c r="L410" s="108"/>
      <c r="M410" s="110"/>
      <c r="N410" s="137" t="e">
        <f t="shared" si="106"/>
        <v>#DIV/0!</v>
      </c>
    </row>
    <row r="411" spans="1:14" ht="12.75" hidden="1" customHeight="1" x14ac:dyDescent="0.25">
      <c r="A411" s="645" t="s">
        <v>0</v>
      </c>
      <c r="B411" s="646" t="s">
        <v>1</v>
      </c>
      <c r="C411" s="585" t="s">
        <v>2</v>
      </c>
      <c r="D411" s="259" t="s">
        <v>217</v>
      </c>
      <c r="E411" s="585" t="s">
        <v>217</v>
      </c>
      <c r="F411" s="486" t="s">
        <v>217</v>
      </c>
      <c r="G411" s="575" t="s">
        <v>198</v>
      </c>
      <c r="H411" s="589"/>
      <c r="I411" s="589"/>
      <c r="J411" s="589"/>
      <c r="K411" s="589"/>
      <c r="L411" s="589"/>
      <c r="M411" s="592"/>
      <c r="N411" s="137" t="e">
        <f t="shared" si="106"/>
        <v>#VALUE!</v>
      </c>
    </row>
    <row r="412" spans="1:14" ht="12.75" hidden="1" customHeight="1" x14ac:dyDescent="0.25">
      <c r="A412" s="645"/>
      <c r="B412" s="646"/>
      <c r="C412" s="585"/>
      <c r="D412" s="259"/>
      <c r="E412" s="585"/>
      <c r="F412" s="486"/>
      <c r="G412" s="575" t="s">
        <v>199</v>
      </c>
      <c r="H412" s="575" t="s">
        <v>200</v>
      </c>
      <c r="I412" s="589"/>
      <c r="J412" s="589"/>
      <c r="K412" s="589"/>
      <c r="L412" s="575" t="s">
        <v>7</v>
      </c>
      <c r="M412" s="582" t="s">
        <v>8</v>
      </c>
      <c r="N412" s="137" t="e">
        <f t="shared" si="106"/>
        <v>#VALUE!</v>
      </c>
    </row>
    <row r="413" spans="1:14" ht="12.75" hidden="1" customHeight="1" x14ac:dyDescent="0.25">
      <c r="A413" s="645"/>
      <c r="B413" s="646"/>
      <c r="C413" s="585"/>
      <c r="D413" s="259"/>
      <c r="E413" s="585"/>
      <c r="F413" s="486"/>
      <c r="G413" s="589"/>
      <c r="H413" s="487" t="s">
        <v>201</v>
      </c>
      <c r="I413" s="487" t="s">
        <v>10</v>
      </c>
      <c r="J413" s="487" t="s">
        <v>11</v>
      </c>
      <c r="K413" s="487" t="s">
        <v>12</v>
      </c>
      <c r="L413" s="589"/>
      <c r="M413" s="592"/>
      <c r="N413" s="137" t="e">
        <f t="shared" ref="N413:N430" si="126">G413/F413</f>
        <v>#DIV/0!</v>
      </c>
    </row>
    <row r="414" spans="1:14" ht="12.75" hidden="1" customHeight="1" x14ac:dyDescent="0.25">
      <c r="A414" s="275" t="s">
        <v>18</v>
      </c>
      <c r="B414" s="491" t="s">
        <v>19</v>
      </c>
      <c r="C414" s="485" t="s">
        <v>20</v>
      </c>
      <c r="D414" s="259" t="s">
        <v>21</v>
      </c>
      <c r="E414" s="485" t="s">
        <v>21</v>
      </c>
      <c r="F414" s="485" t="s">
        <v>21</v>
      </c>
      <c r="G414" s="485" t="s">
        <v>22</v>
      </c>
      <c r="H414" s="485" t="s">
        <v>23</v>
      </c>
      <c r="I414" s="485" t="s">
        <v>24</v>
      </c>
      <c r="J414" s="485" t="s">
        <v>25</v>
      </c>
      <c r="K414" s="485" t="s">
        <v>26</v>
      </c>
      <c r="L414" s="485" t="s">
        <v>27</v>
      </c>
      <c r="M414" s="99" t="s">
        <v>28</v>
      </c>
      <c r="N414" s="137">
        <f t="shared" si="126"/>
        <v>1.25</v>
      </c>
    </row>
    <row r="415" spans="1:14" ht="12.75" hidden="1" customHeight="1" x14ac:dyDescent="0.25">
      <c r="A415" s="273">
        <v>5339</v>
      </c>
      <c r="B415" s="488">
        <v>489000</v>
      </c>
      <c r="C415" s="82" t="s">
        <v>368</v>
      </c>
      <c r="D415" s="256">
        <f>D416</f>
        <v>0</v>
      </c>
      <c r="E415" s="100">
        <f>E416</f>
        <v>0</v>
      </c>
      <c r="F415" s="100">
        <f>F416</f>
        <v>0</v>
      </c>
      <c r="G415" s="100">
        <f t="shared" si="112"/>
        <v>0</v>
      </c>
      <c r="H415" s="100">
        <f t="shared" ref="H415:M415" si="127">H416</f>
        <v>0</v>
      </c>
      <c r="I415" s="100">
        <f t="shared" si="127"/>
        <v>0</v>
      </c>
      <c r="J415" s="100">
        <f t="shared" si="127"/>
        <v>0</v>
      </c>
      <c r="K415" s="100">
        <f t="shared" si="127"/>
        <v>0</v>
      </c>
      <c r="L415" s="100">
        <f t="shared" si="127"/>
        <v>0</v>
      </c>
      <c r="M415" s="101">
        <f t="shared" si="127"/>
        <v>0</v>
      </c>
      <c r="N415" s="137" t="e">
        <f t="shared" si="126"/>
        <v>#DIV/0!</v>
      </c>
    </row>
    <row r="416" spans="1:14" ht="12.75" hidden="1" customHeight="1" x14ac:dyDescent="0.25">
      <c r="A416" s="274">
        <v>5340</v>
      </c>
      <c r="B416" s="83">
        <v>489100</v>
      </c>
      <c r="C416" s="84" t="s">
        <v>369</v>
      </c>
      <c r="D416" s="257"/>
      <c r="E416" s="108"/>
      <c r="F416" s="108"/>
      <c r="G416" s="109">
        <f t="shared" si="112"/>
        <v>0</v>
      </c>
      <c r="H416" s="108"/>
      <c r="I416" s="108"/>
      <c r="J416" s="108"/>
      <c r="K416" s="108"/>
      <c r="L416" s="108"/>
      <c r="M416" s="110"/>
      <c r="N416" s="137" t="e">
        <f t="shared" si="126"/>
        <v>#DIV/0!</v>
      </c>
    </row>
    <row r="417" spans="1:14" ht="12.75" customHeight="1" x14ac:dyDescent="0.25">
      <c r="A417" s="273">
        <v>5341</v>
      </c>
      <c r="B417" s="488">
        <v>500000</v>
      </c>
      <c r="C417" s="82" t="s">
        <v>370</v>
      </c>
      <c r="D417" s="256">
        <f>D418+D441+D454+D457+D465</f>
        <v>960</v>
      </c>
      <c r="E417" s="100">
        <f>E418+E441+E454+E457+E465</f>
        <v>27329</v>
      </c>
      <c r="F417" s="100">
        <f>F418+F441+F454+F457+F465</f>
        <v>28289</v>
      </c>
      <c r="G417" s="100">
        <f t="shared" si="112"/>
        <v>740</v>
      </c>
      <c r="H417" s="100">
        <f t="shared" ref="H417:M417" si="128">H418+H441+H454+H457+H465</f>
        <v>0</v>
      </c>
      <c r="I417" s="100">
        <f t="shared" si="128"/>
        <v>0</v>
      </c>
      <c r="J417" s="100">
        <f t="shared" si="128"/>
        <v>485</v>
      </c>
      <c r="K417" s="100">
        <f t="shared" si="128"/>
        <v>0</v>
      </c>
      <c r="L417" s="100">
        <f t="shared" si="128"/>
        <v>0</v>
      </c>
      <c r="M417" s="101">
        <f t="shared" si="128"/>
        <v>255</v>
      </c>
      <c r="N417" s="137">
        <f t="shared" si="126"/>
        <v>2.6158577538972747E-2</v>
      </c>
    </row>
    <row r="418" spans="1:14" ht="12.75" customHeight="1" x14ac:dyDescent="0.25">
      <c r="A418" s="273">
        <v>5342</v>
      </c>
      <c r="B418" s="488">
        <v>510000</v>
      </c>
      <c r="C418" s="82" t="s">
        <v>371</v>
      </c>
      <c r="D418" s="256">
        <f>D419+D424+D435+D437+D439</f>
        <v>960</v>
      </c>
      <c r="E418" s="100">
        <f>E419+E424+E435+E437+E439</f>
        <v>27329</v>
      </c>
      <c r="F418" s="100">
        <f>F419+F424+F435+F437+F439</f>
        <v>28289</v>
      </c>
      <c r="G418" s="100">
        <f t="shared" si="112"/>
        <v>740</v>
      </c>
      <c r="H418" s="100">
        <f t="shared" ref="H418:M418" si="129">H419+H424+H435+H437+H439</f>
        <v>0</v>
      </c>
      <c r="I418" s="100">
        <f t="shared" si="129"/>
        <v>0</v>
      </c>
      <c r="J418" s="100">
        <f t="shared" si="129"/>
        <v>485</v>
      </c>
      <c r="K418" s="100">
        <f t="shared" si="129"/>
        <v>0</v>
      </c>
      <c r="L418" s="100">
        <f t="shared" si="129"/>
        <v>0</v>
      </c>
      <c r="M418" s="101">
        <f t="shared" si="129"/>
        <v>255</v>
      </c>
      <c r="N418" s="137">
        <f t="shared" si="126"/>
        <v>2.6158577538972747E-2</v>
      </c>
    </row>
    <row r="419" spans="1:14" ht="12.75" customHeight="1" x14ac:dyDescent="0.25">
      <c r="A419" s="273">
        <v>5343</v>
      </c>
      <c r="B419" s="488">
        <v>511000</v>
      </c>
      <c r="C419" s="82" t="s">
        <v>372</v>
      </c>
      <c r="D419" s="256">
        <f>SUM(D420:D423)</f>
        <v>0</v>
      </c>
      <c r="E419" s="100">
        <f>SUM(E420:E423)</f>
        <v>5000</v>
      </c>
      <c r="F419" s="100">
        <f>SUM(F420:F423)</f>
        <v>5000</v>
      </c>
      <c r="G419" s="100">
        <f t="shared" si="112"/>
        <v>0</v>
      </c>
      <c r="H419" s="100">
        <f t="shared" ref="H419:M419" si="130">SUM(H420:H423)</f>
        <v>0</v>
      </c>
      <c r="I419" s="100">
        <f t="shared" si="130"/>
        <v>0</v>
      </c>
      <c r="J419" s="100">
        <f t="shared" si="130"/>
        <v>0</v>
      </c>
      <c r="K419" s="100">
        <f t="shared" si="130"/>
        <v>0</v>
      </c>
      <c r="L419" s="100">
        <f t="shared" si="130"/>
        <v>0</v>
      </c>
      <c r="M419" s="101">
        <f t="shared" si="130"/>
        <v>0</v>
      </c>
      <c r="N419" s="137">
        <f t="shared" si="126"/>
        <v>0</v>
      </c>
    </row>
    <row r="420" spans="1:14" ht="12.75" hidden="1" customHeight="1" x14ac:dyDescent="0.25">
      <c r="A420" s="274">
        <v>5344</v>
      </c>
      <c r="B420" s="83">
        <v>511100</v>
      </c>
      <c r="C420" s="84" t="s">
        <v>373</v>
      </c>
      <c r="D420" s="257"/>
      <c r="E420" s="108"/>
      <c r="F420" s="108"/>
      <c r="G420" s="109">
        <f t="shared" si="112"/>
        <v>0</v>
      </c>
      <c r="H420" s="108"/>
      <c r="I420" s="108"/>
      <c r="J420" s="108"/>
      <c r="K420" s="108"/>
      <c r="L420" s="108"/>
      <c r="M420" s="110"/>
      <c r="N420" s="137" t="e">
        <f t="shared" si="126"/>
        <v>#DIV/0!</v>
      </c>
    </row>
    <row r="421" spans="1:14" ht="12.75" hidden="1" customHeight="1" x14ac:dyDescent="0.25">
      <c r="A421" s="274">
        <v>5345</v>
      </c>
      <c r="B421" s="83">
        <v>511200</v>
      </c>
      <c r="C421" s="84" t="s">
        <v>374</v>
      </c>
      <c r="D421" s="257"/>
      <c r="E421" s="108"/>
      <c r="F421" s="108"/>
      <c r="G421" s="109">
        <f t="shared" si="112"/>
        <v>0</v>
      </c>
      <c r="H421" s="108"/>
      <c r="I421" s="108"/>
      <c r="J421" s="108"/>
      <c r="K421" s="108"/>
      <c r="L421" s="108"/>
      <c r="M421" s="110"/>
      <c r="N421" s="137" t="e">
        <f t="shared" si="126"/>
        <v>#DIV/0!</v>
      </c>
    </row>
    <row r="422" spans="1:14" ht="12.75" customHeight="1" x14ac:dyDescent="0.25">
      <c r="A422" s="274">
        <v>5346</v>
      </c>
      <c r="B422" s="83">
        <v>511300</v>
      </c>
      <c r="C422" s="84" t="s">
        <v>375</v>
      </c>
      <c r="D422" s="257">
        <v>0</v>
      </c>
      <c r="E422" s="108">
        <v>5000</v>
      </c>
      <c r="F422" s="108">
        <f>D422+E422</f>
        <v>5000</v>
      </c>
      <c r="G422" s="109">
        <f t="shared" si="112"/>
        <v>0</v>
      </c>
      <c r="H422" s="108"/>
      <c r="I422" s="108"/>
      <c r="J422" s="108"/>
      <c r="K422" s="108"/>
      <c r="L422" s="108"/>
      <c r="M422" s="110"/>
      <c r="N422" s="137">
        <f t="shared" si="126"/>
        <v>0</v>
      </c>
    </row>
    <row r="423" spans="1:14" ht="12.75" hidden="1" customHeight="1" x14ac:dyDescent="0.25">
      <c r="A423" s="274">
        <v>5347</v>
      </c>
      <c r="B423" s="83">
        <v>511400</v>
      </c>
      <c r="C423" s="84" t="s">
        <v>376</v>
      </c>
      <c r="D423" s="257"/>
      <c r="E423" s="108"/>
      <c r="F423" s="108"/>
      <c r="G423" s="109">
        <f t="shared" si="112"/>
        <v>0</v>
      </c>
      <c r="H423" s="108"/>
      <c r="I423" s="108"/>
      <c r="J423" s="108"/>
      <c r="K423" s="108"/>
      <c r="L423" s="108"/>
      <c r="M423" s="110"/>
      <c r="N423" s="137" t="e">
        <f t="shared" si="126"/>
        <v>#DIV/0!</v>
      </c>
    </row>
    <row r="424" spans="1:14" ht="12.75" customHeight="1" x14ac:dyDescent="0.25">
      <c r="A424" s="273">
        <v>5348</v>
      </c>
      <c r="B424" s="488">
        <v>512000</v>
      </c>
      <c r="C424" s="82" t="s">
        <v>377</v>
      </c>
      <c r="D424" s="256">
        <f>SUM(D425:D434)</f>
        <v>960</v>
      </c>
      <c r="E424" s="100">
        <f>SUM(E425:E434)</f>
        <v>22329</v>
      </c>
      <c r="F424" s="100">
        <f>SUM(F425:F434)</f>
        <v>23289</v>
      </c>
      <c r="G424" s="100">
        <f t="shared" si="112"/>
        <v>740</v>
      </c>
      <c r="H424" s="100">
        <f t="shared" ref="H424:M424" si="131">SUM(H425:H434)</f>
        <v>0</v>
      </c>
      <c r="I424" s="100">
        <f t="shared" si="131"/>
        <v>0</v>
      </c>
      <c r="J424" s="100">
        <f t="shared" si="131"/>
        <v>485</v>
      </c>
      <c r="K424" s="100">
        <f t="shared" si="131"/>
        <v>0</v>
      </c>
      <c r="L424" s="100">
        <f t="shared" si="131"/>
        <v>0</v>
      </c>
      <c r="M424" s="101">
        <f t="shared" si="131"/>
        <v>255</v>
      </c>
      <c r="N424" s="137">
        <f t="shared" si="126"/>
        <v>3.1774657563656661E-2</v>
      </c>
    </row>
    <row r="425" spans="1:14" ht="12.75" hidden="1" customHeight="1" x14ac:dyDescent="0.25">
      <c r="A425" s="274">
        <v>5349</v>
      </c>
      <c r="B425" s="83">
        <v>512100</v>
      </c>
      <c r="C425" s="84" t="s">
        <v>378</v>
      </c>
      <c r="D425" s="257"/>
      <c r="E425" s="108"/>
      <c r="F425" s="108"/>
      <c r="G425" s="100">
        <f t="shared" si="112"/>
        <v>0</v>
      </c>
      <c r="H425" s="108"/>
      <c r="I425" s="108"/>
      <c r="J425" s="108"/>
      <c r="K425" s="108"/>
      <c r="L425" s="108"/>
      <c r="M425" s="110"/>
      <c r="N425" s="137" t="e">
        <f t="shared" si="126"/>
        <v>#DIV/0!</v>
      </c>
    </row>
    <row r="426" spans="1:14" ht="12.75" hidden="1" customHeight="1" x14ac:dyDescent="0.25">
      <c r="A426" s="274">
        <v>5349</v>
      </c>
      <c r="B426" s="83">
        <v>512100</v>
      </c>
      <c r="C426" s="84" t="s">
        <v>378</v>
      </c>
      <c r="D426" s="257">
        <v>0</v>
      </c>
      <c r="E426" s="108"/>
      <c r="F426" s="108">
        <f>D426+E426</f>
        <v>0</v>
      </c>
      <c r="G426" s="109">
        <f t="shared" si="112"/>
        <v>0</v>
      </c>
      <c r="H426" s="108"/>
      <c r="I426" s="108"/>
      <c r="J426" s="108"/>
      <c r="K426" s="108"/>
      <c r="L426" s="108"/>
      <c r="M426" s="110"/>
      <c r="N426" s="137" t="e">
        <f t="shared" si="126"/>
        <v>#DIV/0!</v>
      </c>
    </row>
    <row r="427" spans="1:14" ht="12.75" customHeight="1" x14ac:dyDescent="0.25">
      <c r="A427" s="274">
        <v>5350</v>
      </c>
      <c r="B427" s="83">
        <v>512200</v>
      </c>
      <c r="C427" s="84" t="s">
        <v>379</v>
      </c>
      <c r="D427" s="257">
        <v>0</v>
      </c>
      <c r="E427" s="108">
        <v>1018</v>
      </c>
      <c r="F427" s="108">
        <f t="shared" ref="F427:F430" si="132">D427+E427</f>
        <v>1018</v>
      </c>
      <c r="G427" s="109">
        <f t="shared" si="112"/>
        <v>0</v>
      </c>
      <c r="H427" s="108"/>
      <c r="I427" s="108"/>
      <c r="J427" s="108"/>
      <c r="K427" s="108"/>
      <c r="L427" s="108"/>
      <c r="M427" s="110"/>
      <c r="N427" s="137">
        <f t="shared" si="126"/>
        <v>0</v>
      </c>
    </row>
    <row r="428" spans="1:14" ht="12.75" hidden="1" customHeight="1" x14ac:dyDescent="0.25">
      <c r="A428" s="274">
        <v>5351</v>
      </c>
      <c r="B428" s="83">
        <v>512300</v>
      </c>
      <c r="C428" s="84" t="s">
        <v>380</v>
      </c>
      <c r="D428" s="257"/>
      <c r="E428" s="108"/>
      <c r="F428" s="108">
        <f t="shared" si="132"/>
        <v>0</v>
      </c>
      <c r="G428" s="109">
        <f t="shared" si="112"/>
        <v>0</v>
      </c>
      <c r="H428" s="108"/>
      <c r="I428" s="108"/>
      <c r="J428" s="108"/>
      <c r="K428" s="108"/>
      <c r="L428" s="108"/>
      <c r="M428" s="110"/>
      <c r="N428" s="137" t="e">
        <f t="shared" si="126"/>
        <v>#DIV/0!</v>
      </c>
    </row>
    <row r="429" spans="1:14" ht="12.75" hidden="1" customHeight="1" x14ac:dyDescent="0.25">
      <c r="A429" s="274">
        <v>5352</v>
      </c>
      <c r="B429" s="83">
        <v>512400</v>
      </c>
      <c r="C429" s="84" t="s">
        <v>381</v>
      </c>
      <c r="D429" s="257"/>
      <c r="E429" s="108"/>
      <c r="F429" s="108">
        <f t="shared" si="132"/>
        <v>0</v>
      </c>
      <c r="G429" s="109">
        <f t="shared" si="112"/>
        <v>0</v>
      </c>
      <c r="H429" s="108"/>
      <c r="I429" s="108"/>
      <c r="J429" s="108"/>
      <c r="K429" s="108"/>
      <c r="L429" s="108"/>
      <c r="M429" s="110"/>
      <c r="N429" s="137" t="e">
        <f t="shared" si="126"/>
        <v>#DIV/0!</v>
      </c>
    </row>
    <row r="430" spans="1:14" ht="12.75" customHeight="1" x14ac:dyDescent="0.25">
      <c r="A430" s="274">
        <v>5353</v>
      </c>
      <c r="B430" s="83">
        <v>512500</v>
      </c>
      <c r="C430" s="84" t="s">
        <v>382</v>
      </c>
      <c r="D430" s="257">
        <f>485+220+255</f>
        <v>960</v>
      </c>
      <c r="E430" s="108">
        <v>21311</v>
      </c>
      <c r="F430" s="108">
        <f t="shared" si="132"/>
        <v>22271</v>
      </c>
      <c r="G430" s="109">
        <f t="shared" si="112"/>
        <v>740</v>
      </c>
      <c r="H430" s="108"/>
      <c r="I430" s="108"/>
      <c r="J430" s="108">
        <v>485</v>
      </c>
      <c r="K430" s="108"/>
      <c r="L430" s="108"/>
      <c r="M430" s="110">
        <v>255</v>
      </c>
      <c r="N430" s="137">
        <f t="shared" si="126"/>
        <v>3.3227066588837499E-2</v>
      </c>
    </row>
    <row r="431" spans="1:14" ht="12.75" hidden="1" customHeight="1" x14ac:dyDescent="0.25">
      <c r="A431" s="274">
        <v>5354</v>
      </c>
      <c r="B431" s="83">
        <v>512600</v>
      </c>
      <c r="C431" s="84" t="s">
        <v>383</v>
      </c>
      <c r="D431" s="257"/>
      <c r="E431" s="108"/>
      <c r="F431" s="108"/>
      <c r="G431" s="109">
        <f t="shared" si="112"/>
        <v>0</v>
      </c>
      <c r="H431" s="108"/>
      <c r="I431" s="108"/>
      <c r="J431" s="108"/>
      <c r="K431" s="108"/>
      <c r="L431" s="108"/>
      <c r="M431" s="110"/>
      <c r="N431" s="137" t="e">
        <f>G431/F431</f>
        <v>#DIV/0!</v>
      </c>
    </row>
    <row r="432" spans="1:14" ht="12.75" hidden="1" customHeight="1" x14ac:dyDescent="0.25">
      <c r="A432" s="274">
        <v>5355</v>
      </c>
      <c r="B432" s="83">
        <v>512700</v>
      </c>
      <c r="C432" s="84" t="s">
        <v>384</v>
      </c>
      <c r="D432" s="257"/>
      <c r="E432" s="108"/>
      <c r="F432" s="108"/>
      <c r="G432" s="109">
        <f t="shared" si="112"/>
        <v>0</v>
      </c>
      <c r="H432" s="108"/>
      <c r="I432" s="108"/>
      <c r="J432" s="108"/>
      <c r="K432" s="108"/>
      <c r="L432" s="108"/>
      <c r="M432" s="110"/>
      <c r="N432" s="137" t="e">
        <f t="shared" ref="N432:N495" si="133">G432/F432</f>
        <v>#DIV/0!</v>
      </c>
    </row>
    <row r="433" spans="1:14" ht="12.75" hidden="1" customHeight="1" x14ac:dyDescent="0.25">
      <c r="A433" s="274">
        <v>5356</v>
      </c>
      <c r="B433" s="83">
        <v>512800</v>
      </c>
      <c r="C433" s="84" t="s">
        <v>385</v>
      </c>
      <c r="D433" s="257"/>
      <c r="E433" s="108"/>
      <c r="F433" s="108"/>
      <c r="G433" s="109">
        <f t="shared" si="112"/>
        <v>0</v>
      </c>
      <c r="H433" s="108"/>
      <c r="I433" s="108"/>
      <c r="J433" s="108"/>
      <c r="K433" s="108"/>
      <c r="L433" s="108"/>
      <c r="M433" s="110"/>
      <c r="N433" s="137" t="e">
        <f t="shared" si="133"/>
        <v>#DIV/0!</v>
      </c>
    </row>
    <row r="434" spans="1:14" ht="12.75" hidden="1" customHeight="1" x14ac:dyDescent="0.25">
      <c r="A434" s="274">
        <v>5357</v>
      </c>
      <c r="B434" s="83">
        <v>512900</v>
      </c>
      <c r="C434" s="84" t="s">
        <v>386</v>
      </c>
      <c r="D434" s="257"/>
      <c r="E434" s="108"/>
      <c r="F434" s="108"/>
      <c r="G434" s="109">
        <f t="shared" si="112"/>
        <v>0</v>
      </c>
      <c r="H434" s="108"/>
      <c r="I434" s="108"/>
      <c r="J434" s="108"/>
      <c r="K434" s="108"/>
      <c r="L434" s="108"/>
      <c r="M434" s="110"/>
      <c r="N434" s="137" t="e">
        <f t="shared" si="133"/>
        <v>#DIV/0!</v>
      </c>
    </row>
    <row r="435" spans="1:14" ht="12.75" hidden="1" customHeight="1" x14ac:dyDescent="0.25">
      <c r="A435" s="273">
        <v>5358</v>
      </c>
      <c r="B435" s="488">
        <v>513000</v>
      </c>
      <c r="C435" s="82" t="s">
        <v>387</v>
      </c>
      <c r="D435" s="256">
        <f>D436</f>
        <v>0</v>
      </c>
      <c r="E435" s="100">
        <f>E436</f>
        <v>0</v>
      </c>
      <c r="F435" s="100">
        <f>F436</f>
        <v>0</v>
      </c>
      <c r="G435" s="100">
        <f t="shared" si="112"/>
        <v>0</v>
      </c>
      <c r="H435" s="100">
        <f t="shared" ref="H435:M435" si="134">H436</f>
        <v>0</v>
      </c>
      <c r="I435" s="100">
        <f t="shared" si="134"/>
        <v>0</v>
      </c>
      <c r="J435" s="100">
        <f t="shared" si="134"/>
        <v>0</v>
      </c>
      <c r="K435" s="100">
        <f t="shared" si="134"/>
        <v>0</v>
      </c>
      <c r="L435" s="100">
        <f t="shared" si="134"/>
        <v>0</v>
      </c>
      <c r="M435" s="101">
        <f t="shared" si="134"/>
        <v>0</v>
      </c>
      <c r="N435" s="137" t="e">
        <f t="shared" si="133"/>
        <v>#DIV/0!</v>
      </c>
    </row>
    <row r="436" spans="1:14" ht="12.75" hidden="1" customHeight="1" x14ac:dyDescent="0.25">
      <c r="A436" s="274">
        <v>5359</v>
      </c>
      <c r="B436" s="83">
        <v>513100</v>
      </c>
      <c r="C436" s="84" t="s">
        <v>388</v>
      </c>
      <c r="D436" s="257"/>
      <c r="E436" s="108"/>
      <c r="F436" s="108"/>
      <c r="G436" s="109">
        <f t="shared" si="112"/>
        <v>0</v>
      </c>
      <c r="H436" s="108"/>
      <c r="I436" s="108"/>
      <c r="J436" s="108"/>
      <c r="K436" s="108"/>
      <c r="L436" s="108"/>
      <c r="M436" s="110"/>
      <c r="N436" s="137" t="e">
        <f t="shared" si="133"/>
        <v>#DIV/0!</v>
      </c>
    </row>
    <row r="437" spans="1:14" ht="12.75" hidden="1" customHeight="1" x14ac:dyDescent="0.25">
      <c r="A437" s="273">
        <v>5360</v>
      </c>
      <c r="B437" s="488">
        <v>514000</v>
      </c>
      <c r="C437" s="82" t="s">
        <v>389</v>
      </c>
      <c r="D437" s="256">
        <f>D438</f>
        <v>0</v>
      </c>
      <c r="E437" s="100">
        <f>E438</f>
        <v>0</v>
      </c>
      <c r="F437" s="100">
        <f>F438</f>
        <v>0</v>
      </c>
      <c r="G437" s="100">
        <f t="shared" si="112"/>
        <v>0</v>
      </c>
      <c r="H437" s="100">
        <f t="shared" ref="H437:M437" si="135">H438</f>
        <v>0</v>
      </c>
      <c r="I437" s="100">
        <f t="shared" si="135"/>
        <v>0</v>
      </c>
      <c r="J437" s="100">
        <f t="shared" si="135"/>
        <v>0</v>
      </c>
      <c r="K437" s="100">
        <f t="shared" si="135"/>
        <v>0</v>
      </c>
      <c r="L437" s="100">
        <f t="shared" si="135"/>
        <v>0</v>
      </c>
      <c r="M437" s="101">
        <f t="shared" si="135"/>
        <v>0</v>
      </c>
      <c r="N437" s="137" t="e">
        <f t="shared" si="133"/>
        <v>#DIV/0!</v>
      </c>
    </row>
    <row r="438" spans="1:14" ht="12.75" hidden="1" customHeight="1" x14ac:dyDescent="0.25">
      <c r="A438" s="274">
        <v>5361</v>
      </c>
      <c r="B438" s="83">
        <v>514100</v>
      </c>
      <c r="C438" s="84" t="s">
        <v>390</v>
      </c>
      <c r="D438" s="257"/>
      <c r="E438" s="108"/>
      <c r="F438" s="108"/>
      <c r="G438" s="109">
        <f t="shared" si="112"/>
        <v>0</v>
      </c>
      <c r="H438" s="108"/>
      <c r="I438" s="108"/>
      <c r="J438" s="108"/>
      <c r="K438" s="108"/>
      <c r="L438" s="108"/>
      <c r="M438" s="110"/>
      <c r="N438" s="137" t="e">
        <f t="shared" si="133"/>
        <v>#DIV/0!</v>
      </c>
    </row>
    <row r="439" spans="1:14" ht="12.75" hidden="1" customHeight="1" x14ac:dyDescent="0.25">
      <c r="A439" s="273">
        <v>5362</v>
      </c>
      <c r="B439" s="488">
        <v>515000</v>
      </c>
      <c r="C439" s="82" t="s">
        <v>391</v>
      </c>
      <c r="D439" s="256">
        <f>D440</f>
        <v>0</v>
      </c>
      <c r="E439" s="100">
        <f>E440</f>
        <v>0</v>
      </c>
      <c r="F439" s="100">
        <f>F440</f>
        <v>0</v>
      </c>
      <c r="G439" s="100">
        <f t="shared" si="112"/>
        <v>0</v>
      </c>
      <c r="H439" s="100">
        <f t="shared" ref="H439:M439" si="136">H440</f>
        <v>0</v>
      </c>
      <c r="I439" s="100">
        <f t="shared" si="136"/>
        <v>0</v>
      </c>
      <c r="J439" s="100">
        <f t="shared" si="136"/>
        <v>0</v>
      </c>
      <c r="K439" s="100">
        <f t="shared" si="136"/>
        <v>0</v>
      </c>
      <c r="L439" s="100">
        <f t="shared" si="136"/>
        <v>0</v>
      </c>
      <c r="M439" s="101">
        <f t="shared" si="136"/>
        <v>0</v>
      </c>
      <c r="N439" s="137" t="e">
        <f t="shared" si="133"/>
        <v>#DIV/0!</v>
      </c>
    </row>
    <row r="440" spans="1:14" ht="12.75" hidden="1" customHeight="1" x14ac:dyDescent="0.25">
      <c r="A440" s="274">
        <v>5363</v>
      </c>
      <c r="B440" s="83">
        <v>515100</v>
      </c>
      <c r="C440" s="84" t="s">
        <v>392</v>
      </c>
      <c r="D440" s="257"/>
      <c r="E440" s="108"/>
      <c r="F440" s="108">
        <f>D440+E440</f>
        <v>0</v>
      </c>
      <c r="G440" s="109">
        <f t="shared" si="112"/>
        <v>0</v>
      </c>
      <c r="H440" s="108"/>
      <c r="I440" s="108"/>
      <c r="J440" s="108"/>
      <c r="K440" s="108"/>
      <c r="L440" s="108"/>
      <c r="M440" s="110"/>
      <c r="N440" s="137" t="e">
        <f t="shared" si="133"/>
        <v>#DIV/0!</v>
      </c>
    </row>
    <row r="441" spans="1:14" ht="12.75" hidden="1" customHeight="1" x14ac:dyDescent="0.25">
      <c r="A441" s="273">
        <v>5364</v>
      </c>
      <c r="B441" s="488">
        <v>520000</v>
      </c>
      <c r="C441" s="82" t="s">
        <v>393</v>
      </c>
      <c r="D441" s="256">
        <f>D442+D444+D452</f>
        <v>0</v>
      </c>
      <c r="E441" s="100">
        <f>E442+E444+E452</f>
        <v>0</v>
      </c>
      <c r="F441" s="100">
        <f>F442+F444+F452</f>
        <v>0</v>
      </c>
      <c r="G441" s="100">
        <f t="shared" ref="G441:G518" si="137">SUM(H441:M441)</f>
        <v>0</v>
      </c>
      <c r="H441" s="100">
        <f t="shared" ref="H441:M441" si="138">H442+H444+H452</f>
        <v>0</v>
      </c>
      <c r="I441" s="100">
        <f t="shared" si="138"/>
        <v>0</v>
      </c>
      <c r="J441" s="100">
        <f t="shared" si="138"/>
        <v>0</v>
      </c>
      <c r="K441" s="100">
        <f t="shared" si="138"/>
        <v>0</v>
      </c>
      <c r="L441" s="100">
        <f t="shared" si="138"/>
        <v>0</v>
      </c>
      <c r="M441" s="101">
        <f t="shared" si="138"/>
        <v>0</v>
      </c>
      <c r="N441" s="137" t="e">
        <f t="shared" si="133"/>
        <v>#DIV/0!</v>
      </c>
    </row>
    <row r="442" spans="1:14" ht="12.75" hidden="1" customHeight="1" x14ac:dyDescent="0.25">
      <c r="A442" s="273">
        <v>5365</v>
      </c>
      <c r="B442" s="488">
        <v>521000</v>
      </c>
      <c r="C442" s="82" t="s">
        <v>394</v>
      </c>
      <c r="D442" s="256">
        <f>D443</f>
        <v>0</v>
      </c>
      <c r="E442" s="100">
        <f>E443</f>
        <v>0</v>
      </c>
      <c r="F442" s="100">
        <f>F443</f>
        <v>0</v>
      </c>
      <c r="G442" s="100">
        <f t="shared" si="137"/>
        <v>0</v>
      </c>
      <c r="H442" s="100">
        <f t="shared" ref="H442:M442" si="139">H443</f>
        <v>0</v>
      </c>
      <c r="I442" s="100">
        <f t="shared" si="139"/>
        <v>0</v>
      </c>
      <c r="J442" s="100">
        <f t="shared" si="139"/>
        <v>0</v>
      </c>
      <c r="K442" s="100">
        <f t="shared" si="139"/>
        <v>0</v>
      </c>
      <c r="L442" s="100">
        <f t="shared" si="139"/>
        <v>0</v>
      </c>
      <c r="M442" s="101">
        <f t="shared" si="139"/>
        <v>0</v>
      </c>
      <c r="N442" s="137" t="e">
        <f t="shared" si="133"/>
        <v>#DIV/0!</v>
      </c>
    </row>
    <row r="443" spans="1:14" ht="12.75" hidden="1" customHeight="1" x14ac:dyDescent="0.25">
      <c r="A443" s="274">
        <v>5366</v>
      </c>
      <c r="B443" s="83">
        <v>521100</v>
      </c>
      <c r="C443" s="84" t="s">
        <v>395</v>
      </c>
      <c r="D443" s="257"/>
      <c r="E443" s="108"/>
      <c r="F443" s="108"/>
      <c r="G443" s="109">
        <f t="shared" si="137"/>
        <v>0</v>
      </c>
      <c r="H443" s="108"/>
      <c r="I443" s="108"/>
      <c r="J443" s="108"/>
      <c r="K443" s="108"/>
      <c r="L443" s="108"/>
      <c r="M443" s="110"/>
      <c r="N443" s="137" t="e">
        <f t="shared" si="133"/>
        <v>#DIV/0!</v>
      </c>
    </row>
    <row r="444" spans="1:14" ht="12.75" hidden="1" customHeight="1" x14ac:dyDescent="0.25">
      <c r="A444" s="273">
        <v>5367</v>
      </c>
      <c r="B444" s="488">
        <v>522000</v>
      </c>
      <c r="C444" s="82" t="s">
        <v>396</v>
      </c>
      <c r="D444" s="256">
        <f>SUM(D445:D451)</f>
        <v>0</v>
      </c>
      <c r="E444" s="100">
        <f>SUM(E445:E451)</f>
        <v>0</v>
      </c>
      <c r="F444" s="100">
        <f>SUM(F445:F451)</f>
        <v>0</v>
      </c>
      <c r="G444" s="100">
        <f t="shared" si="137"/>
        <v>0</v>
      </c>
      <c r="H444" s="100">
        <f t="shared" ref="H444:M444" si="140">SUM(H445:H451)</f>
        <v>0</v>
      </c>
      <c r="I444" s="100">
        <f t="shared" si="140"/>
        <v>0</v>
      </c>
      <c r="J444" s="100">
        <f t="shared" si="140"/>
        <v>0</v>
      </c>
      <c r="K444" s="100">
        <f t="shared" si="140"/>
        <v>0</v>
      </c>
      <c r="L444" s="100">
        <f t="shared" si="140"/>
        <v>0</v>
      </c>
      <c r="M444" s="101">
        <f t="shared" si="140"/>
        <v>0</v>
      </c>
      <c r="N444" s="137" t="e">
        <f t="shared" si="133"/>
        <v>#DIV/0!</v>
      </c>
    </row>
    <row r="445" spans="1:14" ht="12.75" hidden="1" customHeight="1" x14ac:dyDescent="0.25">
      <c r="A445" s="274">
        <v>5368</v>
      </c>
      <c r="B445" s="83">
        <v>522100</v>
      </c>
      <c r="C445" s="84" t="s">
        <v>397</v>
      </c>
      <c r="D445" s="257"/>
      <c r="E445" s="108"/>
      <c r="F445" s="108"/>
      <c r="G445" s="109">
        <f t="shared" si="137"/>
        <v>0</v>
      </c>
      <c r="H445" s="108"/>
      <c r="I445" s="108"/>
      <c r="J445" s="108"/>
      <c r="K445" s="108"/>
      <c r="L445" s="108"/>
      <c r="M445" s="110"/>
      <c r="N445" s="137" t="e">
        <f t="shared" si="133"/>
        <v>#DIV/0!</v>
      </c>
    </row>
    <row r="446" spans="1:14" ht="12.75" hidden="1" customHeight="1" x14ac:dyDescent="0.25">
      <c r="A446" s="645" t="s">
        <v>0</v>
      </c>
      <c r="B446" s="646" t="s">
        <v>1</v>
      </c>
      <c r="C446" s="585" t="s">
        <v>2</v>
      </c>
      <c r="D446" s="259" t="s">
        <v>217</v>
      </c>
      <c r="E446" s="585" t="s">
        <v>217</v>
      </c>
      <c r="F446" s="486" t="s">
        <v>217</v>
      </c>
      <c r="G446" s="575" t="s">
        <v>198</v>
      </c>
      <c r="H446" s="589"/>
      <c r="I446" s="589"/>
      <c r="J446" s="589"/>
      <c r="K446" s="589"/>
      <c r="L446" s="589"/>
      <c r="M446" s="592"/>
      <c r="N446" s="137" t="e">
        <f t="shared" si="133"/>
        <v>#VALUE!</v>
      </c>
    </row>
    <row r="447" spans="1:14" ht="12.75" hidden="1" customHeight="1" x14ac:dyDescent="0.25">
      <c r="A447" s="645"/>
      <c r="B447" s="646"/>
      <c r="C447" s="585"/>
      <c r="D447" s="259"/>
      <c r="E447" s="585"/>
      <c r="F447" s="486"/>
      <c r="G447" s="575" t="s">
        <v>199</v>
      </c>
      <c r="H447" s="575" t="s">
        <v>200</v>
      </c>
      <c r="I447" s="589"/>
      <c r="J447" s="589"/>
      <c r="K447" s="589"/>
      <c r="L447" s="575" t="s">
        <v>7</v>
      </c>
      <c r="M447" s="582" t="s">
        <v>8</v>
      </c>
      <c r="N447" s="137" t="e">
        <f t="shared" si="133"/>
        <v>#VALUE!</v>
      </c>
    </row>
    <row r="448" spans="1:14" ht="12.75" hidden="1" customHeight="1" x14ac:dyDescent="0.25">
      <c r="A448" s="645"/>
      <c r="B448" s="646"/>
      <c r="C448" s="585"/>
      <c r="D448" s="259"/>
      <c r="E448" s="585"/>
      <c r="F448" s="486"/>
      <c r="G448" s="589"/>
      <c r="H448" s="487" t="s">
        <v>201</v>
      </c>
      <c r="I448" s="487" t="s">
        <v>10</v>
      </c>
      <c r="J448" s="487" t="s">
        <v>11</v>
      </c>
      <c r="K448" s="487" t="s">
        <v>12</v>
      </c>
      <c r="L448" s="589"/>
      <c r="M448" s="592"/>
      <c r="N448" s="137" t="e">
        <f t="shared" si="133"/>
        <v>#DIV/0!</v>
      </c>
    </row>
    <row r="449" spans="1:14" ht="12.75" hidden="1" customHeight="1" x14ac:dyDescent="0.25">
      <c r="A449" s="275" t="s">
        <v>18</v>
      </c>
      <c r="B449" s="491" t="s">
        <v>19</v>
      </c>
      <c r="C449" s="485" t="s">
        <v>20</v>
      </c>
      <c r="D449" s="259" t="s">
        <v>21</v>
      </c>
      <c r="E449" s="485" t="s">
        <v>21</v>
      </c>
      <c r="F449" s="485" t="s">
        <v>21</v>
      </c>
      <c r="G449" s="485" t="s">
        <v>22</v>
      </c>
      <c r="H449" s="485" t="s">
        <v>23</v>
      </c>
      <c r="I449" s="485" t="s">
        <v>24</v>
      </c>
      <c r="J449" s="485" t="s">
        <v>25</v>
      </c>
      <c r="K449" s="485" t="s">
        <v>26</v>
      </c>
      <c r="L449" s="485" t="s">
        <v>27</v>
      </c>
      <c r="M449" s="99" t="s">
        <v>28</v>
      </c>
      <c r="N449" s="137">
        <f t="shared" si="133"/>
        <v>1.25</v>
      </c>
    </row>
    <row r="450" spans="1:14" ht="12.75" hidden="1" customHeight="1" x14ac:dyDescent="0.25">
      <c r="A450" s="274">
        <v>5369</v>
      </c>
      <c r="B450" s="83">
        <v>522200</v>
      </c>
      <c r="C450" s="84" t="s">
        <v>398</v>
      </c>
      <c r="D450" s="257"/>
      <c r="E450" s="108"/>
      <c r="F450" s="108"/>
      <c r="G450" s="109">
        <f t="shared" si="137"/>
        <v>0</v>
      </c>
      <c r="H450" s="108"/>
      <c r="I450" s="108"/>
      <c r="J450" s="108"/>
      <c r="K450" s="108"/>
      <c r="L450" s="108"/>
      <c r="M450" s="110"/>
      <c r="N450" s="137" t="e">
        <f t="shared" si="133"/>
        <v>#DIV/0!</v>
      </c>
    </row>
    <row r="451" spans="1:14" ht="12.75" hidden="1" customHeight="1" x14ac:dyDescent="0.25">
      <c r="A451" s="274">
        <v>5370</v>
      </c>
      <c r="B451" s="83">
        <v>522300</v>
      </c>
      <c r="C451" s="84" t="s">
        <v>399</v>
      </c>
      <c r="D451" s="257"/>
      <c r="E451" s="108"/>
      <c r="F451" s="108"/>
      <c r="G451" s="109">
        <f t="shared" si="137"/>
        <v>0</v>
      </c>
      <c r="H451" s="108"/>
      <c r="I451" s="108"/>
      <c r="J451" s="108"/>
      <c r="K451" s="108"/>
      <c r="L451" s="108"/>
      <c r="M451" s="110"/>
      <c r="N451" s="137" t="e">
        <f t="shared" si="133"/>
        <v>#DIV/0!</v>
      </c>
    </row>
    <row r="452" spans="1:14" ht="12.75" hidden="1" customHeight="1" x14ac:dyDescent="0.25">
      <c r="A452" s="273">
        <v>5371</v>
      </c>
      <c r="B452" s="488">
        <v>523000</v>
      </c>
      <c r="C452" s="82" t="s">
        <v>400</v>
      </c>
      <c r="D452" s="256">
        <f>D453</f>
        <v>0</v>
      </c>
      <c r="E452" s="100">
        <f>E453</f>
        <v>0</v>
      </c>
      <c r="F452" s="100">
        <f>F453</f>
        <v>0</v>
      </c>
      <c r="G452" s="100">
        <f t="shared" si="137"/>
        <v>0</v>
      </c>
      <c r="H452" s="100">
        <f t="shared" ref="H452:M452" si="141">H453</f>
        <v>0</v>
      </c>
      <c r="I452" s="100">
        <f t="shared" si="141"/>
        <v>0</v>
      </c>
      <c r="J452" s="100">
        <f t="shared" si="141"/>
        <v>0</v>
      </c>
      <c r="K452" s="100">
        <f t="shared" si="141"/>
        <v>0</v>
      </c>
      <c r="L452" s="100">
        <f t="shared" si="141"/>
        <v>0</v>
      </c>
      <c r="M452" s="101">
        <f t="shared" si="141"/>
        <v>0</v>
      </c>
      <c r="N452" s="137" t="e">
        <f t="shared" si="133"/>
        <v>#DIV/0!</v>
      </c>
    </row>
    <row r="453" spans="1:14" ht="12.75" hidden="1" customHeight="1" x14ac:dyDescent="0.25">
      <c r="A453" s="274">
        <v>5372</v>
      </c>
      <c r="B453" s="83">
        <v>523100</v>
      </c>
      <c r="C453" s="84" t="s">
        <v>401</v>
      </c>
      <c r="D453" s="257"/>
      <c r="E453" s="108"/>
      <c r="F453" s="108"/>
      <c r="G453" s="109">
        <f t="shared" si="137"/>
        <v>0</v>
      </c>
      <c r="H453" s="108"/>
      <c r="I453" s="108"/>
      <c r="J453" s="108"/>
      <c r="K453" s="108"/>
      <c r="L453" s="108"/>
      <c r="M453" s="110"/>
      <c r="N453" s="137" t="e">
        <f t="shared" si="133"/>
        <v>#DIV/0!</v>
      </c>
    </row>
    <row r="454" spans="1:14" ht="12.75" hidden="1" customHeight="1" x14ac:dyDescent="0.25">
      <c r="A454" s="273">
        <v>5373</v>
      </c>
      <c r="B454" s="488">
        <v>530000</v>
      </c>
      <c r="C454" s="82" t="s">
        <v>402</v>
      </c>
      <c r="D454" s="256">
        <f t="shared" ref="D454:F455" si="142">D455</f>
        <v>0</v>
      </c>
      <c r="E454" s="100">
        <f t="shared" si="142"/>
        <v>0</v>
      </c>
      <c r="F454" s="100">
        <f t="shared" si="142"/>
        <v>0</v>
      </c>
      <c r="G454" s="100">
        <f t="shared" si="137"/>
        <v>0</v>
      </c>
      <c r="H454" s="100">
        <f t="shared" ref="H454:M455" si="143">H455</f>
        <v>0</v>
      </c>
      <c r="I454" s="100">
        <f t="shared" si="143"/>
        <v>0</v>
      </c>
      <c r="J454" s="100">
        <f t="shared" si="143"/>
        <v>0</v>
      </c>
      <c r="K454" s="100">
        <f t="shared" si="143"/>
        <v>0</v>
      </c>
      <c r="L454" s="100">
        <f t="shared" si="143"/>
        <v>0</v>
      </c>
      <c r="M454" s="101">
        <f t="shared" si="143"/>
        <v>0</v>
      </c>
      <c r="N454" s="137" t="e">
        <f t="shared" si="133"/>
        <v>#DIV/0!</v>
      </c>
    </row>
    <row r="455" spans="1:14" ht="12.75" hidden="1" customHeight="1" x14ac:dyDescent="0.25">
      <c r="A455" s="273">
        <v>5374</v>
      </c>
      <c r="B455" s="488">
        <v>531000</v>
      </c>
      <c r="C455" s="82" t="s">
        <v>403</v>
      </c>
      <c r="D455" s="256">
        <f t="shared" si="142"/>
        <v>0</v>
      </c>
      <c r="E455" s="100">
        <f t="shared" si="142"/>
        <v>0</v>
      </c>
      <c r="F455" s="100">
        <f t="shared" si="142"/>
        <v>0</v>
      </c>
      <c r="G455" s="100">
        <f t="shared" si="137"/>
        <v>0</v>
      </c>
      <c r="H455" s="100">
        <f t="shared" si="143"/>
        <v>0</v>
      </c>
      <c r="I455" s="100">
        <f t="shared" si="143"/>
        <v>0</v>
      </c>
      <c r="J455" s="100">
        <f t="shared" si="143"/>
        <v>0</v>
      </c>
      <c r="K455" s="100">
        <f t="shared" si="143"/>
        <v>0</v>
      </c>
      <c r="L455" s="100">
        <f t="shared" si="143"/>
        <v>0</v>
      </c>
      <c r="M455" s="101">
        <f t="shared" si="143"/>
        <v>0</v>
      </c>
      <c r="N455" s="137" t="e">
        <f t="shared" si="133"/>
        <v>#DIV/0!</v>
      </c>
    </row>
    <row r="456" spans="1:14" ht="12.75" hidden="1" customHeight="1" x14ac:dyDescent="0.25">
      <c r="A456" s="274">
        <v>5375</v>
      </c>
      <c r="B456" s="83">
        <v>531100</v>
      </c>
      <c r="C456" s="84" t="s">
        <v>404</v>
      </c>
      <c r="D456" s="257"/>
      <c r="E456" s="108"/>
      <c r="F456" s="108"/>
      <c r="G456" s="109">
        <f t="shared" si="137"/>
        <v>0</v>
      </c>
      <c r="H456" s="108"/>
      <c r="I456" s="108"/>
      <c r="J456" s="108"/>
      <c r="K456" s="108"/>
      <c r="L456" s="108"/>
      <c r="M456" s="110"/>
      <c r="N456" s="137" t="e">
        <f t="shared" si="133"/>
        <v>#DIV/0!</v>
      </c>
    </row>
    <row r="457" spans="1:14" ht="12.75" hidden="1" customHeight="1" x14ac:dyDescent="0.25">
      <c r="A457" s="273">
        <v>5376</v>
      </c>
      <c r="B457" s="488">
        <v>540000</v>
      </c>
      <c r="C457" s="82" t="s">
        <v>405</v>
      </c>
      <c r="D457" s="256">
        <f>D458+D460+D462</f>
        <v>0</v>
      </c>
      <c r="E457" s="100">
        <f>E458+E460+E462</f>
        <v>0</v>
      </c>
      <c r="F457" s="100">
        <f>F458+F460+F462</f>
        <v>0</v>
      </c>
      <c r="G457" s="100">
        <f t="shared" si="137"/>
        <v>0</v>
      </c>
      <c r="H457" s="100">
        <f t="shared" ref="H457:M457" si="144">H458+H460+H462</f>
        <v>0</v>
      </c>
      <c r="I457" s="100">
        <f t="shared" si="144"/>
        <v>0</v>
      </c>
      <c r="J457" s="100">
        <f t="shared" si="144"/>
        <v>0</v>
      </c>
      <c r="K457" s="100">
        <f t="shared" si="144"/>
        <v>0</v>
      </c>
      <c r="L457" s="100">
        <f t="shared" si="144"/>
        <v>0</v>
      </c>
      <c r="M457" s="101">
        <f t="shared" si="144"/>
        <v>0</v>
      </c>
      <c r="N457" s="137" t="e">
        <f t="shared" si="133"/>
        <v>#DIV/0!</v>
      </c>
    </row>
    <row r="458" spans="1:14" ht="12.75" hidden="1" customHeight="1" x14ac:dyDescent="0.25">
      <c r="A458" s="273">
        <v>5377</v>
      </c>
      <c r="B458" s="488">
        <v>541000</v>
      </c>
      <c r="C458" s="82" t="s">
        <v>406</v>
      </c>
      <c r="D458" s="256">
        <f>D459</f>
        <v>0</v>
      </c>
      <c r="E458" s="100">
        <f>E459</f>
        <v>0</v>
      </c>
      <c r="F458" s="100">
        <f>F459</f>
        <v>0</v>
      </c>
      <c r="G458" s="100">
        <f t="shared" si="137"/>
        <v>0</v>
      </c>
      <c r="H458" s="100">
        <f t="shared" ref="H458:M458" si="145">H459</f>
        <v>0</v>
      </c>
      <c r="I458" s="100">
        <f t="shared" si="145"/>
        <v>0</v>
      </c>
      <c r="J458" s="100">
        <f t="shared" si="145"/>
        <v>0</v>
      </c>
      <c r="K458" s="100">
        <f t="shared" si="145"/>
        <v>0</v>
      </c>
      <c r="L458" s="100">
        <f t="shared" si="145"/>
        <v>0</v>
      </c>
      <c r="M458" s="101">
        <f t="shared" si="145"/>
        <v>0</v>
      </c>
      <c r="N458" s="137" t="e">
        <f t="shared" si="133"/>
        <v>#DIV/0!</v>
      </c>
    </row>
    <row r="459" spans="1:14" ht="12.75" hidden="1" customHeight="1" x14ac:dyDescent="0.25">
      <c r="A459" s="274">
        <v>5378</v>
      </c>
      <c r="B459" s="83">
        <v>541100</v>
      </c>
      <c r="C459" s="84" t="s">
        <v>407</v>
      </c>
      <c r="D459" s="257"/>
      <c r="E459" s="108"/>
      <c r="F459" s="108"/>
      <c r="G459" s="109">
        <f t="shared" si="137"/>
        <v>0</v>
      </c>
      <c r="H459" s="108"/>
      <c r="I459" s="108"/>
      <c r="J459" s="108"/>
      <c r="K459" s="108"/>
      <c r="L459" s="108"/>
      <c r="M459" s="110"/>
      <c r="N459" s="137" t="e">
        <f t="shared" si="133"/>
        <v>#DIV/0!</v>
      </c>
    </row>
    <row r="460" spans="1:14" ht="12.75" hidden="1" customHeight="1" x14ac:dyDescent="0.25">
      <c r="A460" s="273">
        <v>5379</v>
      </c>
      <c r="B460" s="488">
        <v>542000</v>
      </c>
      <c r="C460" s="82" t="s">
        <v>408</v>
      </c>
      <c r="D460" s="256">
        <f>D461</f>
        <v>0</v>
      </c>
      <c r="E460" s="100">
        <f>E461</f>
        <v>0</v>
      </c>
      <c r="F460" s="100">
        <f>F461</f>
        <v>0</v>
      </c>
      <c r="G460" s="100">
        <f t="shared" si="137"/>
        <v>0</v>
      </c>
      <c r="H460" s="100">
        <f t="shared" ref="H460:M460" si="146">H461</f>
        <v>0</v>
      </c>
      <c r="I460" s="100">
        <f t="shared" si="146"/>
        <v>0</v>
      </c>
      <c r="J460" s="100">
        <f t="shared" si="146"/>
        <v>0</v>
      </c>
      <c r="K460" s="100">
        <f t="shared" si="146"/>
        <v>0</v>
      </c>
      <c r="L460" s="100">
        <f t="shared" si="146"/>
        <v>0</v>
      </c>
      <c r="M460" s="101">
        <f t="shared" si="146"/>
        <v>0</v>
      </c>
      <c r="N460" s="137" t="e">
        <f t="shared" si="133"/>
        <v>#DIV/0!</v>
      </c>
    </row>
    <row r="461" spans="1:14" ht="12.75" hidden="1" customHeight="1" x14ac:dyDescent="0.25">
      <c r="A461" s="274">
        <v>5380</v>
      </c>
      <c r="B461" s="83">
        <v>542100</v>
      </c>
      <c r="C461" s="84" t="s">
        <v>409</v>
      </c>
      <c r="D461" s="257"/>
      <c r="E461" s="108"/>
      <c r="F461" s="108"/>
      <c r="G461" s="109">
        <f t="shared" si="137"/>
        <v>0</v>
      </c>
      <c r="H461" s="108"/>
      <c r="I461" s="108"/>
      <c r="J461" s="108"/>
      <c r="K461" s="108"/>
      <c r="L461" s="108"/>
      <c r="M461" s="110"/>
      <c r="N461" s="137" t="e">
        <f t="shared" si="133"/>
        <v>#DIV/0!</v>
      </c>
    </row>
    <row r="462" spans="1:14" ht="12.75" hidden="1" customHeight="1" x14ac:dyDescent="0.25">
      <c r="A462" s="273">
        <v>5381</v>
      </c>
      <c r="B462" s="488">
        <v>543000</v>
      </c>
      <c r="C462" s="82" t="s">
        <v>410</v>
      </c>
      <c r="D462" s="256">
        <f>D463+D464</f>
        <v>0</v>
      </c>
      <c r="E462" s="100">
        <f>E463+E464</f>
        <v>0</v>
      </c>
      <c r="F462" s="100">
        <f>F463+F464</f>
        <v>0</v>
      </c>
      <c r="G462" s="100">
        <f t="shared" si="137"/>
        <v>0</v>
      </c>
      <c r="H462" s="100">
        <f t="shared" ref="H462:M462" si="147">H463+H464</f>
        <v>0</v>
      </c>
      <c r="I462" s="100">
        <f t="shared" si="147"/>
        <v>0</v>
      </c>
      <c r="J462" s="100">
        <f t="shared" si="147"/>
        <v>0</v>
      </c>
      <c r="K462" s="100">
        <f t="shared" si="147"/>
        <v>0</v>
      </c>
      <c r="L462" s="100">
        <f t="shared" si="147"/>
        <v>0</v>
      </c>
      <c r="M462" s="101">
        <f t="shared" si="147"/>
        <v>0</v>
      </c>
      <c r="N462" s="137" t="e">
        <f t="shared" si="133"/>
        <v>#DIV/0!</v>
      </c>
    </row>
    <row r="463" spans="1:14" ht="12.75" hidden="1" customHeight="1" x14ac:dyDescent="0.25">
      <c r="A463" s="274">
        <v>5382</v>
      </c>
      <c r="B463" s="83">
        <v>543100</v>
      </c>
      <c r="C463" s="84" t="s">
        <v>411</v>
      </c>
      <c r="D463" s="257"/>
      <c r="E463" s="108"/>
      <c r="F463" s="108"/>
      <c r="G463" s="109">
        <f t="shared" si="137"/>
        <v>0</v>
      </c>
      <c r="H463" s="108"/>
      <c r="I463" s="108"/>
      <c r="J463" s="108"/>
      <c r="K463" s="108"/>
      <c r="L463" s="108"/>
      <c r="M463" s="110"/>
      <c r="N463" s="137" t="e">
        <f t="shared" si="133"/>
        <v>#DIV/0!</v>
      </c>
    </row>
    <row r="464" spans="1:14" ht="12.75" hidden="1" customHeight="1" x14ac:dyDescent="0.25">
      <c r="A464" s="274">
        <v>5383</v>
      </c>
      <c r="B464" s="83">
        <v>543200</v>
      </c>
      <c r="C464" s="84" t="s">
        <v>412</v>
      </c>
      <c r="D464" s="257"/>
      <c r="E464" s="108"/>
      <c r="F464" s="108"/>
      <c r="G464" s="109">
        <f t="shared" si="137"/>
        <v>0</v>
      </c>
      <c r="H464" s="108"/>
      <c r="I464" s="108"/>
      <c r="J464" s="108"/>
      <c r="K464" s="108"/>
      <c r="L464" s="108"/>
      <c r="M464" s="110"/>
      <c r="N464" s="137" t="e">
        <f t="shared" si="133"/>
        <v>#DIV/0!</v>
      </c>
    </row>
    <row r="465" spans="1:14" ht="12.75" hidden="1" customHeight="1" x14ac:dyDescent="0.25">
      <c r="A465" s="273">
        <v>5384</v>
      </c>
      <c r="B465" s="488">
        <v>550000</v>
      </c>
      <c r="C465" s="82" t="s">
        <v>413</v>
      </c>
      <c r="D465" s="256">
        <f t="shared" ref="D465:F466" si="148">D466</f>
        <v>0</v>
      </c>
      <c r="E465" s="100">
        <f t="shared" si="148"/>
        <v>0</v>
      </c>
      <c r="F465" s="100">
        <f t="shared" si="148"/>
        <v>0</v>
      </c>
      <c r="G465" s="100">
        <f t="shared" si="137"/>
        <v>0</v>
      </c>
      <c r="H465" s="100">
        <f t="shared" ref="H465:M466" si="149">H466</f>
        <v>0</v>
      </c>
      <c r="I465" s="100">
        <f t="shared" si="149"/>
        <v>0</v>
      </c>
      <c r="J465" s="100">
        <f t="shared" si="149"/>
        <v>0</v>
      </c>
      <c r="K465" s="100">
        <f t="shared" si="149"/>
        <v>0</v>
      </c>
      <c r="L465" s="100">
        <f t="shared" si="149"/>
        <v>0</v>
      </c>
      <c r="M465" s="101">
        <f t="shared" si="149"/>
        <v>0</v>
      </c>
      <c r="N465" s="137" t="e">
        <f t="shared" si="133"/>
        <v>#DIV/0!</v>
      </c>
    </row>
    <row r="466" spans="1:14" ht="12.75" hidden="1" customHeight="1" x14ac:dyDescent="0.25">
      <c r="A466" s="273">
        <v>5385</v>
      </c>
      <c r="B466" s="488">
        <v>551000</v>
      </c>
      <c r="C466" s="82" t="s">
        <v>414</v>
      </c>
      <c r="D466" s="256">
        <f t="shared" si="148"/>
        <v>0</v>
      </c>
      <c r="E466" s="100">
        <f t="shared" si="148"/>
        <v>0</v>
      </c>
      <c r="F466" s="100">
        <f t="shared" si="148"/>
        <v>0</v>
      </c>
      <c r="G466" s="100">
        <f t="shared" si="137"/>
        <v>0</v>
      </c>
      <c r="H466" s="100">
        <f t="shared" si="149"/>
        <v>0</v>
      </c>
      <c r="I466" s="100">
        <f t="shared" si="149"/>
        <v>0</v>
      </c>
      <c r="J466" s="100">
        <f t="shared" si="149"/>
        <v>0</v>
      </c>
      <c r="K466" s="100">
        <f t="shared" si="149"/>
        <v>0</v>
      </c>
      <c r="L466" s="100">
        <f t="shared" si="149"/>
        <v>0</v>
      </c>
      <c r="M466" s="101">
        <f t="shared" si="149"/>
        <v>0</v>
      </c>
      <c r="N466" s="137" t="e">
        <f t="shared" si="133"/>
        <v>#DIV/0!</v>
      </c>
    </row>
    <row r="467" spans="1:14" ht="12.75" hidden="1" customHeight="1" x14ac:dyDescent="0.25">
      <c r="A467" s="274">
        <v>5386</v>
      </c>
      <c r="B467" s="83">
        <v>551100</v>
      </c>
      <c r="C467" s="84" t="s">
        <v>415</v>
      </c>
      <c r="D467" s="257"/>
      <c r="E467" s="108"/>
      <c r="F467" s="108"/>
      <c r="G467" s="109">
        <f t="shared" si="137"/>
        <v>0</v>
      </c>
      <c r="H467" s="108"/>
      <c r="I467" s="108"/>
      <c r="J467" s="108"/>
      <c r="K467" s="108"/>
      <c r="L467" s="108"/>
      <c r="M467" s="110"/>
      <c r="N467" s="137" t="e">
        <f t="shared" si="133"/>
        <v>#DIV/0!</v>
      </c>
    </row>
    <row r="468" spans="1:14" ht="12.75" hidden="1" customHeight="1" x14ac:dyDescent="0.25">
      <c r="A468" s="273">
        <v>5387</v>
      </c>
      <c r="B468" s="488">
        <v>600000</v>
      </c>
      <c r="C468" s="82" t="s">
        <v>416</v>
      </c>
      <c r="D468" s="256">
        <f>D469+D498</f>
        <v>0</v>
      </c>
      <c r="E468" s="100">
        <f>E469+E498</f>
        <v>0</v>
      </c>
      <c r="F468" s="100">
        <f>F469+F498</f>
        <v>0</v>
      </c>
      <c r="G468" s="100">
        <f t="shared" si="137"/>
        <v>0</v>
      </c>
      <c r="H468" s="100">
        <f t="shared" ref="H468:M468" si="150">H469+H498</f>
        <v>0</v>
      </c>
      <c r="I468" s="100">
        <f t="shared" si="150"/>
        <v>0</v>
      </c>
      <c r="J468" s="100">
        <f t="shared" si="150"/>
        <v>0</v>
      </c>
      <c r="K468" s="100">
        <f t="shared" si="150"/>
        <v>0</v>
      </c>
      <c r="L468" s="100">
        <f t="shared" si="150"/>
        <v>0</v>
      </c>
      <c r="M468" s="101">
        <f t="shared" si="150"/>
        <v>0</v>
      </c>
      <c r="N468" s="137" t="e">
        <f t="shared" si="133"/>
        <v>#DIV/0!</v>
      </c>
    </row>
    <row r="469" spans="1:14" ht="12.75" hidden="1" customHeight="1" x14ac:dyDescent="0.25">
      <c r="A469" s="273">
        <v>5388</v>
      </c>
      <c r="B469" s="488">
        <v>610000</v>
      </c>
      <c r="C469" s="82" t="s">
        <v>417</v>
      </c>
      <c r="D469" s="256">
        <f>D470+D484+D492+D494+D496</f>
        <v>0</v>
      </c>
      <c r="E469" s="100">
        <f>E470+E484+E492+E494+E496</f>
        <v>0</v>
      </c>
      <c r="F469" s="100">
        <f>F470+F484+F492+F494+F496</f>
        <v>0</v>
      </c>
      <c r="G469" s="100">
        <f t="shared" si="137"/>
        <v>0</v>
      </c>
      <c r="H469" s="100">
        <f t="shared" ref="H469:M469" si="151">H470+H484+H492+H494+H496</f>
        <v>0</v>
      </c>
      <c r="I469" s="100">
        <f t="shared" si="151"/>
        <v>0</v>
      </c>
      <c r="J469" s="100">
        <f t="shared" si="151"/>
        <v>0</v>
      </c>
      <c r="K469" s="100">
        <f t="shared" si="151"/>
        <v>0</v>
      </c>
      <c r="L469" s="100">
        <f t="shared" si="151"/>
        <v>0</v>
      </c>
      <c r="M469" s="101">
        <f t="shared" si="151"/>
        <v>0</v>
      </c>
      <c r="N469" s="137" t="e">
        <f t="shared" si="133"/>
        <v>#DIV/0!</v>
      </c>
    </row>
    <row r="470" spans="1:14" ht="12.75" hidden="1" customHeight="1" x14ac:dyDescent="0.25">
      <c r="A470" s="273">
        <v>5389</v>
      </c>
      <c r="B470" s="488">
        <v>611000</v>
      </c>
      <c r="C470" s="82" t="s">
        <v>418</v>
      </c>
      <c r="D470" s="256">
        <f>SUM(D471:D483)</f>
        <v>0</v>
      </c>
      <c r="E470" s="100">
        <f>SUM(E471:E483)</f>
        <v>0</v>
      </c>
      <c r="F470" s="100">
        <f>SUM(F471:F483)</f>
        <v>0</v>
      </c>
      <c r="G470" s="100">
        <f t="shared" si="137"/>
        <v>0</v>
      </c>
      <c r="H470" s="100">
        <f t="shared" ref="H470:M470" si="152">SUM(H471:H483)</f>
        <v>0</v>
      </c>
      <c r="I470" s="100">
        <f t="shared" si="152"/>
        <v>0</v>
      </c>
      <c r="J470" s="100">
        <f t="shared" si="152"/>
        <v>0</v>
      </c>
      <c r="K470" s="100">
        <f t="shared" si="152"/>
        <v>0</v>
      </c>
      <c r="L470" s="100">
        <f t="shared" si="152"/>
        <v>0</v>
      </c>
      <c r="M470" s="101">
        <f t="shared" si="152"/>
        <v>0</v>
      </c>
      <c r="N470" s="137" t="e">
        <f t="shared" si="133"/>
        <v>#DIV/0!</v>
      </c>
    </row>
    <row r="471" spans="1:14" ht="12.75" hidden="1" customHeight="1" x14ac:dyDescent="0.25">
      <c r="A471" s="274">
        <v>5390</v>
      </c>
      <c r="B471" s="83">
        <v>611100</v>
      </c>
      <c r="C471" s="84" t="s">
        <v>419</v>
      </c>
      <c r="D471" s="257"/>
      <c r="E471" s="108"/>
      <c r="F471" s="108"/>
      <c r="G471" s="109">
        <f t="shared" si="137"/>
        <v>0</v>
      </c>
      <c r="H471" s="108"/>
      <c r="I471" s="108"/>
      <c r="J471" s="108"/>
      <c r="K471" s="108"/>
      <c r="L471" s="108"/>
      <c r="M471" s="110"/>
      <c r="N471" s="137" t="e">
        <f t="shared" si="133"/>
        <v>#DIV/0!</v>
      </c>
    </row>
    <row r="472" spans="1:14" ht="12.75" hidden="1" customHeight="1" x14ac:dyDescent="0.25">
      <c r="A472" s="274">
        <v>5391</v>
      </c>
      <c r="B472" s="83">
        <v>611200</v>
      </c>
      <c r="C472" s="84" t="s">
        <v>420</v>
      </c>
      <c r="D472" s="257"/>
      <c r="E472" s="108"/>
      <c r="F472" s="108"/>
      <c r="G472" s="109">
        <f t="shared" si="137"/>
        <v>0</v>
      </c>
      <c r="H472" s="108"/>
      <c r="I472" s="108"/>
      <c r="J472" s="108"/>
      <c r="K472" s="108"/>
      <c r="L472" s="108"/>
      <c r="M472" s="110"/>
      <c r="N472" s="137" t="e">
        <f t="shared" si="133"/>
        <v>#DIV/0!</v>
      </c>
    </row>
    <row r="473" spans="1:14" ht="12.75" hidden="1" customHeight="1" x14ac:dyDescent="0.25">
      <c r="A473" s="274">
        <v>5392</v>
      </c>
      <c r="B473" s="83">
        <v>611300</v>
      </c>
      <c r="C473" s="84" t="s">
        <v>421</v>
      </c>
      <c r="D473" s="257"/>
      <c r="E473" s="108"/>
      <c r="F473" s="108"/>
      <c r="G473" s="109">
        <f t="shared" si="137"/>
        <v>0</v>
      </c>
      <c r="H473" s="108"/>
      <c r="I473" s="108"/>
      <c r="J473" s="108"/>
      <c r="K473" s="108"/>
      <c r="L473" s="108"/>
      <c r="M473" s="110"/>
      <c r="N473" s="137" t="e">
        <f t="shared" si="133"/>
        <v>#DIV/0!</v>
      </c>
    </row>
    <row r="474" spans="1:14" ht="12.75" hidden="1" customHeight="1" x14ac:dyDescent="0.25">
      <c r="A474" s="645" t="s">
        <v>0</v>
      </c>
      <c r="B474" s="646" t="s">
        <v>1</v>
      </c>
      <c r="C474" s="585" t="s">
        <v>2</v>
      </c>
      <c r="D474" s="259" t="s">
        <v>217</v>
      </c>
      <c r="E474" s="585" t="s">
        <v>217</v>
      </c>
      <c r="F474" s="486" t="s">
        <v>217</v>
      </c>
      <c r="G474" s="575" t="s">
        <v>198</v>
      </c>
      <c r="H474" s="589"/>
      <c r="I474" s="589"/>
      <c r="J474" s="589"/>
      <c r="K474" s="589"/>
      <c r="L474" s="589"/>
      <c r="M474" s="592"/>
      <c r="N474" s="137" t="e">
        <f t="shared" si="133"/>
        <v>#VALUE!</v>
      </c>
    </row>
    <row r="475" spans="1:14" ht="12.75" hidden="1" customHeight="1" x14ac:dyDescent="0.25">
      <c r="A475" s="645"/>
      <c r="B475" s="646"/>
      <c r="C475" s="585"/>
      <c r="D475" s="259"/>
      <c r="E475" s="585"/>
      <c r="F475" s="486"/>
      <c r="G475" s="575" t="s">
        <v>199</v>
      </c>
      <c r="H475" s="575" t="s">
        <v>200</v>
      </c>
      <c r="I475" s="589"/>
      <c r="J475" s="589"/>
      <c r="K475" s="589"/>
      <c r="L475" s="575" t="s">
        <v>7</v>
      </c>
      <c r="M475" s="582" t="s">
        <v>8</v>
      </c>
      <c r="N475" s="137" t="e">
        <f t="shared" si="133"/>
        <v>#VALUE!</v>
      </c>
    </row>
    <row r="476" spans="1:14" ht="12.75" hidden="1" customHeight="1" x14ac:dyDescent="0.25">
      <c r="A476" s="645"/>
      <c r="B476" s="646"/>
      <c r="C476" s="585"/>
      <c r="D476" s="259"/>
      <c r="E476" s="585"/>
      <c r="F476" s="486"/>
      <c r="G476" s="589"/>
      <c r="H476" s="487" t="s">
        <v>201</v>
      </c>
      <c r="I476" s="487" t="s">
        <v>10</v>
      </c>
      <c r="J476" s="487" t="s">
        <v>11</v>
      </c>
      <c r="K476" s="487" t="s">
        <v>12</v>
      </c>
      <c r="L476" s="589"/>
      <c r="M476" s="592"/>
      <c r="N476" s="137" t="e">
        <f t="shared" si="133"/>
        <v>#DIV/0!</v>
      </c>
    </row>
    <row r="477" spans="1:14" ht="12.75" hidden="1" customHeight="1" x14ac:dyDescent="0.25">
      <c r="A477" s="275" t="s">
        <v>18</v>
      </c>
      <c r="B477" s="491" t="s">
        <v>19</v>
      </c>
      <c r="C477" s="485" t="s">
        <v>20</v>
      </c>
      <c r="D477" s="259" t="s">
        <v>21</v>
      </c>
      <c r="E477" s="485" t="s">
        <v>21</v>
      </c>
      <c r="F477" s="485" t="s">
        <v>21</v>
      </c>
      <c r="G477" s="485" t="s">
        <v>22</v>
      </c>
      <c r="H477" s="485" t="s">
        <v>23</v>
      </c>
      <c r="I477" s="485" t="s">
        <v>24</v>
      </c>
      <c r="J477" s="485" t="s">
        <v>25</v>
      </c>
      <c r="K477" s="485" t="s">
        <v>26</v>
      </c>
      <c r="L477" s="485" t="s">
        <v>27</v>
      </c>
      <c r="M477" s="99" t="s">
        <v>28</v>
      </c>
      <c r="N477" s="137">
        <f t="shared" si="133"/>
        <v>1.25</v>
      </c>
    </row>
    <row r="478" spans="1:14" ht="12.75" hidden="1" customHeight="1" x14ac:dyDescent="0.25">
      <c r="A478" s="274">
        <v>5393</v>
      </c>
      <c r="B478" s="83">
        <v>611400</v>
      </c>
      <c r="C478" s="84" t="s">
        <v>422</v>
      </c>
      <c r="D478" s="257"/>
      <c r="E478" s="108"/>
      <c r="F478" s="108"/>
      <c r="G478" s="109">
        <f t="shared" si="137"/>
        <v>0</v>
      </c>
      <c r="H478" s="108"/>
      <c r="I478" s="108"/>
      <c r="J478" s="108"/>
      <c r="K478" s="108"/>
      <c r="L478" s="108"/>
      <c r="M478" s="110"/>
      <c r="N478" s="137" t="e">
        <f t="shared" si="133"/>
        <v>#DIV/0!</v>
      </c>
    </row>
    <row r="479" spans="1:14" ht="12.75" hidden="1" customHeight="1" x14ac:dyDescent="0.25">
      <c r="A479" s="274">
        <v>5394</v>
      </c>
      <c r="B479" s="83">
        <v>611500</v>
      </c>
      <c r="C479" s="84" t="s">
        <v>423</v>
      </c>
      <c r="D479" s="257"/>
      <c r="E479" s="108"/>
      <c r="F479" s="108"/>
      <c r="G479" s="109">
        <f t="shared" si="137"/>
        <v>0</v>
      </c>
      <c r="H479" s="108"/>
      <c r="I479" s="108"/>
      <c r="J479" s="108"/>
      <c r="K479" s="108"/>
      <c r="L479" s="108"/>
      <c r="M479" s="110"/>
      <c r="N479" s="137" t="e">
        <f t="shared" si="133"/>
        <v>#DIV/0!</v>
      </c>
    </row>
    <row r="480" spans="1:14" ht="12.75" hidden="1" customHeight="1" x14ac:dyDescent="0.25">
      <c r="A480" s="274">
        <v>5395</v>
      </c>
      <c r="B480" s="83">
        <v>611600</v>
      </c>
      <c r="C480" s="84" t="s">
        <v>424</v>
      </c>
      <c r="D480" s="257"/>
      <c r="E480" s="108"/>
      <c r="F480" s="108"/>
      <c r="G480" s="109">
        <f t="shared" si="137"/>
        <v>0</v>
      </c>
      <c r="H480" s="108"/>
      <c r="I480" s="108"/>
      <c r="J480" s="108"/>
      <c r="K480" s="108"/>
      <c r="L480" s="108"/>
      <c r="M480" s="110"/>
      <c r="N480" s="137" t="e">
        <f t="shared" si="133"/>
        <v>#DIV/0!</v>
      </c>
    </row>
    <row r="481" spans="1:14" ht="12.75" hidden="1" customHeight="1" x14ac:dyDescent="0.25">
      <c r="A481" s="274">
        <v>5396</v>
      </c>
      <c r="B481" s="83">
        <v>611700</v>
      </c>
      <c r="C481" s="84" t="s">
        <v>425</v>
      </c>
      <c r="D481" s="257"/>
      <c r="E481" s="108"/>
      <c r="F481" s="108"/>
      <c r="G481" s="109">
        <f t="shared" si="137"/>
        <v>0</v>
      </c>
      <c r="H481" s="108"/>
      <c r="I481" s="108"/>
      <c r="J481" s="108"/>
      <c r="K481" s="108"/>
      <c r="L481" s="108"/>
      <c r="M481" s="110"/>
      <c r="N481" s="137" t="e">
        <f t="shared" si="133"/>
        <v>#DIV/0!</v>
      </c>
    </row>
    <row r="482" spans="1:14" ht="12.75" hidden="1" customHeight="1" x14ac:dyDescent="0.25">
      <c r="A482" s="274">
        <v>5397</v>
      </c>
      <c r="B482" s="83">
        <v>611800</v>
      </c>
      <c r="C482" s="84" t="s">
        <v>426</v>
      </c>
      <c r="D482" s="257"/>
      <c r="E482" s="108"/>
      <c r="F482" s="108"/>
      <c r="G482" s="109">
        <f t="shared" si="137"/>
        <v>0</v>
      </c>
      <c r="H482" s="108"/>
      <c r="I482" s="108"/>
      <c r="J482" s="108"/>
      <c r="K482" s="108"/>
      <c r="L482" s="108"/>
      <c r="M482" s="110"/>
      <c r="N482" s="137" t="e">
        <f t="shared" si="133"/>
        <v>#DIV/0!</v>
      </c>
    </row>
    <row r="483" spans="1:14" ht="12.75" hidden="1" customHeight="1" x14ac:dyDescent="0.25">
      <c r="A483" s="274">
        <v>5398</v>
      </c>
      <c r="B483" s="83">
        <v>611900</v>
      </c>
      <c r="C483" s="84" t="s">
        <v>165</v>
      </c>
      <c r="D483" s="257"/>
      <c r="E483" s="108"/>
      <c r="F483" s="108"/>
      <c r="G483" s="109">
        <f t="shared" si="137"/>
        <v>0</v>
      </c>
      <c r="H483" s="108"/>
      <c r="I483" s="108"/>
      <c r="J483" s="108"/>
      <c r="K483" s="108"/>
      <c r="L483" s="108"/>
      <c r="M483" s="110"/>
      <c r="N483" s="137" t="e">
        <f t="shared" si="133"/>
        <v>#DIV/0!</v>
      </c>
    </row>
    <row r="484" spans="1:14" ht="12.75" hidden="1" customHeight="1" x14ac:dyDescent="0.25">
      <c r="A484" s="273">
        <v>5399</v>
      </c>
      <c r="B484" s="488">
        <v>612000</v>
      </c>
      <c r="C484" s="82" t="s">
        <v>427</v>
      </c>
      <c r="D484" s="256">
        <f>SUM(D485:D491)</f>
        <v>0</v>
      </c>
      <c r="E484" s="100">
        <f>SUM(E485:E491)</f>
        <v>0</v>
      </c>
      <c r="F484" s="100">
        <f>SUM(F485:F491)</f>
        <v>0</v>
      </c>
      <c r="G484" s="100">
        <f t="shared" si="137"/>
        <v>0</v>
      </c>
      <c r="H484" s="100">
        <f t="shared" ref="H484:M484" si="153">SUM(H485:H491)</f>
        <v>0</v>
      </c>
      <c r="I484" s="100">
        <f t="shared" si="153"/>
        <v>0</v>
      </c>
      <c r="J484" s="100">
        <f t="shared" si="153"/>
        <v>0</v>
      </c>
      <c r="K484" s="100">
        <f t="shared" si="153"/>
        <v>0</v>
      </c>
      <c r="L484" s="100">
        <f t="shared" si="153"/>
        <v>0</v>
      </c>
      <c r="M484" s="101">
        <f t="shared" si="153"/>
        <v>0</v>
      </c>
      <c r="N484" s="137" t="e">
        <f t="shared" si="133"/>
        <v>#DIV/0!</v>
      </c>
    </row>
    <row r="485" spans="1:14" ht="12.75" hidden="1" customHeight="1" x14ac:dyDescent="0.25">
      <c r="A485" s="274">
        <v>5400</v>
      </c>
      <c r="B485" s="83">
        <v>612100</v>
      </c>
      <c r="C485" s="84" t="s">
        <v>428</v>
      </c>
      <c r="D485" s="257"/>
      <c r="E485" s="108"/>
      <c r="F485" s="108"/>
      <c r="G485" s="109">
        <f t="shared" si="137"/>
        <v>0</v>
      </c>
      <c r="H485" s="108"/>
      <c r="I485" s="108"/>
      <c r="J485" s="108"/>
      <c r="K485" s="108"/>
      <c r="L485" s="108"/>
      <c r="M485" s="110"/>
      <c r="N485" s="137" t="e">
        <f t="shared" si="133"/>
        <v>#DIV/0!</v>
      </c>
    </row>
    <row r="486" spans="1:14" ht="12.75" hidden="1" customHeight="1" x14ac:dyDescent="0.25">
      <c r="A486" s="274">
        <v>5401</v>
      </c>
      <c r="B486" s="83">
        <v>612200</v>
      </c>
      <c r="C486" s="84" t="s">
        <v>429</v>
      </c>
      <c r="D486" s="257"/>
      <c r="E486" s="108"/>
      <c r="F486" s="108"/>
      <c r="G486" s="109">
        <f t="shared" si="137"/>
        <v>0</v>
      </c>
      <c r="H486" s="108"/>
      <c r="I486" s="108"/>
      <c r="J486" s="108"/>
      <c r="K486" s="108"/>
      <c r="L486" s="108"/>
      <c r="M486" s="110"/>
      <c r="N486" s="137" t="e">
        <f t="shared" si="133"/>
        <v>#DIV/0!</v>
      </c>
    </row>
    <row r="487" spans="1:14" ht="12.75" hidden="1" customHeight="1" x14ac:dyDescent="0.25">
      <c r="A487" s="274">
        <v>5402</v>
      </c>
      <c r="B487" s="83">
        <v>612300</v>
      </c>
      <c r="C487" s="84" t="s">
        <v>430</v>
      </c>
      <c r="D487" s="257"/>
      <c r="E487" s="108"/>
      <c r="F487" s="108"/>
      <c r="G487" s="109">
        <f t="shared" si="137"/>
        <v>0</v>
      </c>
      <c r="H487" s="108"/>
      <c r="I487" s="108"/>
      <c r="J487" s="108"/>
      <c r="K487" s="108"/>
      <c r="L487" s="108"/>
      <c r="M487" s="110"/>
      <c r="N487" s="137" t="e">
        <f t="shared" si="133"/>
        <v>#DIV/0!</v>
      </c>
    </row>
    <row r="488" spans="1:14" ht="12.75" hidden="1" customHeight="1" x14ac:dyDescent="0.25">
      <c r="A488" s="274">
        <v>5403</v>
      </c>
      <c r="B488" s="83">
        <v>612400</v>
      </c>
      <c r="C488" s="84" t="s">
        <v>431</v>
      </c>
      <c r="D488" s="257"/>
      <c r="E488" s="108"/>
      <c r="F488" s="108"/>
      <c r="G488" s="109">
        <f t="shared" si="137"/>
        <v>0</v>
      </c>
      <c r="H488" s="108"/>
      <c r="I488" s="108"/>
      <c r="J488" s="108"/>
      <c r="K488" s="108"/>
      <c r="L488" s="108"/>
      <c r="M488" s="110"/>
      <c r="N488" s="137" t="e">
        <f t="shared" si="133"/>
        <v>#DIV/0!</v>
      </c>
    </row>
    <row r="489" spans="1:14" ht="12.75" hidden="1" customHeight="1" x14ac:dyDescent="0.25">
      <c r="A489" s="274">
        <v>5404</v>
      </c>
      <c r="B489" s="83">
        <v>612500</v>
      </c>
      <c r="C489" s="84" t="s">
        <v>432</v>
      </c>
      <c r="D489" s="257"/>
      <c r="E489" s="108"/>
      <c r="F489" s="108"/>
      <c r="G489" s="109">
        <f t="shared" si="137"/>
        <v>0</v>
      </c>
      <c r="H489" s="108"/>
      <c r="I489" s="108"/>
      <c r="J489" s="108"/>
      <c r="K489" s="108"/>
      <c r="L489" s="108"/>
      <c r="M489" s="110"/>
      <c r="N489" s="137" t="e">
        <f t="shared" si="133"/>
        <v>#DIV/0!</v>
      </c>
    </row>
    <row r="490" spans="1:14" ht="12.75" hidden="1" customHeight="1" x14ac:dyDescent="0.25">
      <c r="A490" s="274">
        <v>5405</v>
      </c>
      <c r="B490" s="83">
        <v>612600</v>
      </c>
      <c r="C490" s="84" t="s">
        <v>433</v>
      </c>
      <c r="D490" s="257"/>
      <c r="E490" s="108"/>
      <c r="F490" s="108"/>
      <c r="G490" s="109">
        <f t="shared" si="137"/>
        <v>0</v>
      </c>
      <c r="H490" s="108"/>
      <c r="I490" s="108"/>
      <c r="J490" s="108"/>
      <c r="K490" s="108"/>
      <c r="L490" s="108"/>
      <c r="M490" s="110"/>
      <c r="N490" s="137" t="e">
        <f t="shared" si="133"/>
        <v>#DIV/0!</v>
      </c>
    </row>
    <row r="491" spans="1:14" ht="12.75" hidden="1" customHeight="1" x14ac:dyDescent="0.25">
      <c r="A491" s="274">
        <v>5406</v>
      </c>
      <c r="B491" s="83">
        <v>612900</v>
      </c>
      <c r="C491" s="84" t="s">
        <v>173</v>
      </c>
      <c r="D491" s="257"/>
      <c r="E491" s="108"/>
      <c r="F491" s="108"/>
      <c r="G491" s="109">
        <f t="shared" si="137"/>
        <v>0</v>
      </c>
      <c r="H491" s="108"/>
      <c r="I491" s="108"/>
      <c r="J491" s="108"/>
      <c r="K491" s="108"/>
      <c r="L491" s="108"/>
      <c r="M491" s="110"/>
      <c r="N491" s="137" t="e">
        <f t="shared" si="133"/>
        <v>#DIV/0!</v>
      </c>
    </row>
    <row r="492" spans="1:14" ht="12.75" hidden="1" customHeight="1" x14ac:dyDescent="0.25">
      <c r="A492" s="273">
        <v>5407</v>
      </c>
      <c r="B492" s="488">
        <v>613000</v>
      </c>
      <c r="C492" s="82" t="s">
        <v>434</v>
      </c>
      <c r="D492" s="256">
        <f>D493</f>
        <v>0</v>
      </c>
      <c r="E492" s="100">
        <f>E493</f>
        <v>0</v>
      </c>
      <c r="F492" s="100">
        <f>F493</f>
        <v>0</v>
      </c>
      <c r="G492" s="100">
        <f t="shared" si="137"/>
        <v>0</v>
      </c>
      <c r="H492" s="100">
        <f t="shared" ref="H492:M492" si="154">H493</f>
        <v>0</v>
      </c>
      <c r="I492" s="100">
        <f t="shared" si="154"/>
        <v>0</v>
      </c>
      <c r="J492" s="100">
        <f t="shared" si="154"/>
        <v>0</v>
      </c>
      <c r="K492" s="100">
        <f t="shared" si="154"/>
        <v>0</v>
      </c>
      <c r="L492" s="100">
        <f t="shared" si="154"/>
        <v>0</v>
      </c>
      <c r="M492" s="101">
        <f t="shared" si="154"/>
        <v>0</v>
      </c>
      <c r="N492" s="137" t="e">
        <f t="shared" si="133"/>
        <v>#DIV/0!</v>
      </c>
    </row>
    <row r="493" spans="1:14" ht="12.75" hidden="1" customHeight="1" x14ac:dyDescent="0.25">
      <c r="A493" s="274">
        <v>5408</v>
      </c>
      <c r="B493" s="83">
        <v>613100</v>
      </c>
      <c r="C493" s="84" t="s">
        <v>435</v>
      </c>
      <c r="D493" s="257"/>
      <c r="E493" s="108"/>
      <c r="F493" s="108"/>
      <c r="G493" s="109">
        <f t="shared" si="137"/>
        <v>0</v>
      </c>
      <c r="H493" s="108"/>
      <c r="I493" s="108"/>
      <c r="J493" s="108"/>
      <c r="K493" s="108"/>
      <c r="L493" s="108"/>
      <c r="M493" s="110"/>
      <c r="N493" s="137" t="e">
        <f t="shared" si="133"/>
        <v>#DIV/0!</v>
      </c>
    </row>
    <row r="494" spans="1:14" ht="12.75" hidden="1" customHeight="1" x14ac:dyDescent="0.25">
      <c r="A494" s="273">
        <v>5409</v>
      </c>
      <c r="B494" s="488">
        <v>614000</v>
      </c>
      <c r="C494" s="82" t="s">
        <v>436</v>
      </c>
      <c r="D494" s="256">
        <f>D495</f>
        <v>0</v>
      </c>
      <c r="E494" s="100">
        <f>E495</f>
        <v>0</v>
      </c>
      <c r="F494" s="100">
        <f>F495</f>
        <v>0</v>
      </c>
      <c r="G494" s="100">
        <f t="shared" si="137"/>
        <v>0</v>
      </c>
      <c r="H494" s="100">
        <f t="shared" ref="H494:M496" si="155">H495</f>
        <v>0</v>
      </c>
      <c r="I494" s="100">
        <f t="shared" si="155"/>
        <v>0</v>
      </c>
      <c r="J494" s="100">
        <f t="shared" si="155"/>
        <v>0</v>
      </c>
      <c r="K494" s="100">
        <f t="shared" si="155"/>
        <v>0</v>
      </c>
      <c r="L494" s="100">
        <f t="shared" si="155"/>
        <v>0</v>
      </c>
      <c r="M494" s="101">
        <f t="shared" si="155"/>
        <v>0</v>
      </c>
      <c r="N494" s="137" t="e">
        <f t="shared" si="133"/>
        <v>#DIV/0!</v>
      </c>
    </row>
    <row r="495" spans="1:14" ht="12.75" hidden="1" customHeight="1" x14ac:dyDescent="0.25">
      <c r="A495" s="274">
        <v>5410</v>
      </c>
      <c r="B495" s="83">
        <v>614100</v>
      </c>
      <c r="C495" s="84" t="s">
        <v>437</v>
      </c>
      <c r="D495" s="257"/>
      <c r="E495" s="108"/>
      <c r="F495" s="108"/>
      <c r="G495" s="109">
        <f t="shared" si="137"/>
        <v>0</v>
      </c>
      <c r="H495" s="108"/>
      <c r="I495" s="108"/>
      <c r="J495" s="108"/>
      <c r="K495" s="108"/>
      <c r="L495" s="108"/>
      <c r="M495" s="110"/>
      <c r="N495" s="137" t="e">
        <f t="shared" si="133"/>
        <v>#DIV/0!</v>
      </c>
    </row>
    <row r="496" spans="1:14" ht="12.75" hidden="1" customHeight="1" x14ac:dyDescent="0.25">
      <c r="A496" s="273">
        <v>5411</v>
      </c>
      <c r="B496" s="488">
        <v>615000</v>
      </c>
      <c r="C496" s="82" t="s">
        <v>438</v>
      </c>
      <c r="D496" s="256">
        <f>D497</f>
        <v>0</v>
      </c>
      <c r="E496" s="100">
        <f>E497</f>
        <v>0</v>
      </c>
      <c r="F496" s="100">
        <f>F497</f>
        <v>0</v>
      </c>
      <c r="G496" s="100">
        <f t="shared" si="137"/>
        <v>0</v>
      </c>
      <c r="H496" s="100">
        <f t="shared" si="155"/>
        <v>0</v>
      </c>
      <c r="I496" s="100">
        <f t="shared" si="155"/>
        <v>0</v>
      </c>
      <c r="J496" s="100">
        <f t="shared" si="155"/>
        <v>0</v>
      </c>
      <c r="K496" s="100">
        <f t="shared" si="155"/>
        <v>0</v>
      </c>
      <c r="L496" s="100">
        <f t="shared" si="155"/>
        <v>0</v>
      </c>
      <c r="M496" s="101">
        <f t="shared" si="155"/>
        <v>0</v>
      </c>
      <c r="N496" s="137" t="e">
        <f t="shared" ref="N496:N524" si="156">G496/F496</f>
        <v>#DIV/0!</v>
      </c>
    </row>
    <row r="497" spans="1:14" ht="12.75" hidden="1" customHeight="1" x14ac:dyDescent="0.25">
      <c r="A497" s="274">
        <v>5412</v>
      </c>
      <c r="B497" s="83">
        <v>615100</v>
      </c>
      <c r="C497" s="84" t="s">
        <v>439</v>
      </c>
      <c r="D497" s="257"/>
      <c r="E497" s="108"/>
      <c r="F497" s="108"/>
      <c r="G497" s="109">
        <f t="shared" si="137"/>
        <v>0</v>
      </c>
      <c r="H497" s="108"/>
      <c r="I497" s="108"/>
      <c r="J497" s="108"/>
      <c r="K497" s="108"/>
      <c r="L497" s="108"/>
      <c r="M497" s="110"/>
      <c r="N497" s="137" t="e">
        <f t="shared" si="156"/>
        <v>#DIV/0!</v>
      </c>
    </row>
    <row r="498" spans="1:14" ht="12.75" hidden="1" customHeight="1" x14ac:dyDescent="0.25">
      <c r="A498" s="273">
        <v>5413</v>
      </c>
      <c r="B498" s="488">
        <v>620000</v>
      </c>
      <c r="C498" s="82" t="s">
        <v>440</v>
      </c>
      <c r="D498" s="256">
        <f>D499+D513+D522</f>
        <v>0</v>
      </c>
      <c r="E498" s="100">
        <f>E499+E513+E522</f>
        <v>0</v>
      </c>
      <c r="F498" s="100">
        <f>F499+F513+F522</f>
        <v>0</v>
      </c>
      <c r="G498" s="100">
        <f t="shared" si="137"/>
        <v>0</v>
      </c>
      <c r="H498" s="100">
        <f t="shared" ref="H498:M498" si="157">H499+H513+H522</f>
        <v>0</v>
      </c>
      <c r="I498" s="100">
        <f t="shared" si="157"/>
        <v>0</v>
      </c>
      <c r="J498" s="100">
        <f t="shared" si="157"/>
        <v>0</v>
      </c>
      <c r="K498" s="100">
        <f t="shared" si="157"/>
        <v>0</v>
      </c>
      <c r="L498" s="100">
        <f t="shared" si="157"/>
        <v>0</v>
      </c>
      <c r="M498" s="101">
        <f t="shared" si="157"/>
        <v>0</v>
      </c>
      <c r="N498" s="137" t="e">
        <f t="shared" si="156"/>
        <v>#DIV/0!</v>
      </c>
    </row>
    <row r="499" spans="1:14" ht="12.75" hidden="1" customHeight="1" x14ac:dyDescent="0.25">
      <c r="A499" s="273">
        <v>5414</v>
      </c>
      <c r="B499" s="488">
        <v>621000</v>
      </c>
      <c r="C499" s="82" t="s">
        <v>441</v>
      </c>
      <c r="D499" s="256">
        <f>SUM(D500:D512)</f>
        <v>0</v>
      </c>
      <c r="E499" s="100">
        <f>SUM(E500:E512)</f>
        <v>0</v>
      </c>
      <c r="F499" s="100">
        <f>SUM(F500:F512)</f>
        <v>0</v>
      </c>
      <c r="G499" s="100">
        <f t="shared" si="137"/>
        <v>0</v>
      </c>
      <c r="H499" s="100">
        <f t="shared" ref="H499:M499" si="158">SUM(H500:H512)</f>
        <v>0</v>
      </c>
      <c r="I499" s="100">
        <f t="shared" si="158"/>
        <v>0</v>
      </c>
      <c r="J499" s="100">
        <f t="shared" si="158"/>
        <v>0</v>
      </c>
      <c r="K499" s="100">
        <f t="shared" si="158"/>
        <v>0</v>
      </c>
      <c r="L499" s="100">
        <f t="shared" si="158"/>
        <v>0</v>
      </c>
      <c r="M499" s="101">
        <f t="shared" si="158"/>
        <v>0</v>
      </c>
      <c r="N499" s="137" t="e">
        <f t="shared" si="156"/>
        <v>#DIV/0!</v>
      </c>
    </row>
    <row r="500" spans="1:14" ht="12.75" hidden="1" customHeight="1" x14ac:dyDescent="0.25">
      <c r="A500" s="274">
        <v>5415</v>
      </c>
      <c r="B500" s="83">
        <v>621100</v>
      </c>
      <c r="C500" s="84" t="s">
        <v>442</v>
      </c>
      <c r="D500" s="257"/>
      <c r="E500" s="108"/>
      <c r="F500" s="108"/>
      <c r="G500" s="109">
        <f t="shared" si="137"/>
        <v>0</v>
      </c>
      <c r="H500" s="108"/>
      <c r="I500" s="108"/>
      <c r="J500" s="108"/>
      <c r="K500" s="108"/>
      <c r="L500" s="108"/>
      <c r="M500" s="110"/>
      <c r="N500" s="137" t="e">
        <f t="shared" si="156"/>
        <v>#DIV/0!</v>
      </c>
    </row>
    <row r="501" spans="1:14" ht="12.75" hidden="1" customHeight="1" x14ac:dyDescent="0.25">
      <c r="A501" s="645" t="s">
        <v>0</v>
      </c>
      <c r="B501" s="646" t="s">
        <v>1</v>
      </c>
      <c r="C501" s="585" t="s">
        <v>2</v>
      </c>
      <c r="D501" s="259" t="s">
        <v>217</v>
      </c>
      <c r="E501" s="585" t="s">
        <v>217</v>
      </c>
      <c r="F501" s="486" t="s">
        <v>217</v>
      </c>
      <c r="G501" s="575" t="s">
        <v>198</v>
      </c>
      <c r="H501" s="589"/>
      <c r="I501" s="589"/>
      <c r="J501" s="589"/>
      <c r="K501" s="589"/>
      <c r="L501" s="589"/>
      <c r="M501" s="592"/>
      <c r="N501" s="137" t="e">
        <f t="shared" si="156"/>
        <v>#VALUE!</v>
      </c>
    </row>
    <row r="502" spans="1:14" ht="12.75" hidden="1" customHeight="1" x14ac:dyDescent="0.25">
      <c r="A502" s="645"/>
      <c r="B502" s="646"/>
      <c r="C502" s="585"/>
      <c r="D502" s="259"/>
      <c r="E502" s="585"/>
      <c r="F502" s="486"/>
      <c r="G502" s="575" t="s">
        <v>199</v>
      </c>
      <c r="H502" s="575" t="s">
        <v>200</v>
      </c>
      <c r="I502" s="589"/>
      <c r="J502" s="589"/>
      <c r="K502" s="589"/>
      <c r="L502" s="575" t="s">
        <v>7</v>
      </c>
      <c r="M502" s="582" t="s">
        <v>8</v>
      </c>
      <c r="N502" s="137" t="e">
        <f t="shared" si="156"/>
        <v>#VALUE!</v>
      </c>
    </row>
    <row r="503" spans="1:14" ht="12.75" hidden="1" customHeight="1" x14ac:dyDescent="0.25">
      <c r="A503" s="645"/>
      <c r="B503" s="646"/>
      <c r="C503" s="585"/>
      <c r="D503" s="259"/>
      <c r="E503" s="585"/>
      <c r="F503" s="486"/>
      <c r="G503" s="589"/>
      <c r="H503" s="487" t="s">
        <v>201</v>
      </c>
      <c r="I503" s="487" t="s">
        <v>10</v>
      </c>
      <c r="J503" s="487" t="s">
        <v>11</v>
      </c>
      <c r="K503" s="487" t="s">
        <v>12</v>
      </c>
      <c r="L503" s="589"/>
      <c r="M503" s="592"/>
      <c r="N503" s="137" t="e">
        <f t="shared" si="156"/>
        <v>#DIV/0!</v>
      </c>
    </row>
    <row r="504" spans="1:14" ht="12.75" hidden="1" customHeight="1" x14ac:dyDescent="0.25">
      <c r="A504" s="275" t="s">
        <v>18</v>
      </c>
      <c r="B504" s="491" t="s">
        <v>19</v>
      </c>
      <c r="C504" s="485" t="s">
        <v>20</v>
      </c>
      <c r="D504" s="259" t="s">
        <v>21</v>
      </c>
      <c r="E504" s="485" t="s">
        <v>21</v>
      </c>
      <c r="F504" s="485" t="s">
        <v>21</v>
      </c>
      <c r="G504" s="485" t="s">
        <v>22</v>
      </c>
      <c r="H504" s="485" t="s">
        <v>23</v>
      </c>
      <c r="I504" s="485" t="s">
        <v>24</v>
      </c>
      <c r="J504" s="485" t="s">
        <v>25</v>
      </c>
      <c r="K504" s="485" t="s">
        <v>26</v>
      </c>
      <c r="L504" s="485" t="s">
        <v>27</v>
      </c>
      <c r="M504" s="99" t="s">
        <v>28</v>
      </c>
      <c r="N504" s="137">
        <f t="shared" si="156"/>
        <v>1.25</v>
      </c>
    </row>
    <row r="505" spans="1:14" ht="12.75" hidden="1" customHeight="1" x14ac:dyDescent="0.25">
      <c r="A505" s="274">
        <v>5416</v>
      </c>
      <c r="B505" s="83">
        <v>621200</v>
      </c>
      <c r="C505" s="84" t="s">
        <v>443</v>
      </c>
      <c r="D505" s="257"/>
      <c r="E505" s="108"/>
      <c r="F505" s="108"/>
      <c r="G505" s="109">
        <f t="shared" si="137"/>
        <v>0</v>
      </c>
      <c r="H505" s="108"/>
      <c r="I505" s="108"/>
      <c r="J505" s="108"/>
      <c r="K505" s="108"/>
      <c r="L505" s="108"/>
      <c r="M505" s="110"/>
      <c r="N505" s="137" t="e">
        <f t="shared" si="156"/>
        <v>#DIV/0!</v>
      </c>
    </row>
    <row r="506" spans="1:14" ht="12.75" hidden="1" customHeight="1" x14ac:dyDescent="0.25">
      <c r="A506" s="274">
        <v>5417</v>
      </c>
      <c r="B506" s="83">
        <v>621300</v>
      </c>
      <c r="C506" s="84" t="s">
        <v>444</v>
      </c>
      <c r="D506" s="257"/>
      <c r="E506" s="108"/>
      <c r="F506" s="108"/>
      <c r="G506" s="109">
        <f t="shared" si="137"/>
        <v>0</v>
      </c>
      <c r="H506" s="108"/>
      <c r="I506" s="108"/>
      <c r="J506" s="108"/>
      <c r="K506" s="108"/>
      <c r="L506" s="108"/>
      <c r="M506" s="110"/>
      <c r="N506" s="137" t="e">
        <f t="shared" si="156"/>
        <v>#DIV/0!</v>
      </c>
    </row>
    <row r="507" spans="1:14" ht="12.75" hidden="1" customHeight="1" x14ac:dyDescent="0.25">
      <c r="A507" s="274">
        <v>5418</v>
      </c>
      <c r="B507" s="83">
        <v>621400</v>
      </c>
      <c r="C507" s="84" t="s">
        <v>445</v>
      </c>
      <c r="D507" s="257"/>
      <c r="E507" s="108"/>
      <c r="F507" s="108"/>
      <c r="G507" s="109">
        <f t="shared" si="137"/>
        <v>0</v>
      </c>
      <c r="H507" s="108"/>
      <c r="I507" s="108"/>
      <c r="J507" s="108"/>
      <c r="K507" s="108"/>
      <c r="L507" s="108"/>
      <c r="M507" s="110"/>
      <c r="N507" s="137" t="e">
        <f t="shared" si="156"/>
        <v>#DIV/0!</v>
      </c>
    </row>
    <row r="508" spans="1:14" ht="12.75" hidden="1" customHeight="1" x14ac:dyDescent="0.25">
      <c r="A508" s="274">
        <v>5419</v>
      </c>
      <c r="B508" s="83">
        <v>621500</v>
      </c>
      <c r="C508" s="84" t="s">
        <v>446</v>
      </c>
      <c r="D508" s="257"/>
      <c r="E508" s="108"/>
      <c r="F508" s="108"/>
      <c r="G508" s="109">
        <f t="shared" si="137"/>
        <v>0</v>
      </c>
      <c r="H508" s="108"/>
      <c r="I508" s="108"/>
      <c r="J508" s="108"/>
      <c r="K508" s="108"/>
      <c r="L508" s="108"/>
      <c r="M508" s="110"/>
      <c r="N508" s="137" t="e">
        <f t="shared" si="156"/>
        <v>#DIV/0!</v>
      </c>
    </row>
    <row r="509" spans="1:14" ht="12.75" hidden="1" customHeight="1" x14ac:dyDescent="0.25">
      <c r="A509" s="274">
        <v>5420</v>
      </c>
      <c r="B509" s="83">
        <v>621600</v>
      </c>
      <c r="C509" s="84" t="s">
        <v>447</v>
      </c>
      <c r="D509" s="257"/>
      <c r="E509" s="108"/>
      <c r="F509" s="108"/>
      <c r="G509" s="109">
        <f t="shared" si="137"/>
        <v>0</v>
      </c>
      <c r="H509" s="108"/>
      <c r="I509" s="108"/>
      <c r="J509" s="108"/>
      <c r="K509" s="108"/>
      <c r="L509" s="108"/>
      <c r="M509" s="110"/>
      <c r="N509" s="137" t="e">
        <f t="shared" si="156"/>
        <v>#DIV/0!</v>
      </c>
    </row>
    <row r="510" spans="1:14" ht="12.75" hidden="1" customHeight="1" x14ac:dyDescent="0.25">
      <c r="A510" s="274">
        <v>5421</v>
      </c>
      <c r="B510" s="83">
        <v>621700</v>
      </c>
      <c r="C510" s="84" t="s">
        <v>448</v>
      </c>
      <c r="D510" s="257"/>
      <c r="E510" s="108"/>
      <c r="F510" s="108"/>
      <c r="G510" s="109">
        <f t="shared" si="137"/>
        <v>0</v>
      </c>
      <c r="H510" s="108"/>
      <c r="I510" s="108"/>
      <c r="J510" s="108"/>
      <c r="K510" s="108"/>
      <c r="L510" s="108"/>
      <c r="M510" s="110"/>
      <c r="N510" s="137" t="e">
        <f t="shared" si="156"/>
        <v>#DIV/0!</v>
      </c>
    </row>
    <row r="511" spans="1:14" ht="12.75" hidden="1" customHeight="1" x14ac:dyDescent="0.25">
      <c r="A511" s="274">
        <v>5422</v>
      </c>
      <c r="B511" s="83">
        <v>621800</v>
      </c>
      <c r="C511" s="84" t="s">
        <v>449</v>
      </c>
      <c r="D511" s="257"/>
      <c r="E511" s="108"/>
      <c r="F511" s="108"/>
      <c r="G511" s="109">
        <f t="shared" si="137"/>
        <v>0</v>
      </c>
      <c r="H511" s="108"/>
      <c r="I511" s="108"/>
      <c r="J511" s="108"/>
      <c r="K511" s="108"/>
      <c r="L511" s="108"/>
      <c r="M511" s="110"/>
      <c r="N511" s="137" t="e">
        <f t="shared" si="156"/>
        <v>#DIV/0!</v>
      </c>
    </row>
    <row r="512" spans="1:14" ht="12.75" hidden="1" customHeight="1" x14ac:dyDescent="0.25">
      <c r="A512" s="274">
        <v>5423</v>
      </c>
      <c r="B512" s="83">
        <v>621900</v>
      </c>
      <c r="C512" s="84" t="s">
        <v>450</v>
      </c>
      <c r="D512" s="257"/>
      <c r="E512" s="108"/>
      <c r="F512" s="108"/>
      <c r="G512" s="109">
        <f t="shared" si="137"/>
        <v>0</v>
      </c>
      <c r="H512" s="108"/>
      <c r="I512" s="108"/>
      <c r="J512" s="108"/>
      <c r="K512" s="108"/>
      <c r="L512" s="108"/>
      <c r="M512" s="110"/>
      <c r="N512" s="137" t="e">
        <f t="shared" si="156"/>
        <v>#DIV/0!</v>
      </c>
    </row>
    <row r="513" spans="1:14" ht="12.75" hidden="1" customHeight="1" x14ac:dyDescent="0.25">
      <c r="A513" s="273">
        <v>5424</v>
      </c>
      <c r="B513" s="488">
        <v>622000</v>
      </c>
      <c r="C513" s="82" t="s">
        <v>451</v>
      </c>
      <c r="D513" s="256">
        <f>SUM(D514:D521)</f>
        <v>0</v>
      </c>
      <c r="E513" s="100">
        <f>SUM(E514:E521)</f>
        <v>0</v>
      </c>
      <c r="F513" s="100">
        <f>SUM(F514:F521)</f>
        <v>0</v>
      </c>
      <c r="G513" s="100">
        <f t="shared" si="137"/>
        <v>0</v>
      </c>
      <c r="H513" s="100">
        <f t="shared" ref="H513:M513" si="159">SUM(H514:H521)</f>
        <v>0</v>
      </c>
      <c r="I513" s="100">
        <f t="shared" si="159"/>
        <v>0</v>
      </c>
      <c r="J513" s="100">
        <f t="shared" si="159"/>
        <v>0</v>
      </c>
      <c r="K513" s="100">
        <f t="shared" si="159"/>
        <v>0</v>
      </c>
      <c r="L513" s="100">
        <f t="shared" si="159"/>
        <v>0</v>
      </c>
      <c r="M513" s="101">
        <f t="shared" si="159"/>
        <v>0</v>
      </c>
      <c r="N513" s="137" t="e">
        <f t="shared" si="156"/>
        <v>#DIV/0!</v>
      </c>
    </row>
    <row r="514" spans="1:14" ht="12.75" hidden="1" customHeight="1" x14ac:dyDescent="0.25">
      <c r="A514" s="274">
        <v>5425</v>
      </c>
      <c r="B514" s="83">
        <v>622100</v>
      </c>
      <c r="C514" s="84" t="s">
        <v>452</v>
      </c>
      <c r="D514" s="257"/>
      <c r="E514" s="108"/>
      <c r="F514" s="108"/>
      <c r="G514" s="109">
        <f t="shared" si="137"/>
        <v>0</v>
      </c>
      <c r="H514" s="108"/>
      <c r="I514" s="108"/>
      <c r="J514" s="108"/>
      <c r="K514" s="108"/>
      <c r="L514" s="108"/>
      <c r="M514" s="110"/>
      <c r="N514" s="137" t="e">
        <f t="shared" si="156"/>
        <v>#DIV/0!</v>
      </c>
    </row>
    <row r="515" spans="1:14" ht="12.75" hidden="1" customHeight="1" x14ac:dyDescent="0.25">
      <c r="A515" s="274">
        <v>5426</v>
      </c>
      <c r="B515" s="83">
        <v>622200</v>
      </c>
      <c r="C515" s="84" t="s">
        <v>453</v>
      </c>
      <c r="D515" s="257"/>
      <c r="E515" s="108"/>
      <c r="F515" s="108"/>
      <c r="G515" s="109">
        <f t="shared" si="137"/>
        <v>0</v>
      </c>
      <c r="H515" s="108"/>
      <c r="I515" s="108"/>
      <c r="J515" s="108"/>
      <c r="K515" s="108"/>
      <c r="L515" s="108"/>
      <c r="M515" s="110"/>
      <c r="N515" s="137" t="e">
        <f t="shared" si="156"/>
        <v>#DIV/0!</v>
      </c>
    </row>
    <row r="516" spans="1:14" ht="12.75" hidden="1" customHeight="1" x14ac:dyDescent="0.25">
      <c r="A516" s="274">
        <v>5427</v>
      </c>
      <c r="B516" s="83">
        <v>622300</v>
      </c>
      <c r="C516" s="84" t="s">
        <v>454</v>
      </c>
      <c r="D516" s="257"/>
      <c r="E516" s="108"/>
      <c r="F516" s="108"/>
      <c r="G516" s="109">
        <f t="shared" si="137"/>
        <v>0</v>
      </c>
      <c r="H516" s="108"/>
      <c r="I516" s="108"/>
      <c r="J516" s="108"/>
      <c r="K516" s="108"/>
      <c r="L516" s="108"/>
      <c r="M516" s="110"/>
      <c r="N516" s="137" t="e">
        <f t="shared" si="156"/>
        <v>#DIV/0!</v>
      </c>
    </row>
    <row r="517" spans="1:14" ht="12.75" hidden="1" customHeight="1" x14ac:dyDescent="0.25">
      <c r="A517" s="274">
        <v>5428</v>
      </c>
      <c r="B517" s="83">
        <v>622400</v>
      </c>
      <c r="C517" s="84" t="s">
        <v>455</v>
      </c>
      <c r="D517" s="257"/>
      <c r="E517" s="108"/>
      <c r="F517" s="108"/>
      <c r="G517" s="109">
        <f t="shared" si="137"/>
        <v>0</v>
      </c>
      <c r="H517" s="108"/>
      <c r="I517" s="108"/>
      <c r="J517" s="108"/>
      <c r="K517" s="108"/>
      <c r="L517" s="108"/>
      <c r="M517" s="110"/>
      <c r="N517" s="137" t="e">
        <f t="shared" si="156"/>
        <v>#DIV/0!</v>
      </c>
    </row>
    <row r="518" spans="1:14" ht="12.75" hidden="1" customHeight="1" x14ac:dyDescent="0.25">
      <c r="A518" s="274">
        <v>5429</v>
      </c>
      <c r="B518" s="83">
        <v>622500</v>
      </c>
      <c r="C518" s="84" t="s">
        <v>456</v>
      </c>
      <c r="D518" s="257"/>
      <c r="E518" s="108"/>
      <c r="F518" s="108"/>
      <c r="G518" s="109">
        <f t="shared" si="137"/>
        <v>0</v>
      </c>
      <c r="H518" s="108"/>
      <c r="I518" s="108"/>
      <c r="J518" s="108"/>
      <c r="K518" s="108"/>
      <c r="L518" s="108"/>
      <c r="M518" s="110"/>
      <c r="N518" s="137" t="e">
        <f t="shared" si="156"/>
        <v>#DIV/0!</v>
      </c>
    </row>
    <row r="519" spans="1:14" ht="12.75" hidden="1" customHeight="1" x14ac:dyDescent="0.25">
      <c r="A519" s="274">
        <v>5430</v>
      </c>
      <c r="B519" s="83">
        <v>622600</v>
      </c>
      <c r="C519" s="84" t="s">
        <v>457</v>
      </c>
      <c r="D519" s="257"/>
      <c r="E519" s="108"/>
      <c r="F519" s="108"/>
      <c r="G519" s="109">
        <f t="shared" ref="G519:G524" si="160">SUM(H519:M519)</f>
        <v>0</v>
      </c>
      <c r="H519" s="108"/>
      <c r="I519" s="108"/>
      <c r="J519" s="108"/>
      <c r="K519" s="108"/>
      <c r="L519" s="108"/>
      <c r="M519" s="110"/>
      <c r="N519" s="137" t="e">
        <f t="shared" si="156"/>
        <v>#DIV/0!</v>
      </c>
    </row>
    <row r="520" spans="1:14" ht="12.75" hidden="1" customHeight="1" x14ac:dyDescent="0.25">
      <c r="A520" s="274">
        <v>5431</v>
      </c>
      <c r="B520" s="83">
        <v>622700</v>
      </c>
      <c r="C520" s="84" t="s">
        <v>458</v>
      </c>
      <c r="D520" s="257"/>
      <c r="E520" s="108"/>
      <c r="F520" s="108"/>
      <c r="G520" s="109">
        <f t="shared" si="160"/>
        <v>0</v>
      </c>
      <c r="H520" s="108"/>
      <c r="I520" s="108"/>
      <c r="J520" s="108"/>
      <c r="K520" s="108"/>
      <c r="L520" s="108"/>
      <c r="M520" s="110"/>
      <c r="N520" s="137" t="e">
        <f t="shared" si="156"/>
        <v>#DIV/0!</v>
      </c>
    </row>
    <row r="521" spans="1:14" ht="12.75" hidden="1" customHeight="1" x14ac:dyDescent="0.25">
      <c r="A521" s="274">
        <v>5432</v>
      </c>
      <c r="B521" s="83">
        <v>622800</v>
      </c>
      <c r="C521" s="84" t="s">
        <v>459</v>
      </c>
      <c r="D521" s="257"/>
      <c r="E521" s="108"/>
      <c r="F521" s="108"/>
      <c r="G521" s="109">
        <f t="shared" si="160"/>
        <v>0</v>
      </c>
      <c r="H521" s="108"/>
      <c r="I521" s="108"/>
      <c r="J521" s="108"/>
      <c r="K521" s="108"/>
      <c r="L521" s="108"/>
      <c r="M521" s="110"/>
      <c r="N521" s="137" t="e">
        <f t="shared" si="156"/>
        <v>#DIV/0!</v>
      </c>
    </row>
    <row r="522" spans="1:14" ht="12.75" hidden="1" customHeight="1" x14ac:dyDescent="0.25">
      <c r="A522" s="273">
        <v>5433</v>
      </c>
      <c r="B522" s="488">
        <v>623000</v>
      </c>
      <c r="C522" s="82" t="s">
        <v>460</v>
      </c>
      <c r="D522" s="256">
        <f>D523</f>
        <v>0</v>
      </c>
      <c r="E522" s="100">
        <f>E523</f>
        <v>0</v>
      </c>
      <c r="F522" s="100">
        <f>F523</f>
        <v>0</v>
      </c>
      <c r="G522" s="100">
        <f t="shared" si="160"/>
        <v>0</v>
      </c>
      <c r="H522" s="100">
        <f t="shared" ref="H522:M522" si="161">H523</f>
        <v>0</v>
      </c>
      <c r="I522" s="100">
        <f t="shared" si="161"/>
        <v>0</v>
      </c>
      <c r="J522" s="100">
        <f t="shared" si="161"/>
        <v>0</v>
      </c>
      <c r="K522" s="100">
        <f t="shared" si="161"/>
        <v>0</v>
      </c>
      <c r="L522" s="100">
        <f t="shared" si="161"/>
        <v>0</v>
      </c>
      <c r="M522" s="101">
        <f t="shared" si="161"/>
        <v>0</v>
      </c>
      <c r="N522" s="137" t="e">
        <f t="shared" si="156"/>
        <v>#DIV/0!</v>
      </c>
    </row>
    <row r="523" spans="1:14" ht="12.75" hidden="1" customHeight="1" x14ac:dyDescent="0.25">
      <c r="A523" s="274">
        <v>5434</v>
      </c>
      <c r="B523" s="83">
        <v>623100</v>
      </c>
      <c r="C523" s="84" t="s">
        <v>461</v>
      </c>
      <c r="D523" s="257"/>
      <c r="E523" s="108"/>
      <c r="F523" s="108"/>
      <c r="G523" s="109">
        <f t="shared" si="160"/>
        <v>0</v>
      </c>
      <c r="H523" s="108"/>
      <c r="I523" s="108"/>
      <c r="J523" s="108"/>
      <c r="K523" s="108"/>
      <c r="L523" s="108"/>
      <c r="M523" s="110"/>
      <c r="N523" s="137" t="e">
        <f t="shared" si="156"/>
        <v>#DIV/0!</v>
      </c>
    </row>
    <row r="524" spans="1:14" ht="12.75" customHeight="1" thickBot="1" x14ac:dyDescent="0.3">
      <c r="A524" s="276">
        <v>5435</v>
      </c>
      <c r="B524" s="272"/>
      <c r="C524" s="89" t="s">
        <v>462</v>
      </c>
      <c r="D524" s="260">
        <f>D220+D468</f>
        <v>69812</v>
      </c>
      <c r="E524" s="113">
        <f>E220+E468</f>
        <v>1639055</v>
      </c>
      <c r="F524" s="113">
        <f>F220+F468</f>
        <v>1708867</v>
      </c>
      <c r="G524" s="113">
        <f t="shared" si="160"/>
        <v>392640</v>
      </c>
      <c r="H524" s="113">
        <f t="shared" ref="H524:M524" si="162">H220+H468</f>
        <v>263</v>
      </c>
      <c r="I524" s="113">
        <f t="shared" si="162"/>
        <v>0</v>
      </c>
      <c r="J524" s="113">
        <f t="shared" si="162"/>
        <v>5866</v>
      </c>
      <c r="K524" s="113">
        <f t="shared" si="162"/>
        <v>382951</v>
      </c>
      <c r="L524" s="113">
        <f t="shared" si="162"/>
        <v>0</v>
      </c>
      <c r="M524" s="114">
        <f t="shared" si="162"/>
        <v>3560</v>
      </c>
      <c r="N524" s="138">
        <f t="shared" si="156"/>
        <v>0.22976627203872507</v>
      </c>
    </row>
    <row r="525" spans="1:14" ht="18.75" customHeight="1" x14ac:dyDescent="0.25">
      <c r="A525" s="90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</row>
    <row r="526" spans="1:14" ht="12.75" customHeight="1" x14ac:dyDescent="0.25">
      <c r="A526" s="92" t="s">
        <v>516</v>
      </c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</row>
    <row r="527" spans="1:14" ht="12.75" customHeight="1" thickBot="1" x14ac:dyDescent="0.3">
      <c r="A527" s="90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</row>
    <row r="528" spans="1:14" ht="12.75" customHeight="1" thickBot="1" x14ac:dyDescent="0.3">
      <c r="A528" s="637" t="s">
        <v>0</v>
      </c>
      <c r="B528" s="572" t="s">
        <v>1</v>
      </c>
      <c r="C528" s="574" t="s">
        <v>2</v>
      </c>
      <c r="D528" s="700" t="s">
        <v>560</v>
      </c>
      <c r="E528" s="700" t="s">
        <v>517</v>
      </c>
      <c r="F528" s="700" t="s">
        <v>547</v>
      </c>
      <c r="G528" s="702" t="s">
        <v>518</v>
      </c>
      <c r="H528" s="702"/>
      <c r="I528" s="702"/>
      <c r="J528" s="702"/>
      <c r="K528" s="702"/>
      <c r="L528" s="702"/>
      <c r="M528" s="703"/>
    </row>
    <row r="529" spans="1:13" ht="12.75" customHeight="1" thickBot="1" x14ac:dyDescent="0.3">
      <c r="A529" s="638"/>
      <c r="B529" s="573"/>
      <c r="C529" s="575"/>
      <c r="D529" s="701"/>
      <c r="E529" s="701"/>
      <c r="F529" s="701"/>
      <c r="G529" s="698" t="s">
        <v>553</v>
      </c>
      <c r="H529" s="698" t="s">
        <v>519</v>
      </c>
      <c r="I529" s="698"/>
      <c r="J529" s="698"/>
      <c r="K529" s="698"/>
      <c r="L529" s="698" t="s">
        <v>7</v>
      </c>
      <c r="M529" s="704" t="s">
        <v>8</v>
      </c>
    </row>
    <row r="530" spans="1:13" s="523" customFormat="1" ht="54" customHeight="1" x14ac:dyDescent="0.25">
      <c r="A530" s="638"/>
      <c r="B530" s="573"/>
      <c r="C530" s="575"/>
      <c r="D530" s="701"/>
      <c r="E530" s="701"/>
      <c r="F530" s="701"/>
      <c r="G530" s="698"/>
      <c r="H530" s="526" t="s">
        <v>9</v>
      </c>
      <c r="I530" s="526" t="s">
        <v>10</v>
      </c>
      <c r="J530" s="526" t="s">
        <v>554</v>
      </c>
      <c r="K530" s="526" t="s">
        <v>12</v>
      </c>
      <c r="L530" s="698"/>
      <c r="M530" s="704"/>
    </row>
    <row r="531" spans="1:13" s="523" customFormat="1" ht="12.75" customHeight="1" x14ac:dyDescent="0.25">
      <c r="A531" s="490">
        <v>1</v>
      </c>
      <c r="B531" s="488">
        <v>2</v>
      </c>
      <c r="C531" s="487">
        <v>3</v>
      </c>
      <c r="D531" s="526">
        <v>4</v>
      </c>
      <c r="E531" s="526">
        <v>5</v>
      </c>
      <c r="F531" s="526" t="s">
        <v>551</v>
      </c>
      <c r="G531" s="526">
        <v>7</v>
      </c>
      <c r="H531" s="526">
        <v>8</v>
      </c>
      <c r="I531" s="526">
        <v>7</v>
      </c>
      <c r="J531" s="526">
        <v>9</v>
      </c>
      <c r="K531" s="526">
        <v>10</v>
      </c>
      <c r="L531" s="526">
        <v>10</v>
      </c>
      <c r="M531" s="529">
        <v>11</v>
      </c>
    </row>
    <row r="532" spans="1:13" s="523" customFormat="1" ht="12.75" customHeight="1" x14ac:dyDescent="0.25">
      <c r="A532" s="490">
        <v>5436</v>
      </c>
      <c r="B532" s="488"/>
      <c r="C532" s="82" t="s">
        <v>520</v>
      </c>
      <c r="D532" s="248">
        <f>D9</f>
        <v>185</v>
      </c>
      <c r="E532" s="100">
        <f>E9</f>
        <v>1639334</v>
      </c>
      <c r="F532" s="100">
        <f>D532+E532</f>
        <v>1639519</v>
      </c>
      <c r="G532" s="100">
        <f>SUM(H532:M532)</f>
        <v>385214</v>
      </c>
      <c r="H532" s="100">
        <f t="shared" ref="H532:M532" si="163">H9</f>
        <v>51</v>
      </c>
      <c r="I532" s="100">
        <f t="shared" si="163"/>
        <v>0</v>
      </c>
      <c r="J532" s="100">
        <f t="shared" si="163"/>
        <v>0</v>
      </c>
      <c r="K532" s="100">
        <f t="shared" si="163"/>
        <v>381946</v>
      </c>
      <c r="L532" s="100">
        <f t="shared" si="163"/>
        <v>0</v>
      </c>
      <c r="M532" s="121">
        <f t="shared" si="163"/>
        <v>3217</v>
      </c>
    </row>
    <row r="533" spans="1:13" s="523" customFormat="1" ht="12.75" customHeight="1" x14ac:dyDescent="0.25">
      <c r="A533" s="490">
        <v>5437</v>
      </c>
      <c r="B533" s="488"/>
      <c r="C533" s="82" t="s">
        <v>521</v>
      </c>
      <c r="D533" s="248">
        <f>D220</f>
        <v>69812</v>
      </c>
      <c r="E533" s="100">
        <f>E220</f>
        <v>1639055</v>
      </c>
      <c r="F533" s="100">
        <f>D533+E533</f>
        <v>1708867</v>
      </c>
      <c r="G533" s="100">
        <f>SUM(H533:M533)</f>
        <v>392640</v>
      </c>
      <c r="H533" s="100">
        <f t="shared" ref="H533:M533" si="164">H220</f>
        <v>263</v>
      </c>
      <c r="I533" s="100">
        <f t="shared" si="164"/>
        <v>0</v>
      </c>
      <c r="J533" s="100">
        <f t="shared" si="164"/>
        <v>5866</v>
      </c>
      <c r="K533" s="100">
        <f t="shared" si="164"/>
        <v>382951</v>
      </c>
      <c r="L533" s="100">
        <f t="shared" si="164"/>
        <v>0</v>
      </c>
      <c r="M533" s="121">
        <f t="shared" si="164"/>
        <v>3560</v>
      </c>
    </row>
    <row r="534" spans="1:13" s="523" customFormat="1" ht="12.75" customHeight="1" x14ac:dyDescent="0.25">
      <c r="A534" s="266">
        <v>5438</v>
      </c>
      <c r="B534" s="83"/>
      <c r="C534" s="84" t="s">
        <v>522</v>
      </c>
      <c r="D534" s="249">
        <f>IF((D532-D533)&gt;0,D532-D533,0)</f>
        <v>0</v>
      </c>
      <c r="E534" s="109">
        <f>IF((E532-E533)&gt;0,E532-E533,0)</f>
        <v>279</v>
      </c>
      <c r="F534" s="109">
        <f>IF((F532-F533)&gt;0,F532-F533,0)</f>
        <v>0</v>
      </c>
      <c r="G534" s="109">
        <f>IF((G532-G533)&gt;0,G532-G533,0)</f>
        <v>0</v>
      </c>
      <c r="H534" s="109">
        <f t="shared" ref="H534:M534" si="165">IF((H532-H533)&gt;0,H532-H533,0)</f>
        <v>0</v>
      </c>
      <c r="I534" s="109">
        <f t="shared" si="165"/>
        <v>0</v>
      </c>
      <c r="J534" s="109">
        <f t="shared" si="165"/>
        <v>0</v>
      </c>
      <c r="K534" s="109">
        <f t="shared" si="165"/>
        <v>0</v>
      </c>
      <c r="L534" s="109">
        <f t="shared" si="165"/>
        <v>0</v>
      </c>
      <c r="M534" s="122">
        <f t="shared" si="165"/>
        <v>0</v>
      </c>
    </row>
    <row r="535" spans="1:13" s="523" customFormat="1" ht="12.75" customHeight="1" x14ac:dyDescent="0.25">
      <c r="A535" s="266">
        <v>5439</v>
      </c>
      <c r="B535" s="83"/>
      <c r="C535" s="84" t="s">
        <v>523</v>
      </c>
      <c r="D535" s="249">
        <f>IF((D533-D532)&gt;0,D533-D532,0)</f>
        <v>69627</v>
      </c>
      <c r="E535" s="109">
        <f>IF((E533-E532)&gt;0,E533-E532,0)</f>
        <v>0</v>
      </c>
      <c r="F535" s="109">
        <f>IF((F533-F532)&gt;0,F533-F532,0)</f>
        <v>69348</v>
      </c>
      <c r="G535" s="109">
        <f>IF((G533-G532)&gt;0,G533-G532,0)</f>
        <v>7426</v>
      </c>
      <c r="H535" s="109">
        <f t="shared" ref="H535:M535" si="166">IF((H533-H532)&gt;0,H533-H532,0)</f>
        <v>212</v>
      </c>
      <c r="I535" s="109">
        <f t="shared" si="166"/>
        <v>0</v>
      </c>
      <c r="J535" s="109">
        <f t="shared" si="166"/>
        <v>5866</v>
      </c>
      <c r="K535" s="109">
        <f t="shared" si="166"/>
        <v>1005</v>
      </c>
      <c r="L535" s="109">
        <f t="shared" si="166"/>
        <v>0</v>
      </c>
      <c r="M535" s="122">
        <f t="shared" si="166"/>
        <v>343</v>
      </c>
    </row>
    <row r="536" spans="1:13" s="523" customFormat="1" ht="12.75" customHeight="1" x14ac:dyDescent="0.25">
      <c r="A536" s="490">
        <v>5440</v>
      </c>
      <c r="B536" s="488">
        <v>900000</v>
      </c>
      <c r="C536" s="82" t="s">
        <v>524</v>
      </c>
      <c r="D536" s="82"/>
      <c r="E536" s="100">
        <f>E163</f>
        <v>0</v>
      </c>
      <c r="F536" s="100"/>
      <c r="G536" s="100">
        <f>SUM(H536:M536)</f>
        <v>0</v>
      </c>
      <c r="H536" s="100">
        <f t="shared" ref="H536:M536" si="167">H163</f>
        <v>0</v>
      </c>
      <c r="I536" s="100">
        <f t="shared" si="167"/>
        <v>0</v>
      </c>
      <c r="J536" s="100">
        <f t="shared" si="167"/>
        <v>0</v>
      </c>
      <c r="K536" s="100">
        <f t="shared" si="167"/>
        <v>0</v>
      </c>
      <c r="L536" s="100">
        <f t="shared" si="167"/>
        <v>0</v>
      </c>
      <c r="M536" s="121">
        <f t="shared" si="167"/>
        <v>0</v>
      </c>
    </row>
    <row r="537" spans="1:13" s="523" customFormat="1" ht="12.75" customHeight="1" x14ac:dyDescent="0.25">
      <c r="A537" s="490">
        <v>5441</v>
      </c>
      <c r="B537" s="488">
        <v>600000</v>
      </c>
      <c r="C537" s="82" t="s">
        <v>525</v>
      </c>
      <c r="D537" s="82"/>
      <c r="E537" s="100">
        <f>E468</f>
        <v>0</v>
      </c>
      <c r="F537" s="100"/>
      <c r="G537" s="100">
        <f>SUM(H537:M537)</f>
        <v>0</v>
      </c>
      <c r="H537" s="100">
        <f t="shared" ref="H537:M537" si="168">H468</f>
        <v>0</v>
      </c>
      <c r="I537" s="100">
        <f t="shared" si="168"/>
        <v>0</v>
      </c>
      <c r="J537" s="100">
        <f t="shared" si="168"/>
        <v>0</v>
      </c>
      <c r="K537" s="100">
        <f t="shared" si="168"/>
        <v>0</v>
      </c>
      <c r="L537" s="100">
        <f t="shared" si="168"/>
        <v>0</v>
      </c>
      <c r="M537" s="121">
        <f t="shared" si="168"/>
        <v>0</v>
      </c>
    </row>
    <row r="538" spans="1:13" s="523" customFormat="1" ht="12.75" customHeight="1" x14ac:dyDescent="0.25">
      <c r="A538" s="490">
        <v>5442</v>
      </c>
      <c r="B538" s="488"/>
      <c r="C538" s="82" t="s">
        <v>526</v>
      </c>
      <c r="D538" s="82"/>
      <c r="E538" s="100">
        <f>IF((E536-E537)&gt;0,E536-E537,0)</f>
        <v>0</v>
      </c>
      <c r="F538" s="100"/>
      <c r="G538" s="100">
        <f>IF((G536-G537)&gt;0,G536-G537,0)</f>
        <v>0</v>
      </c>
      <c r="H538" s="100">
        <f t="shared" ref="H538:M538" si="169">IF((H536-H537)&gt;0,H536-H537,0)</f>
        <v>0</v>
      </c>
      <c r="I538" s="100">
        <f t="shared" si="169"/>
        <v>0</v>
      </c>
      <c r="J538" s="100">
        <f t="shared" si="169"/>
        <v>0</v>
      </c>
      <c r="K538" s="100">
        <f t="shared" si="169"/>
        <v>0</v>
      </c>
      <c r="L538" s="100">
        <f t="shared" si="169"/>
        <v>0</v>
      </c>
      <c r="M538" s="121">
        <f t="shared" si="169"/>
        <v>0</v>
      </c>
    </row>
    <row r="539" spans="1:13" s="523" customFormat="1" ht="12.75" customHeight="1" x14ac:dyDescent="0.25">
      <c r="A539" s="490">
        <v>5443</v>
      </c>
      <c r="B539" s="488"/>
      <c r="C539" s="82" t="s">
        <v>527</v>
      </c>
      <c r="D539" s="82"/>
      <c r="E539" s="100">
        <f>IF((E537-E536)&gt;0,E537-E536,0)</f>
        <v>0</v>
      </c>
      <c r="F539" s="100"/>
      <c r="G539" s="100">
        <f>IF((G537-G536)&gt;0,G537-G536,0)</f>
        <v>0</v>
      </c>
      <c r="H539" s="100">
        <f t="shared" ref="H539:M539" si="170">IF((H537-H536)&gt;0,H537-H536,0)</f>
        <v>0</v>
      </c>
      <c r="I539" s="100">
        <f t="shared" si="170"/>
        <v>0</v>
      </c>
      <c r="J539" s="100">
        <f t="shared" si="170"/>
        <v>0</v>
      </c>
      <c r="K539" s="100">
        <f t="shared" si="170"/>
        <v>0</v>
      </c>
      <c r="L539" s="100">
        <f t="shared" si="170"/>
        <v>0</v>
      </c>
      <c r="M539" s="121">
        <f t="shared" si="170"/>
        <v>0</v>
      </c>
    </row>
    <row r="540" spans="1:13" s="523" customFormat="1" ht="12.75" customHeight="1" x14ac:dyDescent="0.25">
      <c r="A540" s="490">
        <v>5444</v>
      </c>
      <c r="B540" s="488"/>
      <c r="C540" s="82" t="s">
        <v>528</v>
      </c>
      <c r="D540" s="82"/>
      <c r="E540" s="100">
        <f t="shared" ref="E540:M540" si="171">IF(E211-E524&gt;0,E211-E524,0)</f>
        <v>279</v>
      </c>
      <c r="F540" s="100"/>
      <c r="G540" s="100">
        <f t="shared" si="171"/>
        <v>0</v>
      </c>
      <c r="H540" s="100">
        <f t="shared" si="171"/>
        <v>0</v>
      </c>
      <c r="I540" s="100">
        <f t="shared" si="171"/>
        <v>0</v>
      </c>
      <c r="J540" s="100">
        <f t="shared" si="171"/>
        <v>0</v>
      </c>
      <c r="K540" s="100">
        <f t="shared" si="171"/>
        <v>0</v>
      </c>
      <c r="L540" s="100">
        <f t="shared" si="171"/>
        <v>0</v>
      </c>
      <c r="M540" s="121">
        <f t="shared" si="171"/>
        <v>0</v>
      </c>
    </row>
    <row r="541" spans="1:13" s="523" customFormat="1" ht="12.75" customHeight="1" thickBot="1" x14ac:dyDescent="0.3">
      <c r="A541" s="267">
        <v>5445</v>
      </c>
      <c r="B541" s="87"/>
      <c r="C541" s="89" t="s">
        <v>529</v>
      </c>
      <c r="D541" s="250">
        <f t="shared" ref="D541:M541" si="172">IF(D524-D211&gt;0,D524-D211,0)</f>
        <v>69627</v>
      </c>
      <c r="E541" s="113">
        <f t="shared" si="172"/>
        <v>0</v>
      </c>
      <c r="F541" s="113">
        <f t="shared" si="172"/>
        <v>69348</v>
      </c>
      <c r="G541" s="113">
        <f t="shared" si="172"/>
        <v>7426</v>
      </c>
      <c r="H541" s="113">
        <f t="shared" si="172"/>
        <v>212</v>
      </c>
      <c r="I541" s="113">
        <f t="shared" si="172"/>
        <v>0</v>
      </c>
      <c r="J541" s="113">
        <f t="shared" si="172"/>
        <v>5866</v>
      </c>
      <c r="K541" s="113">
        <f t="shared" si="172"/>
        <v>1005</v>
      </c>
      <c r="L541" s="113">
        <f t="shared" si="172"/>
        <v>0</v>
      </c>
      <c r="M541" s="123">
        <f t="shared" si="172"/>
        <v>343</v>
      </c>
    </row>
  </sheetData>
  <mergeCells count="197">
    <mergeCell ref="G528:M528"/>
    <mergeCell ref="G529:G530"/>
    <mergeCell ref="H529:K529"/>
    <mergeCell ref="L529:L530"/>
    <mergeCell ref="M529:M530"/>
    <mergeCell ref="A528:A530"/>
    <mergeCell ref="B528:B530"/>
    <mergeCell ref="C528:C530"/>
    <mergeCell ref="D528:D530"/>
    <mergeCell ref="E528:E530"/>
    <mergeCell ref="F528:F530"/>
    <mergeCell ref="A501:A503"/>
    <mergeCell ref="B501:B503"/>
    <mergeCell ref="C501:C503"/>
    <mergeCell ref="E501:E503"/>
    <mergeCell ref="G501:M501"/>
    <mergeCell ref="G502:G503"/>
    <mergeCell ref="H502:K502"/>
    <mergeCell ref="L502:L503"/>
    <mergeCell ref="M502:M503"/>
    <mergeCell ref="A474:A476"/>
    <mergeCell ref="B474:B476"/>
    <mergeCell ref="C474:C476"/>
    <mergeCell ref="E474:E476"/>
    <mergeCell ref="G474:M474"/>
    <mergeCell ref="G475:G476"/>
    <mergeCell ref="H475:K475"/>
    <mergeCell ref="L475:L476"/>
    <mergeCell ref="M475:M476"/>
    <mergeCell ref="A446:A448"/>
    <mergeCell ref="B446:B448"/>
    <mergeCell ref="C446:C448"/>
    <mergeCell ref="E446:E448"/>
    <mergeCell ref="G446:M446"/>
    <mergeCell ref="G447:G448"/>
    <mergeCell ref="H447:K447"/>
    <mergeCell ref="L447:L448"/>
    <mergeCell ref="M447:M448"/>
    <mergeCell ref="A411:A413"/>
    <mergeCell ref="B411:B413"/>
    <mergeCell ref="C411:C413"/>
    <mergeCell ref="E411:E413"/>
    <mergeCell ref="G411:M411"/>
    <mergeCell ref="G412:G413"/>
    <mergeCell ref="H412:K412"/>
    <mergeCell ref="L412:L413"/>
    <mergeCell ref="M412:M413"/>
    <mergeCell ref="A383:A385"/>
    <mergeCell ref="B383:B385"/>
    <mergeCell ref="C383:C385"/>
    <mergeCell ref="E383:E385"/>
    <mergeCell ref="G383:M383"/>
    <mergeCell ref="G384:G385"/>
    <mergeCell ref="H384:K384"/>
    <mergeCell ref="L384:L385"/>
    <mergeCell ref="M384:M385"/>
    <mergeCell ref="A358:A360"/>
    <mergeCell ref="B358:B360"/>
    <mergeCell ref="C358:C360"/>
    <mergeCell ref="E358:E360"/>
    <mergeCell ref="G358:M358"/>
    <mergeCell ref="G359:G360"/>
    <mergeCell ref="H359:K359"/>
    <mergeCell ref="L359:L360"/>
    <mergeCell ref="M359:M360"/>
    <mergeCell ref="A332:A334"/>
    <mergeCell ref="B332:B334"/>
    <mergeCell ref="C332:C334"/>
    <mergeCell ref="E332:E334"/>
    <mergeCell ref="G332:M332"/>
    <mergeCell ref="G333:G334"/>
    <mergeCell ref="H333:K333"/>
    <mergeCell ref="L333:L334"/>
    <mergeCell ref="M333:M334"/>
    <mergeCell ref="A302:A304"/>
    <mergeCell ref="B302:B304"/>
    <mergeCell ref="C302:C304"/>
    <mergeCell ref="E302:E304"/>
    <mergeCell ref="G302:M302"/>
    <mergeCell ref="G303:G304"/>
    <mergeCell ref="H303:K303"/>
    <mergeCell ref="L303:L304"/>
    <mergeCell ref="M303:M304"/>
    <mergeCell ref="A271:A273"/>
    <mergeCell ref="B271:B273"/>
    <mergeCell ref="C271:C273"/>
    <mergeCell ref="E271:E273"/>
    <mergeCell ref="G271:M271"/>
    <mergeCell ref="G272:G273"/>
    <mergeCell ref="H272:K272"/>
    <mergeCell ref="L272:L273"/>
    <mergeCell ref="M272:M273"/>
    <mergeCell ref="A235:A237"/>
    <mergeCell ref="B235:B237"/>
    <mergeCell ref="C235:C237"/>
    <mergeCell ref="E235:E237"/>
    <mergeCell ref="G235:M235"/>
    <mergeCell ref="G236:G237"/>
    <mergeCell ref="H236:K236"/>
    <mergeCell ref="L236:L237"/>
    <mergeCell ref="M236:M237"/>
    <mergeCell ref="G216:M216"/>
    <mergeCell ref="N216:N218"/>
    <mergeCell ref="G217:G218"/>
    <mergeCell ref="H217:K217"/>
    <mergeCell ref="L217:L218"/>
    <mergeCell ref="M217:M218"/>
    <mergeCell ref="A216:A218"/>
    <mergeCell ref="B216:B218"/>
    <mergeCell ref="C216:C218"/>
    <mergeCell ref="D216:D218"/>
    <mergeCell ref="E216:E218"/>
    <mergeCell ref="F216:F218"/>
    <mergeCell ref="A204:A206"/>
    <mergeCell ref="B204:B206"/>
    <mergeCell ref="C204:C206"/>
    <mergeCell ref="E204:E206"/>
    <mergeCell ref="G204:M204"/>
    <mergeCell ref="G205:G206"/>
    <mergeCell ref="H205:K205"/>
    <mergeCell ref="L205:L206"/>
    <mergeCell ref="M205:M206"/>
    <mergeCell ref="A182:A184"/>
    <mergeCell ref="B182:B184"/>
    <mergeCell ref="C182:C184"/>
    <mergeCell ref="E182:E184"/>
    <mergeCell ref="G182:M182"/>
    <mergeCell ref="G183:G184"/>
    <mergeCell ref="H183:K183"/>
    <mergeCell ref="L183:L184"/>
    <mergeCell ref="M183:M184"/>
    <mergeCell ref="A156:A158"/>
    <mergeCell ref="B156:B158"/>
    <mergeCell ref="C156:C158"/>
    <mergeCell ref="E156:E158"/>
    <mergeCell ref="G156:M156"/>
    <mergeCell ref="G157:G158"/>
    <mergeCell ref="H157:K157"/>
    <mergeCell ref="L157:L158"/>
    <mergeCell ref="M157:M158"/>
    <mergeCell ref="A129:A131"/>
    <mergeCell ref="B129:B131"/>
    <mergeCell ref="C129:C131"/>
    <mergeCell ref="E129:E131"/>
    <mergeCell ref="G129:M129"/>
    <mergeCell ref="G130:G131"/>
    <mergeCell ref="H130:K130"/>
    <mergeCell ref="L130:L131"/>
    <mergeCell ref="M130:M131"/>
    <mergeCell ref="A103:A105"/>
    <mergeCell ref="B103:B105"/>
    <mergeCell ref="C103:C105"/>
    <mergeCell ref="E103:E105"/>
    <mergeCell ref="G103:M103"/>
    <mergeCell ref="G104:G105"/>
    <mergeCell ref="H104:K104"/>
    <mergeCell ref="L104:L105"/>
    <mergeCell ref="M104:M105"/>
    <mergeCell ref="A73:A75"/>
    <mergeCell ref="B73:B75"/>
    <mergeCell ref="C73:C75"/>
    <mergeCell ref="E73:E75"/>
    <mergeCell ref="G73:M73"/>
    <mergeCell ref="G74:G75"/>
    <mergeCell ref="H74:K74"/>
    <mergeCell ref="L74:L75"/>
    <mergeCell ref="M74:M75"/>
    <mergeCell ref="A46:A48"/>
    <mergeCell ref="B46:B48"/>
    <mergeCell ref="C46:C48"/>
    <mergeCell ref="E46:E48"/>
    <mergeCell ref="G46:M46"/>
    <mergeCell ref="G47:G48"/>
    <mergeCell ref="H47:K47"/>
    <mergeCell ref="L47:L48"/>
    <mergeCell ref="M47:M48"/>
    <mergeCell ref="A14:A16"/>
    <mergeCell ref="B14:B16"/>
    <mergeCell ref="C14:C16"/>
    <mergeCell ref="E14:E16"/>
    <mergeCell ref="G14:M14"/>
    <mergeCell ref="G15:G16"/>
    <mergeCell ref="H15:K15"/>
    <mergeCell ref="L15:L16"/>
    <mergeCell ref="M15:M16"/>
    <mergeCell ref="G5:M5"/>
    <mergeCell ref="N5:N7"/>
    <mergeCell ref="G6:G7"/>
    <mergeCell ref="H6:K6"/>
    <mergeCell ref="L6:L7"/>
    <mergeCell ref="M6:M7"/>
    <mergeCell ref="A5:A7"/>
    <mergeCell ref="B5:B7"/>
    <mergeCell ref="C5:C7"/>
    <mergeCell ref="D5:D7"/>
    <mergeCell ref="E5:E7"/>
    <mergeCell ref="F5:F7"/>
  </mergeCells>
  <dataValidations count="1">
    <dataValidation type="whole" allowBlank="1" showErrorMessage="1" errorTitle="Upozorenje" error="Niste uneli korektnu vrednost!_x000a_Ponovite unos." sqref="E9:M13 E220:M234 G275:M301 E275:E301 G239:M270 E239:E270 G107:M128 E107:E128 G77:M102 E77:E102 E415:M445 E387:M410 E450:M473 E478:M500 E362:M382 E336:M357 E306:M331 E505:M524 F77:F128 E186:M203 E160:M181 E133:M155 E50:M72 E18:M45 F235:F301 E208:M211">
      <formula1>0</formula1>
      <formula2>999999999</formula2>
    </dataValidation>
  </dataValidations>
  <pageMargins left="0.16" right="0.16" top="0.56999999999999995" bottom="0.26" header="0.22" footer="0.3"/>
  <pageSetup paperSize="9" scale="9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549"/>
  <sheetViews>
    <sheetView topLeftCell="B210" workbookViewId="0">
      <selection activeCell="B137" sqref="A1:XFD1048576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10.42578125" style="12" customWidth="1"/>
    <col min="7" max="7" width="1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7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2" width="0" style="12" hidden="1" customWidth="1"/>
    <col min="23" max="23" width="4.85546875" style="12" customWidth="1"/>
    <col min="24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1639334</v>
      </c>
      <c r="G6" s="19">
        <f t="shared" ref="G6:Q6" si="0">G7+G133</f>
        <v>3027938</v>
      </c>
      <c r="H6" s="19">
        <f t="shared" si="0"/>
        <v>26000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1599334</v>
      </c>
      <c r="N6" s="19">
        <f t="shared" si="0"/>
        <v>1398192</v>
      </c>
      <c r="O6" s="19">
        <f t="shared" si="0"/>
        <v>0</v>
      </c>
      <c r="P6" s="19">
        <f t="shared" si="0"/>
        <v>13000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1639134</v>
      </c>
      <c r="G7" s="19">
        <f>G8+G60+G74+G86+G115+G122+G126</f>
        <v>3027754</v>
      </c>
      <c r="H7" s="19">
        <f t="shared" ref="H7:Q7" si="1">H8+H60+H74+H86+H115+H122+H126</f>
        <v>26000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1599334</v>
      </c>
      <c r="N7" s="19">
        <f t="shared" si="1"/>
        <v>1398192</v>
      </c>
      <c r="O7" s="19">
        <f t="shared" si="1"/>
        <v>0</v>
      </c>
      <c r="P7" s="19">
        <f t="shared" si="1"/>
        <v>12800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15300</v>
      </c>
      <c r="G86" s="19">
        <f t="shared" ref="G86:Q86" si="21">G87+G94+G99+G110+G113</f>
        <v>14780</v>
      </c>
      <c r="H86" s="19">
        <f>H87+H94+H99+H110+H113</f>
        <v>1000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f>M87+M94+M120</f>
        <v>1500</v>
      </c>
      <c r="N86" s="19">
        <f t="shared" si="21"/>
        <v>1130</v>
      </c>
      <c r="O86" s="19">
        <f t="shared" si="21"/>
        <v>0</v>
      </c>
      <c r="P86" s="19">
        <f>P87+P94+P99+P110+P113+P120</f>
        <v>12800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1500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1500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1500</v>
      </c>
      <c r="G91" s="37">
        <f>SUM(I91:Q91)-K91-M91-P91</f>
        <v>1130</v>
      </c>
      <c r="H91" s="37"/>
      <c r="I91" s="38"/>
      <c r="J91" s="38"/>
      <c r="K91" s="38"/>
      <c r="L91" s="38"/>
      <c r="M91" s="38">
        <v>1500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1000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12700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1000</v>
      </c>
      <c r="I97" s="36">
        <v>1165</v>
      </c>
      <c r="J97" s="36"/>
      <c r="K97" s="36"/>
      <c r="L97" s="36"/>
      <c r="M97" s="36"/>
      <c r="N97" s="36"/>
      <c r="O97" s="36"/>
      <c r="P97" s="36">
        <v>7700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22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22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22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22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22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22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22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22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2994896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22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22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1597834</v>
      </c>
      <c r="G122" s="19">
        <f t="shared" ref="G122:Q122" si="33">G123</f>
        <v>2994896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1597834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22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1597834</v>
      </c>
      <c r="G123" s="19">
        <f t="shared" ref="G123:Q123" si="34">G124+G125</f>
        <v>2994896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1597834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22" ht="28.5" x14ac:dyDescent="0.4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1597834</v>
      </c>
      <c r="G124" s="37">
        <f>SUM(I124:Q124)</f>
        <v>2994896</v>
      </c>
      <c r="H124" s="37"/>
      <c r="I124" s="36"/>
      <c r="J124" s="36"/>
      <c r="K124" s="36"/>
      <c r="L124" s="36"/>
      <c r="M124" s="36">
        <v>1597834</v>
      </c>
      <c r="N124" s="36">
        <v>1397062</v>
      </c>
      <c r="O124" s="36"/>
      <c r="P124" s="36"/>
      <c r="Q124" s="72"/>
      <c r="V124" s="388" t="s">
        <v>538</v>
      </c>
    </row>
    <row r="125" spans="1:22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22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26000</v>
      </c>
      <c r="G126" s="19">
        <f t="shared" ref="G126:Q126" si="36">G127</f>
        <v>18078</v>
      </c>
      <c r="H126" s="19">
        <f>H127</f>
        <v>25000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22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26000</v>
      </c>
      <c r="G127" s="19">
        <f t="shared" ref="G127:Q127" si="37">G132</f>
        <v>18078</v>
      </c>
      <c r="H127" s="19">
        <f t="shared" si="37"/>
        <v>25000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22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22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22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22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22" ht="26.25" x14ac:dyDescent="0.4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26000</v>
      </c>
      <c r="G132" s="389">
        <f>SUM(I132:Q132)-K132-M132-P132</f>
        <v>18078</v>
      </c>
      <c r="H132" s="389">
        <v>25000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  <c r="V132" s="388" t="s">
        <v>538</v>
      </c>
    </row>
    <row r="133" spans="1:22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22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>K135+K137+K139</f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22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22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22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22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22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22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22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22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22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22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1639334</v>
      </c>
      <c r="G210" s="42">
        <f t="shared" si="61"/>
        <v>3027938</v>
      </c>
      <c r="H210" s="42">
        <f t="shared" si="61"/>
        <v>26000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1599334</v>
      </c>
      <c r="N210" s="42">
        <f t="shared" si="61"/>
        <v>1398192</v>
      </c>
      <c r="O210" s="42">
        <f t="shared" si="61"/>
        <v>0</v>
      </c>
      <c r="P210" s="42">
        <f t="shared" si="61"/>
        <v>13000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1639055</v>
      </c>
      <c r="G219" s="19">
        <f t="shared" si="62"/>
        <v>1138166</v>
      </c>
      <c r="H219" s="19">
        <f t="shared" si="62"/>
        <v>26000</v>
      </c>
      <c r="I219" s="19">
        <f t="shared" si="62"/>
        <v>1577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1599334</v>
      </c>
      <c r="N219" s="19">
        <f t="shared" si="62"/>
        <v>1125638</v>
      </c>
      <c r="O219" s="19">
        <f t="shared" si="62"/>
        <v>0</v>
      </c>
      <c r="P219" s="19">
        <f t="shared" si="62"/>
        <v>12721</v>
      </c>
      <c r="Q219" s="19">
        <f t="shared" si="62"/>
        <v>9668</v>
      </c>
      <c r="R219" s="44">
        <f>H219+K219+M219+P219</f>
        <v>1639055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1611726</v>
      </c>
      <c r="G220" s="19">
        <f t="shared" ref="G220:Q220" si="63">G221+G247+G314+G333+G361+G374+G394+G413</f>
        <v>1134903</v>
      </c>
      <c r="H220" s="19">
        <f t="shared" si="63"/>
        <v>1000</v>
      </c>
      <c r="I220" s="19">
        <f t="shared" si="63"/>
        <v>127</v>
      </c>
      <c r="J220" s="19">
        <f t="shared" si="63"/>
        <v>0</v>
      </c>
      <c r="K220" s="19">
        <f t="shared" si="63"/>
        <v>0</v>
      </c>
      <c r="L220" s="19">
        <f t="shared" si="63"/>
        <v>1273</v>
      </c>
      <c r="M220" s="19">
        <f t="shared" si="63"/>
        <v>1599334</v>
      </c>
      <c r="N220" s="19">
        <f t="shared" si="63"/>
        <v>1125638</v>
      </c>
      <c r="O220" s="19">
        <f t="shared" si="63"/>
        <v>0</v>
      </c>
      <c r="P220" s="19">
        <f t="shared" si="63"/>
        <v>11392</v>
      </c>
      <c r="Q220" s="19">
        <f t="shared" si="63"/>
        <v>7855</v>
      </c>
      <c r="R220" s="44">
        <f>F220+F434</f>
        <v>1639055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1216506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1212877</v>
      </c>
      <c r="N221" s="19">
        <f t="shared" si="64"/>
        <v>1025065</v>
      </c>
      <c r="O221" s="19">
        <f t="shared" si="64"/>
        <v>0</v>
      </c>
      <c r="P221" s="19">
        <f t="shared" si="64"/>
        <v>3629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1010985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1008061</v>
      </c>
      <c r="N222" s="19">
        <f t="shared" si="65"/>
        <v>849796</v>
      </c>
      <c r="O222" s="19">
        <f t="shared" si="65"/>
        <v>0</v>
      </c>
      <c r="P222" s="19">
        <f t="shared" si="65"/>
        <v>2924</v>
      </c>
      <c r="Q222" s="19">
        <f t="shared" si="65"/>
        <v>1989</v>
      </c>
    </row>
    <row r="223" spans="1:18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1010985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1008061</v>
      </c>
      <c r="N223" s="36">
        <f>851785-1989</f>
        <v>849796</v>
      </c>
      <c r="O223" s="36"/>
      <c r="P223" s="36">
        <v>2924</v>
      </c>
      <c r="Q223" s="36">
        <v>1989</v>
      </c>
      <c r="R223" s="44">
        <f>M223+P223</f>
        <v>1010985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153194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152721</v>
      </c>
      <c r="N224" s="19">
        <f t="shared" si="66"/>
        <v>141535</v>
      </c>
      <c r="O224" s="19">
        <f t="shared" si="66"/>
        <v>0</v>
      </c>
      <c r="P224" s="19">
        <f t="shared" si="66"/>
        <v>473</v>
      </c>
      <c r="Q224" s="19">
        <f t="shared" si="66"/>
        <v>331</v>
      </c>
    </row>
    <row r="225" spans="1:22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101128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100806</v>
      </c>
      <c r="N225" s="36">
        <f>97986-229</f>
        <v>97757</v>
      </c>
      <c r="O225" s="36"/>
      <c r="P225" s="36">
        <v>322</v>
      </c>
      <c r="Q225" s="36">
        <v>229</v>
      </c>
    </row>
    <row r="226" spans="1:22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52066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51915</v>
      </c>
      <c r="N226" s="36">
        <f>43880-102</f>
        <v>43778</v>
      </c>
      <c r="O226" s="36"/>
      <c r="P226" s="36">
        <v>151</v>
      </c>
      <c r="Q226" s="36">
        <v>102</v>
      </c>
    </row>
    <row r="227" spans="1:22" ht="15" hidden="1" customHeight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22" ht="15" hidden="1" customHeight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22" ht="15" hidden="1" customHeight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22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9632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9400</v>
      </c>
      <c r="N230" s="19">
        <f t="shared" si="69"/>
        <v>4959</v>
      </c>
      <c r="O230" s="19">
        <f t="shared" si="69"/>
        <v>0</v>
      </c>
      <c r="P230" s="19">
        <f t="shared" si="69"/>
        <v>232</v>
      </c>
      <c r="Q230" s="19">
        <f t="shared" si="69"/>
        <v>280</v>
      </c>
    </row>
    <row r="231" spans="1:22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22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22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8432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v>8200</v>
      </c>
      <c r="N233" s="36">
        <v>3654</v>
      </c>
      <c r="O233" s="36"/>
      <c r="P233" s="36">
        <v>232</v>
      </c>
      <c r="Q233" s="36">
        <v>280</v>
      </c>
    </row>
    <row r="234" spans="1:22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22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22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22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22" ht="54" x14ac:dyDescent="0.4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1200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1200</v>
      </c>
      <c r="N238" s="36">
        <v>1305</v>
      </c>
      <c r="O238" s="36"/>
      <c r="P238" s="36"/>
      <c r="Q238" s="36"/>
      <c r="V238" s="388" t="s">
        <v>538</v>
      </c>
    </row>
    <row r="239" spans="1:22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28788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28788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22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28788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28788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13907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13907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13907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13907</v>
      </c>
      <c r="N242" s="36">
        <v>9143</v>
      </c>
      <c r="O242" s="36"/>
      <c r="P242" s="36"/>
      <c r="Q242" s="36"/>
    </row>
    <row r="243" spans="1:18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384240</v>
      </c>
      <c r="G247" s="19">
        <f t="shared" si="74"/>
        <v>99459</v>
      </c>
      <c r="H247" s="19">
        <f t="shared" si="74"/>
        <v>1000</v>
      </c>
      <c r="I247" s="19">
        <f t="shared" si="74"/>
        <v>127</v>
      </c>
      <c r="J247" s="19">
        <f t="shared" si="74"/>
        <v>0</v>
      </c>
      <c r="K247" s="19">
        <f t="shared" si="74"/>
        <v>0</v>
      </c>
      <c r="L247" s="19">
        <f t="shared" si="74"/>
        <v>1273</v>
      </c>
      <c r="M247" s="19">
        <f t="shared" si="74"/>
        <v>376377</v>
      </c>
      <c r="N247" s="19">
        <f t="shared" si="74"/>
        <v>93155</v>
      </c>
      <c r="O247" s="19">
        <f t="shared" si="74"/>
        <v>0</v>
      </c>
      <c r="P247" s="19">
        <f t="shared" si="74"/>
        <v>6863</v>
      </c>
      <c r="Q247" s="19">
        <f t="shared" si="74"/>
        <v>4904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117092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115962</v>
      </c>
      <c r="N248" s="19">
        <f t="shared" si="75"/>
        <v>80545</v>
      </c>
      <c r="O248" s="19">
        <f t="shared" si="75"/>
        <v>0</v>
      </c>
      <c r="P248" s="19">
        <f t="shared" si="75"/>
        <v>1130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1580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1500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98556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v>98306</v>
      </c>
      <c r="N250" s="36">
        <v>65188</v>
      </c>
      <c r="O250" s="36"/>
      <c r="P250" s="36">
        <v>250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11740</v>
      </c>
      <c r="G251" s="37">
        <f t="shared" si="76"/>
        <v>9465</v>
      </c>
      <c r="H251" s="37"/>
      <c r="I251" s="36"/>
      <c r="J251" s="36"/>
      <c r="K251" s="36"/>
      <c r="L251" s="36"/>
      <c r="M251" s="36">
        <f>11500-360</f>
        <v>11140</v>
      </c>
      <c r="N251" s="36">
        <v>9410</v>
      </c>
      <c r="O251" s="36"/>
      <c r="P251" s="36">
        <v>600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2016</v>
      </c>
      <c r="G252" s="37">
        <f t="shared" si="76"/>
        <v>2113</v>
      </c>
      <c r="H252" s="37"/>
      <c r="I252" s="36"/>
      <c r="J252" s="36"/>
      <c r="K252" s="36"/>
      <c r="L252" s="36"/>
      <c r="M252" s="36">
        <v>2016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3200</v>
      </c>
      <c r="G253" s="37">
        <f t="shared" si="76"/>
        <v>2612</v>
      </c>
      <c r="H253" s="37"/>
      <c r="I253" s="36"/>
      <c r="J253" s="36"/>
      <c r="K253" s="36"/>
      <c r="L253" s="36"/>
      <c r="M253" s="36">
        <v>3000</v>
      </c>
      <c r="N253" s="36">
        <v>2591</v>
      </c>
      <c r="O253" s="36"/>
      <c r="P253" s="36">
        <v>200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624</v>
      </c>
      <c r="G256" s="19">
        <f t="shared" si="77"/>
        <v>451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184</v>
      </c>
      <c r="N256" s="19">
        <f t="shared" si="77"/>
        <v>0</v>
      </c>
      <c r="O256" s="19">
        <f t="shared" si="77"/>
        <v>0</v>
      </c>
      <c r="P256" s="19">
        <f t="shared" si="77"/>
        <v>440</v>
      </c>
      <c r="Q256" s="19">
        <f t="shared" si="77"/>
        <v>451</v>
      </c>
    </row>
    <row r="257" spans="1:24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624</v>
      </c>
      <c r="G257" s="37">
        <f t="shared" ref="G257" si="78">SUM(I257:Q257)-K257-M257-P257</f>
        <v>451</v>
      </c>
      <c r="H257" s="37"/>
      <c r="I257" s="36"/>
      <c r="J257" s="36"/>
      <c r="K257" s="36"/>
      <c r="L257" s="36"/>
      <c r="M257" s="36">
        <v>184</v>
      </c>
      <c r="N257" s="36"/>
      <c r="O257" s="36"/>
      <c r="P257" s="36">
        <v>440</v>
      </c>
      <c r="Q257" s="36">
        <v>451</v>
      </c>
    </row>
    <row r="258" spans="1:24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24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24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24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24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9869</v>
      </c>
      <c r="G262" s="19">
        <f t="shared" si="79"/>
        <v>70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7274</v>
      </c>
      <c r="N262" s="19">
        <f t="shared" si="79"/>
        <v>0</v>
      </c>
      <c r="O262" s="19">
        <f t="shared" si="79"/>
        <v>0</v>
      </c>
      <c r="P262" s="19">
        <f t="shared" si="79"/>
        <v>2595</v>
      </c>
      <c r="Q262" s="19">
        <f t="shared" si="79"/>
        <v>70</v>
      </c>
    </row>
    <row r="263" spans="1:24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24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3852</v>
      </c>
      <c r="G264" s="37">
        <f t="shared" ref="G264" si="80">SUM(I264:Q264)-K264-M264-P264</f>
        <v>70</v>
      </c>
      <c r="H264" s="37"/>
      <c r="I264" s="36"/>
      <c r="J264" s="36"/>
      <c r="K264" s="36"/>
      <c r="L264" s="36"/>
      <c r="M264" s="36">
        <f>3900-48</f>
        <v>3852</v>
      </c>
      <c r="N264" s="36"/>
      <c r="O264" s="36"/>
      <c r="P264" s="36"/>
      <c r="Q264" s="36">
        <v>70</v>
      </c>
    </row>
    <row r="265" spans="1:24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3772</v>
      </c>
      <c r="G265" s="37"/>
      <c r="H265" s="37"/>
      <c r="I265" s="36"/>
      <c r="J265" s="36"/>
      <c r="K265" s="36"/>
      <c r="L265" s="36"/>
      <c r="M265" s="36">
        <f>2800+522</f>
        <v>3322</v>
      </c>
      <c r="N265" s="36"/>
      <c r="O265" s="36"/>
      <c r="P265" s="36">
        <f>900-522+72</f>
        <v>450</v>
      </c>
      <c r="Q265" s="36"/>
      <c r="X265" s="12" t="s">
        <v>557</v>
      </c>
    </row>
    <row r="266" spans="1:24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100</v>
      </c>
      <c r="G266" s="37"/>
      <c r="H266" s="37"/>
      <c r="I266" s="36"/>
      <c r="J266" s="36"/>
      <c r="K266" s="36"/>
      <c r="L266" s="36"/>
      <c r="M266" s="36">
        <v>100</v>
      </c>
      <c r="N266" s="36"/>
      <c r="O266" s="36"/>
      <c r="P266" s="36"/>
      <c r="Q266" s="36"/>
    </row>
    <row r="267" spans="1:24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1667</v>
      </c>
      <c r="G267" s="37"/>
      <c r="H267" s="37"/>
      <c r="I267" s="36"/>
      <c r="J267" s="36"/>
      <c r="K267" s="36"/>
      <c r="L267" s="36"/>
      <c r="M267" s="36"/>
      <c r="N267" s="36"/>
      <c r="O267" s="36"/>
      <c r="P267" s="36">
        <v>1667</v>
      </c>
      <c r="Q267" s="36"/>
    </row>
    <row r="268" spans="1:24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/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24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/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/>
    </row>
    <row r="270" spans="1:24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/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24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/>
      <c r="H271" s="476"/>
      <c r="I271" s="544"/>
      <c r="J271" s="545"/>
      <c r="K271" s="545"/>
      <c r="L271" s="545"/>
      <c r="M271" s="545"/>
      <c r="N271" s="545"/>
      <c r="O271" s="544"/>
      <c r="P271" s="476"/>
      <c r="Q271" s="544"/>
    </row>
    <row r="272" spans="1:24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/>
      <c r="J272" s="476"/>
      <c r="K272" s="476"/>
      <c r="L272" s="476"/>
      <c r="M272" s="476"/>
      <c r="N272" s="476"/>
      <c r="O272" s="545"/>
      <c r="P272" s="477"/>
      <c r="Q272" s="545"/>
    </row>
    <row r="273" spans="1:22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</row>
    <row r="274" spans="1:22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278</v>
      </c>
      <c r="G274" s="37"/>
      <c r="H274" s="37"/>
      <c r="I274" s="36"/>
      <c r="J274" s="36"/>
      <c r="K274" s="36"/>
      <c r="L274" s="36"/>
      <c r="M274" s="36"/>
      <c r="N274" s="36"/>
      <c r="O274" s="36"/>
      <c r="P274" s="36">
        <v>278</v>
      </c>
      <c r="Q274" s="36"/>
    </row>
    <row r="275" spans="1:22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1">SUM(F276:F282)</f>
        <v>3602</v>
      </c>
      <c r="G275" s="19">
        <f t="shared" si="81"/>
        <v>450</v>
      </c>
      <c r="H275" s="19">
        <f t="shared" si="81"/>
        <v>0</v>
      </c>
      <c r="I275" s="19">
        <f t="shared" si="81"/>
        <v>0</v>
      </c>
      <c r="J275" s="19">
        <f t="shared" si="81"/>
        <v>0</v>
      </c>
      <c r="K275" s="19">
        <f t="shared" si="81"/>
        <v>0</v>
      </c>
      <c r="L275" s="19">
        <f t="shared" si="81"/>
        <v>0</v>
      </c>
      <c r="M275" s="19">
        <f t="shared" si="81"/>
        <v>3276</v>
      </c>
      <c r="N275" s="19">
        <f t="shared" si="81"/>
        <v>0</v>
      </c>
      <c r="O275" s="19">
        <f t="shared" si="81"/>
        <v>0</v>
      </c>
      <c r="P275" s="19">
        <f t="shared" si="81"/>
        <v>326</v>
      </c>
      <c r="Q275" s="19">
        <f t="shared" si="81"/>
        <v>450</v>
      </c>
    </row>
    <row r="276" spans="1:22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2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2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1400</v>
      </c>
      <c r="G278" s="37">
        <f t="shared" ref="G278" si="82">SUM(I278:Q278)-K278-M278-P278</f>
        <v>109</v>
      </c>
      <c r="H278" s="37"/>
      <c r="I278" s="36"/>
      <c r="J278" s="36"/>
      <c r="K278" s="36"/>
      <c r="L278" s="36"/>
      <c r="M278" s="36">
        <v>1400</v>
      </c>
      <c r="N278" s="36"/>
      <c r="O278" s="36"/>
      <c r="P278" s="36"/>
      <c r="Q278" s="36">
        <v>109</v>
      </c>
      <c r="R278" s="47"/>
      <c r="T278" s="47"/>
    </row>
    <row r="279" spans="1:22" ht="15" hidden="1" customHeight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2" ht="26.25" hidden="1" customHeight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2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342</v>
      </c>
      <c r="G281" s="37">
        <f t="shared" ref="G281:G282" si="83">SUM(I281:Q281)-K281-M281-P281</f>
        <v>51</v>
      </c>
      <c r="H281" s="37"/>
      <c r="I281" s="36"/>
      <c r="J281" s="36"/>
      <c r="K281" s="36"/>
      <c r="L281" s="36"/>
      <c r="M281" s="36">
        <f>300-72</f>
        <v>228</v>
      </c>
      <c r="N281" s="36"/>
      <c r="O281" s="36"/>
      <c r="P281" s="36">
        <v>114</v>
      </c>
      <c r="Q281" s="36">
        <v>51</v>
      </c>
    </row>
    <row r="282" spans="1:22" ht="23.25" x14ac:dyDescent="0.3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1860</v>
      </c>
      <c r="G282" s="37">
        <f t="shared" si="83"/>
        <v>290</v>
      </c>
      <c r="H282" s="37"/>
      <c r="I282" s="36"/>
      <c r="J282" s="36"/>
      <c r="K282" s="36"/>
      <c r="L282" s="36"/>
      <c r="M282" s="36">
        <f>1600+108-60</f>
        <v>1648</v>
      </c>
      <c r="N282" s="36"/>
      <c r="O282" s="36"/>
      <c r="P282" s="36">
        <v>212</v>
      </c>
      <c r="Q282" s="36">
        <v>290</v>
      </c>
      <c r="R282" s="12">
        <v>1059</v>
      </c>
      <c r="S282" s="12" t="s">
        <v>504</v>
      </c>
      <c r="V282" s="393" t="s">
        <v>540</v>
      </c>
    </row>
    <row r="283" spans="1:22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4">F284+F285</f>
        <v>15006</v>
      </c>
      <c r="G283" s="19">
        <f t="shared" si="84"/>
        <v>755</v>
      </c>
      <c r="H283" s="19">
        <f t="shared" si="84"/>
        <v>0</v>
      </c>
      <c r="I283" s="19">
        <f t="shared" si="84"/>
        <v>0</v>
      </c>
      <c r="J283" s="19">
        <f t="shared" si="84"/>
        <v>0</v>
      </c>
      <c r="K283" s="19">
        <f t="shared" si="84"/>
        <v>0</v>
      </c>
      <c r="L283" s="19">
        <f t="shared" si="84"/>
        <v>0</v>
      </c>
      <c r="M283" s="19">
        <f t="shared" si="84"/>
        <v>15006</v>
      </c>
      <c r="N283" s="19">
        <f t="shared" si="84"/>
        <v>100</v>
      </c>
      <c r="O283" s="19">
        <f t="shared" si="84"/>
        <v>0</v>
      </c>
      <c r="P283" s="19">
        <f t="shared" si="84"/>
        <v>0</v>
      </c>
      <c r="Q283" s="19">
        <f t="shared" si="84"/>
        <v>655</v>
      </c>
    </row>
    <row r="284" spans="1:22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5000</v>
      </c>
      <c r="G284" s="37">
        <f t="shared" ref="G284:G285" si="85">SUM(I284:Q284)-K284-M284-P284</f>
        <v>100</v>
      </c>
      <c r="H284" s="37"/>
      <c r="I284" s="36"/>
      <c r="J284" s="36"/>
      <c r="K284" s="36"/>
      <c r="L284" s="36"/>
      <c r="M284" s="36">
        <v>5000</v>
      </c>
      <c r="N284" s="36">
        <v>100</v>
      </c>
      <c r="O284" s="36"/>
      <c r="P284" s="36"/>
      <c r="Q284" s="36"/>
    </row>
    <row r="285" spans="1:22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10006</v>
      </c>
      <c r="G285" s="37">
        <f t="shared" si="85"/>
        <v>655</v>
      </c>
      <c r="H285" s="37"/>
      <c r="I285" s="36"/>
      <c r="J285" s="36"/>
      <c r="K285" s="36"/>
      <c r="L285" s="36"/>
      <c r="M285" s="36">
        <f>10500-362-24-108</f>
        <v>10006</v>
      </c>
      <c r="N285" s="36"/>
      <c r="O285" s="36"/>
      <c r="P285" s="36"/>
      <c r="Q285" s="36">
        <v>655</v>
      </c>
      <c r="R285" s="12" t="s">
        <v>505</v>
      </c>
    </row>
    <row r="286" spans="1:22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238047</v>
      </c>
      <c r="G286" s="19">
        <f>SUM(G287:G313)</f>
        <v>16735</v>
      </c>
      <c r="H286" s="19">
        <f t="shared" ref="H286:Q286" si="86">SUM(H287:H313)</f>
        <v>1000</v>
      </c>
      <c r="I286" s="19">
        <f t="shared" si="86"/>
        <v>127</v>
      </c>
      <c r="J286" s="19">
        <f t="shared" si="86"/>
        <v>0</v>
      </c>
      <c r="K286" s="19">
        <f t="shared" si="86"/>
        <v>0</v>
      </c>
      <c r="L286" s="19">
        <f t="shared" si="86"/>
        <v>1273</v>
      </c>
      <c r="M286" s="19">
        <f>M287+M289+M290+M293+M311+M312+M313</f>
        <v>234675</v>
      </c>
      <c r="N286" s="19">
        <f t="shared" si="86"/>
        <v>12510</v>
      </c>
      <c r="O286" s="19">
        <f t="shared" si="86"/>
        <v>0</v>
      </c>
      <c r="P286" s="19">
        <f>P287+P289+P290+P293+P311+P312+P313</f>
        <v>2372</v>
      </c>
      <c r="Q286" s="19">
        <f t="shared" si="86"/>
        <v>2825</v>
      </c>
      <c r="R286" s="44">
        <f>H286+K286+M286+P286</f>
        <v>238047</v>
      </c>
    </row>
    <row r="287" spans="1:22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4490</v>
      </c>
      <c r="G287" s="37">
        <f t="shared" ref="G287" si="87">SUM(I287:Q287)-K287-M287-P287</f>
        <v>0</v>
      </c>
      <c r="H287" s="37"/>
      <c r="I287" s="36"/>
      <c r="J287" s="36"/>
      <c r="K287" s="36"/>
      <c r="L287" s="36"/>
      <c r="M287" s="36">
        <f>4500-520</f>
        <v>3980</v>
      </c>
      <c r="N287" s="36"/>
      <c r="O287" s="36"/>
      <c r="P287" s="36">
        <v>510</v>
      </c>
      <c r="Q287" s="36"/>
      <c r="R287" s="12" t="s">
        <v>506</v>
      </c>
    </row>
    <row r="288" spans="1:22" ht="15" hidden="1" customHeight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24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110</v>
      </c>
      <c r="G289" s="37">
        <f t="shared" ref="G289:G290" si="88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v>110</v>
      </c>
      <c r="Q289" s="36">
        <v>147</v>
      </c>
    </row>
    <row r="290" spans="1:24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2040</v>
      </c>
      <c r="G290" s="37">
        <f t="shared" si="88"/>
        <v>7</v>
      </c>
      <c r="H290" s="37"/>
      <c r="I290" s="38"/>
      <c r="J290" s="38"/>
      <c r="K290" s="38"/>
      <c r="L290" s="38"/>
      <c r="M290" s="38">
        <v>2040</v>
      </c>
      <c r="N290" s="38"/>
      <c r="O290" s="38"/>
      <c r="P290" s="38"/>
      <c r="Q290" s="38">
        <v>7</v>
      </c>
    </row>
    <row r="291" spans="1:24" ht="26.25" hidden="1" customHeight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89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24" ht="26.25" hidden="1" customHeight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89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24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209806</v>
      </c>
      <c r="G293" s="37">
        <f t="shared" ref="G293:G313" si="90">SUM(I293:Q293)-K293-M293-P293</f>
        <v>1917</v>
      </c>
      <c r="H293" s="37"/>
      <c r="I293" s="36">
        <v>127</v>
      </c>
      <c r="J293" s="36"/>
      <c r="K293" s="36"/>
      <c r="L293" s="36"/>
      <c r="M293" s="48">
        <f>M294+M299+M300+M303+M309+M310</f>
        <v>208546</v>
      </c>
      <c r="N293" s="48">
        <f t="shared" ref="N293:P293" si="91">N294+N299+N300+N303+N309+N310</f>
        <v>0</v>
      </c>
      <c r="O293" s="48">
        <f t="shared" si="91"/>
        <v>0</v>
      </c>
      <c r="P293" s="48">
        <f t="shared" si="91"/>
        <v>1260</v>
      </c>
      <c r="Q293" s="36">
        <v>1790</v>
      </c>
      <c r="R293" s="44">
        <f>M294+M299+M300+M303+M309+M310</f>
        <v>208546</v>
      </c>
      <c r="S293" s="44">
        <f>R293+P293</f>
        <v>209806</v>
      </c>
    </row>
    <row r="294" spans="1:24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107652</v>
      </c>
      <c r="G294" s="37"/>
      <c r="H294" s="37"/>
      <c r="I294" s="36"/>
      <c r="J294" s="36"/>
      <c r="K294" s="36"/>
      <c r="L294" s="36"/>
      <c r="M294" s="48">
        <f>M295+M296+M297+M298</f>
        <v>107652</v>
      </c>
      <c r="N294" s="36"/>
      <c r="O294" s="36"/>
      <c r="P294" s="36"/>
      <c r="Q294" s="36"/>
    </row>
    <row r="295" spans="1:24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65179</v>
      </c>
      <c r="G295" s="37"/>
      <c r="H295" s="37"/>
      <c r="I295" s="36"/>
      <c r="J295" s="36"/>
      <c r="K295" s="36"/>
      <c r="L295" s="36"/>
      <c r="M295" s="38">
        <f>46590+18589</f>
        <v>65179</v>
      </c>
      <c r="N295" s="36"/>
      <c r="O295" s="36"/>
      <c r="P295" s="36"/>
      <c r="Q295" s="36"/>
    </row>
    <row r="296" spans="1:24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14745</v>
      </c>
      <c r="G296" s="37"/>
      <c r="H296" s="37"/>
      <c r="I296" s="36"/>
      <c r="J296" s="36"/>
      <c r="K296" s="36"/>
      <c r="L296" s="36"/>
      <c r="M296" s="38">
        <v>14745</v>
      </c>
      <c r="N296" s="36"/>
      <c r="O296" s="36"/>
      <c r="P296" s="36"/>
      <c r="Q296" s="36"/>
    </row>
    <row r="297" spans="1:24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24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24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24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53731</v>
      </c>
      <c r="G300" s="54"/>
      <c r="H300" s="54"/>
      <c r="I300" s="48"/>
      <c r="J300" s="48"/>
      <c r="K300" s="48"/>
      <c r="L300" s="48"/>
      <c r="M300" s="48">
        <f>M301+M302</f>
        <v>53731</v>
      </c>
      <c r="N300" s="48">
        <f t="shared" ref="N300:P300" si="93">N301+N302</f>
        <v>0</v>
      </c>
      <c r="O300" s="48">
        <f t="shared" si="93"/>
        <v>0</v>
      </c>
      <c r="P300" s="48">
        <f t="shared" si="93"/>
        <v>1260</v>
      </c>
      <c r="Q300" s="48"/>
    </row>
    <row r="301" spans="1:24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51519</v>
      </c>
      <c r="G301" s="37"/>
      <c r="H301" s="37"/>
      <c r="I301" s="36"/>
      <c r="J301" s="36"/>
      <c r="K301" s="36"/>
      <c r="L301" s="36"/>
      <c r="M301" s="38">
        <f>36195+15324</f>
        <v>51519</v>
      </c>
      <c r="N301" s="36"/>
      <c r="O301" s="36"/>
      <c r="P301" s="36"/>
      <c r="Q301" s="36"/>
    </row>
    <row r="302" spans="1:24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2212</v>
      </c>
      <c r="G302" s="37"/>
      <c r="H302" s="37"/>
      <c r="I302" s="36"/>
      <c r="J302" s="36"/>
      <c r="K302" s="36"/>
      <c r="L302" s="36"/>
      <c r="M302" s="38">
        <v>2212</v>
      </c>
      <c r="N302" s="36"/>
      <c r="O302" s="36"/>
      <c r="P302" s="36">
        <f>1400-140</f>
        <v>1260</v>
      </c>
      <c r="Q302" s="36"/>
      <c r="X302" s="12" t="s">
        <v>556</v>
      </c>
    </row>
    <row r="303" spans="1:24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</row>
    <row r="304" spans="1:24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7000</v>
      </c>
      <c r="G310" s="54"/>
      <c r="H310" s="54"/>
      <c r="I310" s="48"/>
      <c r="J310" s="48"/>
      <c r="K310" s="48"/>
      <c r="L310" s="48"/>
      <c r="M310" s="48">
        <v>7000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12200</v>
      </c>
      <c r="G311" s="37">
        <f t="shared" si="90"/>
        <v>9570</v>
      </c>
      <c r="H311" s="37"/>
      <c r="I311" s="36"/>
      <c r="J311" s="36"/>
      <c r="K311" s="36"/>
      <c r="L311" s="36"/>
      <c r="M311" s="36">
        <v>12200</v>
      </c>
      <c r="N311" s="36">
        <v>9570</v>
      </c>
      <c r="O311" s="36"/>
      <c r="P311" s="36"/>
      <c r="Q311" s="36"/>
    </row>
    <row r="312" spans="1:17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4660</v>
      </c>
      <c r="G312" s="37">
        <f t="shared" si="90"/>
        <v>2940</v>
      </c>
      <c r="H312" s="37"/>
      <c r="I312" s="36"/>
      <c r="J312" s="36"/>
      <c r="K312" s="36"/>
      <c r="L312" s="36"/>
      <c r="M312" s="36">
        <f>2500+2160</f>
        <v>4660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8">
        <f>H313+K313+M313+P313</f>
        <v>4741</v>
      </c>
      <c r="G313" s="389">
        <f t="shared" si="90"/>
        <v>2154</v>
      </c>
      <c r="H313" s="389">
        <v>1000</v>
      </c>
      <c r="I313" s="38"/>
      <c r="J313" s="38"/>
      <c r="K313" s="38"/>
      <c r="L313" s="38">
        <v>1273</v>
      </c>
      <c r="M313" s="38">
        <f>4485-1230-90+84</f>
        <v>3249</v>
      </c>
      <c r="N313" s="38"/>
      <c r="O313" s="38"/>
      <c r="P313" s="38">
        <v>492</v>
      </c>
      <c r="Q313" s="36">
        <v>881</v>
      </c>
    </row>
    <row r="314" spans="1:17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89"/>
        <v>0</v>
      </c>
      <c r="H314" s="19"/>
      <c r="I314" s="19">
        <f t="shared" ref="I314:Q314" si="94">I315+I323+I325+I327+I331</f>
        <v>0</v>
      </c>
      <c r="J314" s="19">
        <f t="shared" si="94"/>
        <v>0</v>
      </c>
      <c r="K314" s="19"/>
      <c r="L314" s="19">
        <f t="shared" si="94"/>
        <v>0</v>
      </c>
      <c r="M314" s="19"/>
      <c r="N314" s="19">
        <f t="shared" si="94"/>
        <v>0</v>
      </c>
      <c r="O314" s="19">
        <f t="shared" si="94"/>
        <v>0</v>
      </c>
      <c r="P314" s="19"/>
      <c r="Q314" s="19">
        <f t="shared" si="94"/>
        <v>0</v>
      </c>
    </row>
    <row r="315" spans="1:17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89"/>
        <v>0</v>
      </c>
      <c r="H315" s="19"/>
      <c r="I315" s="19">
        <f t="shared" ref="I315:Q315" si="95">SUM(I316:I318)</f>
        <v>0</v>
      </c>
      <c r="J315" s="19">
        <f t="shared" si="95"/>
        <v>0</v>
      </c>
      <c r="K315" s="19"/>
      <c r="L315" s="19">
        <f t="shared" si="95"/>
        <v>0</v>
      </c>
      <c r="M315" s="19"/>
      <c r="N315" s="19">
        <f t="shared" si="95"/>
        <v>0</v>
      </c>
      <c r="O315" s="19">
        <f t="shared" si="95"/>
        <v>0</v>
      </c>
      <c r="P315" s="19"/>
      <c r="Q315" s="19">
        <f t="shared" si="95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89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89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89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89"/>
        <v>0</v>
      </c>
      <c r="H323" s="19"/>
      <c r="I323" s="19">
        <f t="shared" ref="I323:Q323" si="96">I324</f>
        <v>0</v>
      </c>
      <c r="J323" s="19">
        <f t="shared" si="96"/>
        <v>0</v>
      </c>
      <c r="K323" s="19"/>
      <c r="L323" s="19">
        <f t="shared" si="96"/>
        <v>0</v>
      </c>
      <c r="M323" s="19"/>
      <c r="N323" s="19">
        <f t="shared" si="96"/>
        <v>0</v>
      </c>
      <c r="O323" s="19">
        <f t="shared" si="96"/>
        <v>0</v>
      </c>
      <c r="P323" s="19"/>
      <c r="Q323" s="19">
        <f t="shared" si="96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89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89"/>
        <v>0</v>
      </c>
      <c r="H325" s="19"/>
      <c r="I325" s="19">
        <f t="shared" ref="I325:Q325" si="97">I326</f>
        <v>0</v>
      </c>
      <c r="J325" s="19">
        <f t="shared" si="97"/>
        <v>0</v>
      </c>
      <c r="K325" s="19"/>
      <c r="L325" s="19">
        <f t="shared" si="97"/>
        <v>0</v>
      </c>
      <c r="M325" s="19"/>
      <c r="N325" s="19">
        <f t="shared" si="97"/>
        <v>0</v>
      </c>
      <c r="O325" s="19">
        <f t="shared" si="97"/>
        <v>0</v>
      </c>
      <c r="P325" s="19"/>
      <c r="Q325" s="19">
        <f t="shared" si="97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89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89"/>
        <v>0</v>
      </c>
      <c r="H327" s="19"/>
      <c r="I327" s="19">
        <f t="shared" ref="I327:Q327" si="98">SUM(I328:I330)</f>
        <v>0</v>
      </c>
      <c r="J327" s="19">
        <f t="shared" si="98"/>
        <v>0</v>
      </c>
      <c r="K327" s="19"/>
      <c r="L327" s="19">
        <f t="shared" si="98"/>
        <v>0</v>
      </c>
      <c r="M327" s="19"/>
      <c r="N327" s="19">
        <f t="shared" si="98"/>
        <v>0</v>
      </c>
      <c r="O327" s="19">
        <f t="shared" si="98"/>
        <v>0</v>
      </c>
      <c r="P327" s="19"/>
      <c r="Q327" s="19">
        <f t="shared" si="98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89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89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89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89"/>
        <v>0</v>
      </c>
      <c r="H331" s="19"/>
      <c r="I331" s="19">
        <f t="shared" ref="I331:Q331" si="99">I332</f>
        <v>0</v>
      </c>
      <c r="J331" s="19">
        <f t="shared" si="99"/>
        <v>0</v>
      </c>
      <c r="K331" s="19"/>
      <c r="L331" s="19">
        <f t="shared" si="99"/>
        <v>0</v>
      </c>
      <c r="M331" s="19"/>
      <c r="N331" s="19">
        <f t="shared" si="99"/>
        <v>0</v>
      </c>
      <c r="O331" s="19">
        <f t="shared" si="99"/>
        <v>0</v>
      </c>
      <c r="P331" s="19"/>
      <c r="Q331" s="19">
        <f t="shared" si="99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89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100">F334+F344+F355+F357</f>
        <v>600</v>
      </c>
      <c r="G333" s="19">
        <f t="shared" si="100"/>
        <v>251</v>
      </c>
      <c r="H333" s="19">
        <f t="shared" si="100"/>
        <v>0</v>
      </c>
      <c r="I333" s="19">
        <f t="shared" si="100"/>
        <v>0</v>
      </c>
      <c r="J333" s="19">
        <f t="shared" si="100"/>
        <v>0</v>
      </c>
      <c r="K333" s="19">
        <f t="shared" si="100"/>
        <v>0</v>
      </c>
      <c r="L333" s="19">
        <f t="shared" si="100"/>
        <v>0</v>
      </c>
      <c r="M333" s="19">
        <f t="shared" si="100"/>
        <v>0</v>
      </c>
      <c r="N333" s="19">
        <f t="shared" si="100"/>
        <v>0</v>
      </c>
      <c r="O333" s="19">
        <f t="shared" si="100"/>
        <v>0</v>
      </c>
      <c r="P333" s="19">
        <f t="shared" si="100"/>
        <v>600</v>
      </c>
      <c r="Q333" s="19">
        <f t="shared" si="100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1">SUM(F335:F343)</f>
        <v>600</v>
      </c>
      <c r="G334" s="19">
        <f t="shared" si="101"/>
        <v>251</v>
      </c>
      <c r="H334" s="19">
        <f t="shared" si="101"/>
        <v>0</v>
      </c>
      <c r="I334" s="19">
        <f t="shared" si="101"/>
        <v>0</v>
      </c>
      <c r="J334" s="19">
        <f t="shared" si="101"/>
        <v>0</v>
      </c>
      <c r="K334" s="19">
        <f t="shared" si="101"/>
        <v>0</v>
      </c>
      <c r="L334" s="19">
        <f t="shared" si="101"/>
        <v>0</v>
      </c>
      <c r="M334" s="19">
        <f t="shared" si="101"/>
        <v>0</v>
      </c>
      <c r="N334" s="19">
        <f t="shared" si="101"/>
        <v>0</v>
      </c>
      <c r="O334" s="19">
        <f t="shared" si="101"/>
        <v>0</v>
      </c>
      <c r="P334" s="19">
        <f t="shared" si="101"/>
        <v>600</v>
      </c>
      <c r="Q334" s="19">
        <f t="shared" si="101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89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89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89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89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600</v>
      </c>
      <c r="G339" s="37">
        <f t="shared" ref="G339" si="102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600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89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89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89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89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89"/>
        <v>0</v>
      </c>
      <c r="H344" s="19"/>
      <c r="I344" s="19">
        <f t="shared" ref="I344:Q344" si="103">SUM(I345:I354)</f>
        <v>0</v>
      </c>
      <c r="J344" s="19">
        <f t="shared" si="103"/>
        <v>0</v>
      </c>
      <c r="K344" s="19"/>
      <c r="L344" s="19">
        <f t="shared" si="103"/>
        <v>0</v>
      </c>
      <c r="M344" s="19"/>
      <c r="N344" s="19">
        <f t="shared" si="103"/>
        <v>0</v>
      </c>
      <c r="O344" s="19">
        <f t="shared" si="103"/>
        <v>0</v>
      </c>
      <c r="P344" s="19"/>
      <c r="Q344" s="19">
        <f t="shared" si="103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89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89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89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89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89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89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89"/>
        <v>0</v>
      </c>
      <c r="H355" s="19"/>
      <c r="I355" s="19">
        <f t="shared" ref="I355:Q355" si="104">I356</f>
        <v>0</v>
      </c>
      <c r="J355" s="19">
        <f t="shared" si="104"/>
        <v>0</v>
      </c>
      <c r="K355" s="19"/>
      <c r="L355" s="19">
        <f t="shared" si="104"/>
        <v>0</v>
      </c>
      <c r="M355" s="19"/>
      <c r="N355" s="19">
        <f t="shared" si="104"/>
        <v>0</v>
      </c>
      <c r="O355" s="19">
        <f t="shared" si="104"/>
        <v>0</v>
      </c>
      <c r="P355" s="19"/>
      <c r="Q355" s="19">
        <f t="shared" si="104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89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89"/>
        <v>0</v>
      </c>
      <c r="H357" s="19"/>
      <c r="I357" s="19">
        <f t="shared" ref="I357:Q357" si="105">SUM(I358:I360)</f>
        <v>0</v>
      </c>
      <c r="J357" s="19">
        <f t="shared" si="105"/>
        <v>0</v>
      </c>
      <c r="K357" s="19"/>
      <c r="L357" s="19">
        <f t="shared" si="105"/>
        <v>0</v>
      </c>
      <c r="M357" s="19"/>
      <c r="N357" s="19">
        <f t="shared" si="105"/>
        <v>0</v>
      </c>
      <c r="O357" s="19">
        <f t="shared" si="105"/>
        <v>0</v>
      </c>
      <c r="P357" s="19"/>
      <c r="Q357" s="19">
        <f t="shared" si="105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89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89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89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89"/>
        <v>0</v>
      </c>
      <c r="H361" s="19"/>
      <c r="I361" s="19">
        <f t="shared" ref="I361:Q361" si="106">I362+I365+I368+I371</f>
        <v>0</v>
      </c>
      <c r="J361" s="19">
        <f t="shared" si="106"/>
        <v>0</v>
      </c>
      <c r="K361" s="19"/>
      <c r="L361" s="19">
        <f t="shared" si="106"/>
        <v>0</v>
      </c>
      <c r="M361" s="19"/>
      <c r="N361" s="19">
        <f t="shared" si="106"/>
        <v>0</v>
      </c>
      <c r="O361" s="19">
        <f t="shared" si="106"/>
        <v>0</v>
      </c>
      <c r="P361" s="19"/>
      <c r="Q361" s="19">
        <f t="shared" si="106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89"/>
        <v>0</v>
      </c>
      <c r="H362" s="19"/>
      <c r="I362" s="19">
        <f t="shared" ref="I362:Q362" si="107">I363+I364</f>
        <v>0</v>
      </c>
      <c r="J362" s="19">
        <f t="shared" si="107"/>
        <v>0</v>
      </c>
      <c r="K362" s="19"/>
      <c r="L362" s="19">
        <f t="shared" si="107"/>
        <v>0</v>
      </c>
      <c r="M362" s="19"/>
      <c r="N362" s="19">
        <f t="shared" si="107"/>
        <v>0</v>
      </c>
      <c r="O362" s="19">
        <f t="shared" si="107"/>
        <v>0</v>
      </c>
      <c r="P362" s="19"/>
      <c r="Q362" s="19">
        <f t="shared" si="107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89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89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89"/>
        <v>0</v>
      </c>
      <c r="H365" s="19"/>
      <c r="I365" s="19">
        <f t="shared" ref="I365:Q365" si="108">I366+I367</f>
        <v>0</v>
      </c>
      <c r="J365" s="19">
        <f t="shared" si="108"/>
        <v>0</v>
      </c>
      <c r="K365" s="19"/>
      <c r="L365" s="19">
        <f t="shared" si="108"/>
        <v>0</v>
      </c>
      <c r="M365" s="19"/>
      <c r="N365" s="19">
        <f t="shared" si="108"/>
        <v>0</v>
      </c>
      <c r="O365" s="19">
        <f t="shared" si="108"/>
        <v>0</v>
      </c>
      <c r="P365" s="19"/>
      <c r="Q365" s="19">
        <f t="shared" si="108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89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89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89"/>
        <v>0</v>
      </c>
      <c r="H368" s="19"/>
      <c r="I368" s="19">
        <f t="shared" ref="I368:Q368" si="109">I369+I370</f>
        <v>0</v>
      </c>
      <c r="J368" s="19">
        <f t="shared" si="109"/>
        <v>0</v>
      </c>
      <c r="K368" s="19"/>
      <c r="L368" s="19">
        <f t="shared" si="109"/>
        <v>0</v>
      </c>
      <c r="M368" s="19"/>
      <c r="N368" s="19">
        <f t="shared" si="109"/>
        <v>0</v>
      </c>
      <c r="O368" s="19">
        <f t="shared" si="109"/>
        <v>0</v>
      </c>
      <c r="P368" s="19"/>
      <c r="Q368" s="19">
        <f t="shared" si="109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89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89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89"/>
        <v>0</v>
      </c>
      <c r="H371" s="19"/>
      <c r="I371" s="19">
        <f t="shared" ref="I371:Q371" si="110">I372+I373</f>
        <v>0</v>
      </c>
      <c r="J371" s="19">
        <f t="shared" si="110"/>
        <v>0</v>
      </c>
      <c r="K371" s="19"/>
      <c r="L371" s="19">
        <f t="shared" si="110"/>
        <v>0</v>
      </c>
      <c r="M371" s="19"/>
      <c r="N371" s="19">
        <f t="shared" si="110"/>
        <v>0</v>
      </c>
      <c r="O371" s="19">
        <f t="shared" si="110"/>
        <v>0</v>
      </c>
      <c r="P371" s="19"/>
      <c r="Q371" s="19">
        <f t="shared" si="110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89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89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1">F379+F382+F385+F388+F391</f>
        <v>10080</v>
      </c>
      <c r="G374" s="19">
        <f t="shared" si="111"/>
        <v>7410</v>
      </c>
      <c r="H374" s="37">
        <f t="shared" si="111"/>
        <v>0</v>
      </c>
      <c r="I374" s="19">
        <f t="shared" si="111"/>
        <v>0</v>
      </c>
      <c r="J374" s="19">
        <f t="shared" si="111"/>
        <v>0</v>
      </c>
      <c r="K374" s="19">
        <f t="shared" si="111"/>
        <v>0</v>
      </c>
      <c r="L374" s="19">
        <f t="shared" si="111"/>
        <v>0</v>
      </c>
      <c r="M374" s="19">
        <f t="shared" si="111"/>
        <v>10080</v>
      </c>
      <c r="N374" s="19">
        <f t="shared" si="111"/>
        <v>7410</v>
      </c>
      <c r="O374" s="19">
        <f t="shared" si="111"/>
        <v>0</v>
      </c>
      <c r="P374" s="19">
        <f t="shared" si="111"/>
        <v>0</v>
      </c>
      <c r="Q374" s="19">
        <f t="shared" si="111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89"/>
        <v>0</v>
      </c>
      <c r="H379" s="19"/>
      <c r="I379" s="19">
        <f t="shared" ref="I379:Q379" si="112">I380+I381</f>
        <v>0</v>
      </c>
      <c r="J379" s="19">
        <f t="shared" si="112"/>
        <v>0</v>
      </c>
      <c r="K379" s="19"/>
      <c r="L379" s="19">
        <f t="shared" si="112"/>
        <v>0</v>
      </c>
      <c r="M379" s="19"/>
      <c r="N379" s="19">
        <f t="shared" si="112"/>
        <v>0</v>
      </c>
      <c r="O379" s="19">
        <f t="shared" si="112"/>
        <v>0</v>
      </c>
      <c r="P379" s="19"/>
      <c r="Q379" s="19">
        <f t="shared" si="112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89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89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89"/>
        <v>0</v>
      </c>
      <c r="H382" s="19"/>
      <c r="I382" s="19">
        <f t="shared" ref="I382:Q382" si="113">I383+I384</f>
        <v>0</v>
      </c>
      <c r="J382" s="19">
        <f t="shared" si="113"/>
        <v>0</v>
      </c>
      <c r="K382" s="19"/>
      <c r="L382" s="19">
        <f t="shared" si="113"/>
        <v>0</v>
      </c>
      <c r="M382" s="19"/>
      <c r="N382" s="19">
        <f t="shared" si="113"/>
        <v>0</v>
      </c>
      <c r="O382" s="19">
        <f t="shared" si="113"/>
        <v>0</v>
      </c>
      <c r="P382" s="19"/>
      <c r="Q382" s="19">
        <f t="shared" si="113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89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89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4">SUM(I385:Q385)</f>
        <v>0</v>
      </c>
      <c r="H385" s="19"/>
      <c r="I385" s="19">
        <f t="shared" ref="I385:Q385" si="115">I386+I387</f>
        <v>0</v>
      </c>
      <c r="J385" s="19">
        <f t="shared" si="115"/>
        <v>0</v>
      </c>
      <c r="K385" s="19"/>
      <c r="L385" s="19">
        <f t="shared" si="115"/>
        <v>0</v>
      </c>
      <c r="M385" s="19"/>
      <c r="N385" s="19">
        <f t="shared" si="115"/>
        <v>0</v>
      </c>
      <c r="O385" s="19">
        <f t="shared" si="115"/>
        <v>0</v>
      </c>
      <c r="P385" s="19"/>
      <c r="Q385" s="19">
        <f t="shared" si="115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4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4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4"/>
        <v>0</v>
      </c>
      <c r="H388" s="19"/>
      <c r="I388" s="19">
        <f t="shared" ref="I388:Q388" si="116">I389+I390</f>
        <v>0</v>
      </c>
      <c r="J388" s="19">
        <f t="shared" si="116"/>
        <v>0</v>
      </c>
      <c r="K388" s="19"/>
      <c r="L388" s="19">
        <f t="shared" si="116"/>
        <v>0</v>
      </c>
      <c r="M388" s="19"/>
      <c r="N388" s="19">
        <f t="shared" si="116"/>
        <v>0</v>
      </c>
      <c r="O388" s="19">
        <f t="shared" si="116"/>
        <v>0</v>
      </c>
      <c r="P388" s="19"/>
      <c r="Q388" s="19">
        <f t="shared" si="116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4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4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7">F392+F393</f>
        <v>10080</v>
      </c>
      <c r="G391" s="19">
        <f t="shared" si="117"/>
        <v>7410</v>
      </c>
      <c r="H391" s="19">
        <f t="shared" si="117"/>
        <v>0</v>
      </c>
      <c r="I391" s="19">
        <f t="shared" si="117"/>
        <v>0</v>
      </c>
      <c r="J391" s="19">
        <f t="shared" si="117"/>
        <v>0</v>
      </c>
      <c r="K391" s="19">
        <f t="shared" si="117"/>
        <v>0</v>
      </c>
      <c r="L391" s="19">
        <f t="shared" si="117"/>
        <v>0</v>
      </c>
      <c r="M391" s="19">
        <f t="shared" si="117"/>
        <v>10080</v>
      </c>
      <c r="N391" s="19">
        <f t="shared" si="117"/>
        <v>7410</v>
      </c>
      <c r="O391" s="19">
        <f t="shared" si="117"/>
        <v>0</v>
      </c>
      <c r="P391" s="19">
        <f t="shared" si="117"/>
        <v>0</v>
      </c>
      <c r="Q391" s="19">
        <f t="shared" si="117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10080</v>
      </c>
      <c r="G392" s="37">
        <f t="shared" ref="G392" si="118">SUM(I392:Q392)-K392-M392-P392</f>
        <v>7410</v>
      </c>
      <c r="H392" s="37"/>
      <c r="I392" s="36"/>
      <c r="J392" s="36"/>
      <c r="K392" s="36"/>
      <c r="L392" s="36"/>
      <c r="M392" s="36">
        <v>10080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4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4"/>
        <v>0</v>
      </c>
      <c r="H394" s="19"/>
      <c r="I394" s="19">
        <f t="shared" ref="I394:Q394" si="119">I395+I399</f>
        <v>0</v>
      </c>
      <c r="J394" s="19">
        <f t="shared" si="119"/>
        <v>0</v>
      </c>
      <c r="K394" s="19"/>
      <c r="L394" s="19">
        <f t="shared" si="119"/>
        <v>0</v>
      </c>
      <c r="M394" s="19"/>
      <c r="N394" s="19">
        <f t="shared" si="119"/>
        <v>0</v>
      </c>
      <c r="O394" s="19">
        <f t="shared" si="119"/>
        <v>0</v>
      </c>
      <c r="P394" s="19"/>
      <c r="Q394" s="19">
        <f t="shared" si="119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4"/>
        <v>0</v>
      </c>
      <c r="H395" s="19"/>
      <c r="I395" s="19">
        <f t="shared" ref="I395:Q395" si="120">SUM(I396:I398)</f>
        <v>0</v>
      </c>
      <c r="J395" s="19">
        <f t="shared" si="120"/>
        <v>0</v>
      </c>
      <c r="K395" s="19"/>
      <c r="L395" s="19">
        <f t="shared" si="120"/>
        <v>0</v>
      </c>
      <c r="M395" s="19"/>
      <c r="N395" s="19">
        <f t="shared" si="120"/>
        <v>0</v>
      </c>
      <c r="O395" s="19">
        <f t="shared" si="120"/>
        <v>0</v>
      </c>
      <c r="P395" s="19"/>
      <c r="Q395" s="19">
        <f t="shared" si="120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4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4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4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4"/>
        <v>0</v>
      </c>
      <c r="H399" s="19"/>
      <c r="I399" s="19">
        <f t="shared" ref="I399:Q399" si="121">SUM(I404:I412)</f>
        <v>0</v>
      </c>
      <c r="J399" s="19">
        <f t="shared" si="121"/>
        <v>0</v>
      </c>
      <c r="K399" s="19"/>
      <c r="L399" s="19">
        <f t="shared" si="121"/>
        <v>0</v>
      </c>
      <c r="M399" s="19"/>
      <c r="N399" s="19">
        <f t="shared" si="121"/>
        <v>0</v>
      </c>
      <c r="O399" s="19">
        <f t="shared" si="121"/>
        <v>0</v>
      </c>
      <c r="P399" s="19"/>
      <c r="Q399" s="19">
        <f t="shared" si="121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4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4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4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4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4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4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4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4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4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2">F414+F417+F421+F423+F426+F432</f>
        <v>300</v>
      </c>
      <c r="G413" s="19">
        <f t="shared" si="122"/>
        <v>118</v>
      </c>
      <c r="H413" s="19">
        <f t="shared" si="122"/>
        <v>0</v>
      </c>
      <c r="I413" s="19">
        <f t="shared" si="122"/>
        <v>0</v>
      </c>
      <c r="J413" s="19">
        <f t="shared" si="122"/>
        <v>0</v>
      </c>
      <c r="K413" s="19">
        <f t="shared" si="122"/>
        <v>0</v>
      </c>
      <c r="L413" s="19">
        <f t="shared" si="122"/>
        <v>0</v>
      </c>
      <c r="M413" s="19">
        <f t="shared" si="122"/>
        <v>0</v>
      </c>
      <c r="N413" s="19">
        <f t="shared" si="122"/>
        <v>8</v>
      </c>
      <c r="O413" s="19">
        <f t="shared" si="122"/>
        <v>0</v>
      </c>
      <c r="P413" s="19">
        <f t="shared" si="122"/>
        <v>300</v>
      </c>
      <c r="Q413" s="19">
        <f t="shared" si="122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3">F415+F416</f>
        <v>35</v>
      </c>
      <c r="G414" s="19">
        <f t="shared" si="123"/>
        <v>35</v>
      </c>
      <c r="H414" s="19">
        <f t="shared" si="123"/>
        <v>0</v>
      </c>
      <c r="I414" s="19">
        <f t="shared" si="123"/>
        <v>0</v>
      </c>
      <c r="J414" s="19">
        <f t="shared" si="123"/>
        <v>0</v>
      </c>
      <c r="K414" s="19">
        <f t="shared" si="123"/>
        <v>0</v>
      </c>
      <c r="L414" s="19">
        <f t="shared" si="123"/>
        <v>0</v>
      </c>
      <c r="M414" s="19">
        <f t="shared" si="123"/>
        <v>0</v>
      </c>
      <c r="N414" s="19">
        <f t="shared" si="123"/>
        <v>0</v>
      </c>
      <c r="O414" s="19">
        <f t="shared" si="123"/>
        <v>0</v>
      </c>
      <c r="P414" s="19">
        <f t="shared" si="123"/>
        <v>35</v>
      </c>
      <c r="Q414" s="19">
        <f t="shared" si="123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4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4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22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5">SUM(F418:F420)</f>
        <v>65</v>
      </c>
      <c r="G417" s="19">
        <f t="shared" si="125"/>
        <v>68</v>
      </c>
      <c r="H417" s="19">
        <f t="shared" si="125"/>
        <v>0</v>
      </c>
      <c r="I417" s="19">
        <f t="shared" si="125"/>
        <v>0</v>
      </c>
      <c r="J417" s="19">
        <f t="shared" si="125"/>
        <v>0</v>
      </c>
      <c r="K417" s="19">
        <f t="shared" si="125"/>
        <v>0</v>
      </c>
      <c r="L417" s="19">
        <f t="shared" si="125"/>
        <v>0</v>
      </c>
      <c r="M417" s="19">
        <f t="shared" si="125"/>
        <v>0</v>
      </c>
      <c r="N417" s="19">
        <f t="shared" si="125"/>
        <v>8</v>
      </c>
      <c r="O417" s="19">
        <f t="shared" si="125"/>
        <v>0</v>
      </c>
      <c r="P417" s="19">
        <f t="shared" si="125"/>
        <v>65</v>
      </c>
      <c r="Q417" s="19">
        <f t="shared" si="125"/>
        <v>50</v>
      </c>
    </row>
    <row r="418" spans="1:22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30</v>
      </c>
      <c r="G418" s="37">
        <f t="shared" ref="G418:G419" si="126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30</v>
      </c>
      <c r="Q418" s="36">
        <v>9</v>
      </c>
    </row>
    <row r="419" spans="1:22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25</v>
      </c>
      <c r="G419" s="37">
        <f t="shared" si="126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25</v>
      </c>
      <c r="Q419" s="36">
        <v>41</v>
      </c>
      <c r="V419" s="12" t="s">
        <v>539</v>
      </c>
    </row>
    <row r="420" spans="1:22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4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22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7">F422</f>
        <v>200</v>
      </c>
      <c r="G421" s="19">
        <f t="shared" si="127"/>
        <v>15</v>
      </c>
      <c r="H421" s="19">
        <f t="shared" si="127"/>
        <v>0</v>
      </c>
      <c r="I421" s="19">
        <f t="shared" si="127"/>
        <v>0</v>
      </c>
      <c r="J421" s="19">
        <f t="shared" si="127"/>
        <v>0</v>
      </c>
      <c r="K421" s="19">
        <f t="shared" si="127"/>
        <v>0</v>
      </c>
      <c r="L421" s="19">
        <f t="shared" si="127"/>
        <v>0</v>
      </c>
      <c r="M421" s="19">
        <f t="shared" si="127"/>
        <v>0</v>
      </c>
      <c r="N421" s="19">
        <f t="shared" si="127"/>
        <v>0</v>
      </c>
      <c r="O421" s="19">
        <f t="shared" si="127"/>
        <v>0</v>
      </c>
      <c r="P421" s="19">
        <f t="shared" si="127"/>
        <v>200</v>
      </c>
      <c r="Q421" s="19">
        <f t="shared" si="127"/>
        <v>15</v>
      </c>
    </row>
    <row r="422" spans="1:22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200</v>
      </c>
      <c r="G422" s="37">
        <f t="shared" ref="G422" si="128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200</v>
      </c>
      <c r="Q422" s="36">
        <v>15</v>
      </c>
    </row>
    <row r="423" spans="1:22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4"/>
        <v>0</v>
      </c>
      <c r="H423" s="19"/>
      <c r="I423" s="19">
        <f t="shared" ref="I423:Q423" si="129">I424+I425</f>
        <v>0</v>
      </c>
      <c r="J423" s="19">
        <f t="shared" si="129"/>
        <v>0</v>
      </c>
      <c r="K423" s="19"/>
      <c r="L423" s="19">
        <f t="shared" si="129"/>
        <v>0</v>
      </c>
      <c r="M423" s="19"/>
      <c r="N423" s="19">
        <f t="shared" si="129"/>
        <v>0</v>
      </c>
      <c r="O423" s="19">
        <f t="shared" si="129"/>
        <v>0</v>
      </c>
      <c r="P423" s="19"/>
      <c r="Q423" s="19">
        <f t="shared" si="129"/>
        <v>0</v>
      </c>
    </row>
    <row r="424" spans="1:22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4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22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4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22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4"/>
        <v>0</v>
      </c>
      <c r="H426" s="19"/>
      <c r="I426" s="19">
        <f t="shared" ref="I426:Q426" si="130">I427</f>
        <v>0</v>
      </c>
      <c r="J426" s="19">
        <f t="shared" si="130"/>
        <v>0</v>
      </c>
      <c r="K426" s="19"/>
      <c r="L426" s="19">
        <f t="shared" si="130"/>
        <v>0</v>
      </c>
      <c r="M426" s="19"/>
      <c r="N426" s="19">
        <f t="shared" si="130"/>
        <v>0</v>
      </c>
      <c r="O426" s="19">
        <f t="shared" si="130"/>
        <v>0</v>
      </c>
      <c r="P426" s="19"/>
      <c r="Q426" s="19">
        <f t="shared" si="130"/>
        <v>0</v>
      </c>
    </row>
    <row r="427" spans="1:22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4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22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22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22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22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22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4"/>
        <v>0</v>
      </c>
      <c r="H432" s="19"/>
      <c r="I432" s="19">
        <f t="shared" ref="I432:Q432" si="131">I433</f>
        <v>0</v>
      </c>
      <c r="J432" s="19">
        <f t="shared" si="131"/>
        <v>0</v>
      </c>
      <c r="K432" s="19"/>
      <c r="L432" s="19">
        <f t="shared" si="131"/>
        <v>0</v>
      </c>
      <c r="M432" s="19"/>
      <c r="N432" s="19">
        <f t="shared" si="131"/>
        <v>0</v>
      </c>
      <c r="O432" s="19">
        <f t="shared" si="131"/>
        <v>0</v>
      </c>
      <c r="P432" s="19"/>
      <c r="Q432" s="19">
        <f t="shared" si="131"/>
        <v>0</v>
      </c>
    </row>
    <row r="433" spans="1:22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4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2">F435+F458+F471+F474+F482</f>
        <v>27329</v>
      </c>
      <c r="G434" s="19">
        <f t="shared" si="132"/>
        <v>3263</v>
      </c>
      <c r="H434" s="19">
        <f t="shared" si="132"/>
        <v>25000</v>
      </c>
      <c r="I434" s="19">
        <f t="shared" si="132"/>
        <v>1450</v>
      </c>
      <c r="J434" s="19">
        <f t="shared" si="132"/>
        <v>0</v>
      </c>
      <c r="K434" s="19">
        <f t="shared" si="132"/>
        <v>1000</v>
      </c>
      <c r="L434" s="19">
        <f t="shared" si="132"/>
        <v>0</v>
      </c>
      <c r="M434" s="19">
        <f t="shared" si="132"/>
        <v>0</v>
      </c>
      <c r="N434" s="19">
        <f t="shared" si="132"/>
        <v>0</v>
      </c>
      <c r="O434" s="19">
        <f t="shared" si="132"/>
        <v>0</v>
      </c>
      <c r="P434" s="19">
        <f t="shared" si="132"/>
        <v>1329</v>
      </c>
      <c r="Q434" s="19">
        <f t="shared" si="132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3">F436+F441+F452+F454+F456</f>
        <v>27329</v>
      </c>
      <c r="G435" s="19">
        <f t="shared" si="133"/>
        <v>3263</v>
      </c>
      <c r="H435" s="19">
        <f t="shared" si="133"/>
        <v>25000</v>
      </c>
      <c r="I435" s="19">
        <f t="shared" si="133"/>
        <v>1450</v>
      </c>
      <c r="J435" s="19">
        <f t="shared" si="133"/>
        <v>0</v>
      </c>
      <c r="K435" s="19">
        <f t="shared" si="133"/>
        <v>1000</v>
      </c>
      <c r="L435" s="19">
        <f t="shared" si="133"/>
        <v>0</v>
      </c>
      <c r="M435" s="19">
        <f t="shared" si="133"/>
        <v>0</v>
      </c>
      <c r="N435" s="19">
        <f t="shared" si="133"/>
        <v>0</v>
      </c>
      <c r="O435" s="19">
        <f t="shared" si="133"/>
        <v>0</v>
      </c>
      <c r="P435" s="19">
        <f t="shared" si="133"/>
        <v>1329</v>
      </c>
      <c r="Q435" s="19">
        <f t="shared" si="133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4">SUM(F437:F440)</f>
        <v>5000</v>
      </c>
      <c r="G436" s="19">
        <f t="shared" si="134"/>
        <v>1450</v>
      </c>
      <c r="H436" s="19">
        <f t="shared" si="134"/>
        <v>5000</v>
      </c>
      <c r="I436" s="19">
        <f t="shared" si="134"/>
        <v>1450</v>
      </c>
      <c r="J436" s="19">
        <f t="shared" si="134"/>
        <v>0</v>
      </c>
      <c r="K436" s="19">
        <f t="shared" si="134"/>
        <v>0</v>
      </c>
      <c r="L436" s="19">
        <f t="shared" si="134"/>
        <v>0</v>
      </c>
      <c r="M436" s="19">
        <f t="shared" si="134"/>
        <v>0</v>
      </c>
      <c r="N436" s="19">
        <f t="shared" si="134"/>
        <v>0</v>
      </c>
      <c r="O436" s="19">
        <f t="shared" si="134"/>
        <v>0</v>
      </c>
      <c r="P436" s="19">
        <f t="shared" si="134"/>
        <v>0</v>
      </c>
      <c r="Q436" s="19">
        <f t="shared" si="134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4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4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5000</v>
      </c>
      <c r="G439" s="37">
        <f t="shared" ref="G439" si="135">SUM(I439:Q439)-K439-M439-P439</f>
        <v>1450</v>
      </c>
      <c r="H439" s="37">
        <v>5000</v>
      </c>
      <c r="I439" s="36">
        <v>1450</v>
      </c>
      <c r="J439" s="36"/>
      <c r="K439" s="36"/>
      <c r="L439" s="36"/>
      <c r="M439" s="36"/>
      <c r="N439" s="36"/>
      <c r="O439" s="36"/>
      <c r="P439" s="36"/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4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6">SUM(F442:F451)</f>
        <v>22329</v>
      </c>
      <c r="G441" s="19">
        <f t="shared" si="136"/>
        <v>1813</v>
      </c>
      <c r="H441" s="19">
        <f t="shared" si="136"/>
        <v>20000</v>
      </c>
      <c r="I441" s="19">
        <f t="shared" si="136"/>
        <v>0</v>
      </c>
      <c r="J441" s="19">
        <f t="shared" si="136"/>
        <v>0</v>
      </c>
      <c r="K441" s="19">
        <f t="shared" si="136"/>
        <v>1000</v>
      </c>
      <c r="L441" s="19">
        <f t="shared" si="136"/>
        <v>0</v>
      </c>
      <c r="M441" s="19">
        <f t="shared" si="136"/>
        <v>0</v>
      </c>
      <c r="N441" s="19">
        <f t="shared" si="136"/>
        <v>0</v>
      </c>
      <c r="O441" s="19">
        <f t="shared" si="136"/>
        <v>0</v>
      </c>
      <c r="P441" s="19">
        <f t="shared" si="136"/>
        <v>1329</v>
      </c>
      <c r="Q441" s="19">
        <f t="shared" si="136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4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0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/>
      <c r="Q443" s="36"/>
    </row>
    <row r="444" spans="1:22" ht="28.5" x14ac:dyDescent="0.4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1018</v>
      </c>
      <c r="G444" s="37">
        <f t="shared" ref="G444" si="137">SUM(I444:Q444)-K444-M444-P444</f>
        <v>1258</v>
      </c>
      <c r="H444" s="522"/>
      <c r="I444" s="36"/>
      <c r="J444" s="36"/>
      <c r="K444" s="36"/>
      <c r="L444" s="36"/>
      <c r="M444" s="36"/>
      <c r="N444" s="36"/>
      <c r="O444" s="36"/>
      <c r="P444" s="36">
        <f>918+100</f>
        <v>1018</v>
      </c>
      <c r="Q444" s="36">
        <v>1258</v>
      </c>
      <c r="R444" s="12">
        <v>809</v>
      </c>
      <c r="S444" s="12">
        <v>1124</v>
      </c>
      <c r="T444" s="12">
        <f>S444-R444</f>
        <v>315</v>
      </c>
      <c r="V444" s="400" t="s">
        <v>538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4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4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21311</v>
      </c>
      <c r="G447" s="37">
        <f t="shared" ref="G447" si="138">SUM(I447:Q447)-K447-M447-P447</f>
        <v>555</v>
      </c>
      <c r="H447" s="37">
        <v>20000</v>
      </c>
      <c r="I447" s="36"/>
      <c r="J447" s="36"/>
      <c r="K447" s="36">
        <v>1000</v>
      </c>
      <c r="L447" s="36"/>
      <c r="M447" s="36"/>
      <c r="N447" s="36"/>
      <c r="O447" s="36"/>
      <c r="P447" s="38">
        <v>311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4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4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4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4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4"/>
        <v>0</v>
      </c>
      <c r="H452" s="19"/>
      <c r="I452" s="19">
        <f t="shared" ref="I452:Q452" si="139">I453</f>
        <v>0</v>
      </c>
      <c r="J452" s="19">
        <f t="shared" si="139"/>
        <v>0</v>
      </c>
      <c r="K452" s="19"/>
      <c r="L452" s="19">
        <f t="shared" si="139"/>
        <v>0</v>
      </c>
      <c r="M452" s="19"/>
      <c r="N452" s="19">
        <f t="shared" si="139"/>
        <v>0</v>
      </c>
      <c r="O452" s="19">
        <f t="shared" si="139"/>
        <v>0</v>
      </c>
      <c r="P452" s="19"/>
      <c r="Q452" s="19">
        <f t="shared" si="139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4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4"/>
        <v>0</v>
      </c>
      <c r="H454" s="19"/>
      <c r="I454" s="19">
        <f t="shared" ref="I454:Q454" si="140">I455</f>
        <v>0</v>
      </c>
      <c r="J454" s="19">
        <f t="shared" si="140"/>
        <v>0</v>
      </c>
      <c r="K454" s="19"/>
      <c r="L454" s="19">
        <f t="shared" si="140"/>
        <v>0</v>
      </c>
      <c r="M454" s="19"/>
      <c r="N454" s="19">
        <f t="shared" si="140"/>
        <v>0</v>
      </c>
      <c r="O454" s="19">
        <f t="shared" si="140"/>
        <v>0</v>
      </c>
      <c r="P454" s="19"/>
      <c r="Q454" s="19">
        <f t="shared" si="140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4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1">F457</f>
        <v>0</v>
      </c>
      <c r="G456" s="19">
        <f t="shared" si="141"/>
        <v>0</v>
      </c>
      <c r="H456" s="19">
        <f t="shared" si="141"/>
        <v>0</v>
      </c>
      <c r="I456" s="19">
        <f t="shared" si="141"/>
        <v>0</v>
      </c>
      <c r="J456" s="19">
        <f t="shared" si="141"/>
        <v>0</v>
      </c>
      <c r="K456" s="19">
        <f t="shared" si="141"/>
        <v>0</v>
      </c>
      <c r="L456" s="19">
        <f t="shared" si="141"/>
        <v>0</v>
      </c>
      <c r="M456" s="19">
        <f t="shared" si="141"/>
        <v>0</v>
      </c>
      <c r="N456" s="19">
        <f t="shared" si="141"/>
        <v>0</v>
      </c>
      <c r="O456" s="19">
        <f t="shared" si="141"/>
        <v>0</v>
      </c>
      <c r="P456" s="19">
        <f t="shared" si="141"/>
        <v>0</v>
      </c>
      <c r="Q456" s="19">
        <f t="shared" si="141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0</v>
      </c>
      <c r="G457" s="37">
        <f t="shared" si="114"/>
        <v>0</v>
      </c>
      <c r="H457" s="37"/>
      <c r="I457" s="36"/>
      <c r="J457" s="36"/>
      <c r="K457" s="36"/>
      <c r="L457" s="36"/>
      <c r="M457" s="36"/>
      <c r="N457" s="36"/>
      <c r="O457" s="36"/>
      <c r="P457" s="36">
        <v>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2">SUM(I458:Q458)</f>
        <v>0</v>
      </c>
      <c r="H458" s="19"/>
      <c r="I458" s="19">
        <f t="shared" ref="I458:Q458" si="143">I459+I461+I469</f>
        <v>0</v>
      </c>
      <c r="J458" s="19">
        <f t="shared" si="143"/>
        <v>0</v>
      </c>
      <c r="K458" s="19"/>
      <c r="L458" s="19">
        <f t="shared" si="143"/>
        <v>0</v>
      </c>
      <c r="M458" s="19"/>
      <c r="N458" s="19">
        <f t="shared" si="143"/>
        <v>0</v>
      </c>
      <c r="O458" s="19">
        <f t="shared" si="143"/>
        <v>0</v>
      </c>
      <c r="P458" s="19"/>
      <c r="Q458" s="19">
        <f t="shared" si="143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2"/>
        <v>0</v>
      </c>
      <c r="H459" s="19"/>
      <c r="I459" s="19">
        <f t="shared" ref="I459:Q459" si="144">I460</f>
        <v>0</v>
      </c>
      <c r="J459" s="19">
        <f t="shared" si="144"/>
        <v>0</v>
      </c>
      <c r="K459" s="19"/>
      <c r="L459" s="19">
        <f t="shared" si="144"/>
        <v>0</v>
      </c>
      <c r="M459" s="19"/>
      <c r="N459" s="19">
        <f t="shared" si="144"/>
        <v>0</v>
      </c>
      <c r="O459" s="19">
        <f t="shared" si="144"/>
        <v>0</v>
      </c>
      <c r="P459" s="19"/>
      <c r="Q459" s="19">
        <f t="shared" si="144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2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2"/>
        <v>0</v>
      </c>
      <c r="H461" s="19"/>
      <c r="I461" s="19">
        <f t="shared" ref="I461:Q461" si="145">SUM(I462:I468)</f>
        <v>0</v>
      </c>
      <c r="J461" s="19">
        <f t="shared" si="145"/>
        <v>0</v>
      </c>
      <c r="K461" s="19"/>
      <c r="L461" s="19">
        <f t="shared" si="145"/>
        <v>0</v>
      </c>
      <c r="M461" s="19"/>
      <c r="N461" s="19">
        <f t="shared" si="145"/>
        <v>0</v>
      </c>
      <c r="O461" s="19">
        <f t="shared" si="145"/>
        <v>0</v>
      </c>
      <c r="P461" s="19"/>
      <c r="Q461" s="19">
        <f t="shared" si="145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2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2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2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2"/>
        <v>0</v>
      </c>
      <c r="H469" s="19"/>
      <c r="I469" s="19">
        <f t="shared" ref="I469:Q469" si="146">I470</f>
        <v>0</v>
      </c>
      <c r="J469" s="19">
        <f t="shared" si="146"/>
        <v>0</v>
      </c>
      <c r="K469" s="19"/>
      <c r="L469" s="19">
        <f t="shared" si="146"/>
        <v>0</v>
      </c>
      <c r="M469" s="19"/>
      <c r="N469" s="19">
        <f t="shared" si="146"/>
        <v>0</v>
      </c>
      <c r="O469" s="19">
        <f t="shared" si="146"/>
        <v>0</v>
      </c>
      <c r="P469" s="19"/>
      <c r="Q469" s="19">
        <f t="shared" si="146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2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2"/>
        <v>0</v>
      </c>
      <c r="H471" s="19"/>
      <c r="I471" s="19">
        <f t="shared" ref="I471:Q472" si="147">I472</f>
        <v>0</v>
      </c>
      <c r="J471" s="19">
        <f t="shared" si="147"/>
        <v>0</v>
      </c>
      <c r="K471" s="19"/>
      <c r="L471" s="19">
        <f t="shared" si="147"/>
        <v>0</v>
      </c>
      <c r="M471" s="19"/>
      <c r="N471" s="19">
        <f t="shared" si="147"/>
        <v>0</v>
      </c>
      <c r="O471" s="19">
        <f t="shared" si="147"/>
        <v>0</v>
      </c>
      <c r="P471" s="19"/>
      <c r="Q471" s="19">
        <f t="shared" si="147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2"/>
        <v>0</v>
      </c>
      <c r="H472" s="19"/>
      <c r="I472" s="19">
        <f t="shared" si="147"/>
        <v>0</v>
      </c>
      <c r="J472" s="19">
        <f t="shared" si="147"/>
        <v>0</v>
      </c>
      <c r="K472" s="19"/>
      <c r="L472" s="19">
        <f t="shared" si="147"/>
        <v>0</v>
      </c>
      <c r="M472" s="19"/>
      <c r="N472" s="19">
        <f t="shared" si="147"/>
        <v>0</v>
      </c>
      <c r="O472" s="19">
        <f t="shared" si="147"/>
        <v>0</v>
      </c>
      <c r="P472" s="19"/>
      <c r="Q472" s="19">
        <f t="shared" si="147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2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2"/>
        <v>0</v>
      </c>
      <c r="H474" s="19"/>
      <c r="I474" s="19">
        <f t="shared" ref="I474:Q474" si="148">I475+I477+I479</f>
        <v>0</v>
      </c>
      <c r="J474" s="19">
        <f t="shared" si="148"/>
        <v>0</v>
      </c>
      <c r="K474" s="19"/>
      <c r="L474" s="19">
        <f t="shared" si="148"/>
        <v>0</v>
      </c>
      <c r="M474" s="19"/>
      <c r="N474" s="19">
        <f t="shared" si="148"/>
        <v>0</v>
      </c>
      <c r="O474" s="19">
        <f t="shared" si="148"/>
        <v>0</v>
      </c>
      <c r="P474" s="19"/>
      <c r="Q474" s="19">
        <f t="shared" si="148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2"/>
        <v>0</v>
      </c>
      <c r="H475" s="19"/>
      <c r="I475" s="19">
        <f t="shared" ref="I475:Q475" si="149">I476</f>
        <v>0</v>
      </c>
      <c r="J475" s="19">
        <f t="shared" si="149"/>
        <v>0</v>
      </c>
      <c r="K475" s="19"/>
      <c r="L475" s="19">
        <f t="shared" si="149"/>
        <v>0</v>
      </c>
      <c r="M475" s="19"/>
      <c r="N475" s="19">
        <f t="shared" si="149"/>
        <v>0</v>
      </c>
      <c r="O475" s="19">
        <f t="shared" si="149"/>
        <v>0</v>
      </c>
      <c r="P475" s="19"/>
      <c r="Q475" s="19">
        <f t="shared" si="149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2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2"/>
        <v>0</v>
      </c>
      <c r="H477" s="19"/>
      <c r="I477" s="19">
        <f t="shared" ref="I477:Q477" si="150">I478</f>
        <v>0</v>
      </c>
      <c r="J477" s="19">
        <f t="shared" si="150"/>
        <v>0</v>
      </c>
      <c r="K477" s="19"/>
      <c r="L477" s="19">
        <f t="shared" si="150"/>
        <v>0</v>
      </c>
      <c r="M477" s="19"/>
      <c r="N477" s="19">
        <f t="shared" si="150"/>
        <v>0</v>
      </c>
      <c r="O477" s="19">
        <f t="shared" si="150"/>
        <v>0</v>
      </c>
      <c r="P477" s="19"/>
      <c r="Q477" s="19">
        <f t="shared" si="150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2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2"/>
        <v>0</v>
      </c>
      <c r="H479" s="19"/>
      <c r="I479" s="19">
        <f t="shared" ref="I479:Q479" si="151">I480+I481</f>
        <v>0</v>
      </c>
      <c r="J479" s="19">
        <f t="shared" si="151"/>
        <v>0</v>
      </c>
      <c r="K479" s="19"/>
      <c r="L479" s="19">
        <f t="shared" si="151"/>
        <v>0</v>
      </c>
      <c r="M479" s="19"/>
      <c r="N479" s="19">
        <f t="shared" si="151"/>
        <v>0</v>
      </c>
      <c r="O479" s="19">
        <f t="shared" si="151"/>
        <v>0</v>
      </c>
      <c r="P479" s="19"/>
      <c r="Q479" s="19">
        <f t="shared" si="151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2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2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2"/>
        <v>0</v>
      </c>
      <c r="H482" s="19"/>
      <c r="I482" s="19">
        <f t="shared" ref="I482:Q483" si="152">I483</f>
        <v>0</v>
      </c>
      <c r="J482" s="19">
        <f t="shared" si="152"/>
        <v>0</v>
      </c>
      <c r="K482" s="19"/>
      <c r="L482" s="19">
        <f t="shared" si="152"/>
        <v>0</v>
      </c>
      <c r="M482" s="19"/>
      <c r="N482" s="19">
        <f t="shared" si="152"/>
        <v>0</v>
      </c>
      <c r="O482" s="19">
        <f t="shared" si="152"/>
        <v>0</v>
      </c>
      <c r="P482" s="19"/>
      <c r="Q482" s="19">
        <f t="shared" si="152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2"/>
        <v>0</v>
      </c>
      <c r="H483" s="19"/>
      <c r="I483" s="19">
        <f t="shared" si="152"/>
        <v>0</v>
      </c>
      <c r="J483" s="19">
        <f t="shared" si="152"/>
        <v>0</v>
      </c>
      <c r="K483" s="19"/>
      <c r="L483" s="19">
        <f t="shared" si="152"/>
        <v>0</v>
      </c>
      <c r="M483" s="19"/>
      <c r="N483" s="19">
        <f t="shared" si="152"/>
        <v>0</v>
      </c>
      <c r="O483" s="19">
        <f t="shared" si="152"/>
        <v>0</v>
      </c>
      <c r="P483" s="19"/>
      <c r="Q483" s="19">
        <f t="shared" si="152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2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2"/>
        <v>0</v>
      </c>
      <c r="H485" s="19"/>
      <c r="I485" s="19">
        <f t="shared" ref="I485:Q485" si="153">I486+I515</f>
        <v>0</v>
      </c>
      <c r="J485" s="19">
        <f t="shared" si="153"/>
        <v>0</v>
      </c>
      <c r="K485" s="19"/>
      <c r="L485" s="19">
        <f t="shared" si="153"/>
        <v>0</v>
      </c>
      <c r="M485" s="19"/>
      <c r="N485" s="19">
        <f t="shared" si="153"/>
        <v>0</v>
      </c>
      <c r="O485" s="19">
        <f t="shared" si="153"/>
        <v>0</v>
      </c>
      <c r="P485" s="19"/>
      <c r="Q485" s="19">
        <f t="shared" si="153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2"/>
        <v>0</v>
      </c>
      <c r="H486" s="19"/>
      <c r="I486" s="19">
        <f t="shared" ref="I486:Q486" si="154">I487+I501+I509+I511+I513</f>
        <v>0</v>
      </c>
      <c r="J486" s="19">
        <f t="shared" si="154"/>
        <v>0</v>
      </c>
      <c r="K486" s="19"/>
      <c r="L486" s="19">
        <f t="shared" si="154"/>
        <v>0</v>
      </c>
      <c r="M486" s="19"/>
      <c r="N486" s="19">
        <f t="shared" si="154"/>
        <v>0</v>
      </c>
      <c r="O486" s="19">
        <f t="shared" si="154"/>
        <v>0</v>
      </c>
      <c r="P486" s="19"/>
      <c r="Q486" s="19">
        <f t="shared" si="154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2"/>
        <v>0</v>
      </c>
      <c r="H487" s="19"/>
      <c r="I487" s="19">
        <f t="shared" ref="I487:Q487" si="155">SUM(I488:I500)</f>
        <v>0</v>
      </c>
      <c r="J487" s="19">
        <f t="shared" si="155"/>
        <v>0</v>
      </c>
      <c r="K487" s="19"/>
      <c r="L487" s="19">
        <f t="shared" si="155"/>
        <v>0</v>
      </c>
      <c r="M487" s="19"/>
      <c r="N487" s="19">
        <f t="shared" si="155"/>
        <v>0</v>
      </c>
      <c r="O487" s="19">
        <f t="shared" si="155"/>
        <v>0</v>
      </c>
      <c r="P487" s="19"/>
      <c r="Q487" s="19">
        <f t="shared" si="155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2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2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2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2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2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2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2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2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2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2"/>
        <v>0</v>
      </c>
      <c r="H501" s="19"/>
      <c r="I501" s="19">
        <f t="shared" ref="I501:Q501" si="156">SUM(I502:I508)</f>
        <v>0</v>
      </c>
      <c r="J501" s="19">
        <f t="shared" si="156"/>
        <v>0</v>
      </c>
      <c r="K501" s="19"/>
      <c r="L501" s="19">
        <f t="shared" si="156"/>
        <v>0</v>
      </c>
      <c r="M501" s="19"/>
      <c r="N501" s="19">
        <f t="shared" si="156"/>
        <v>0</v>
      </c>
      <c r="O501" s="19">
        <f t="shared" si="156"/>
        <v>0</v>
      </c>
      <c r="P501" s="19"/>
      <c r="Q501" s="19">
        <f t="shared" si="156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2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2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2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2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2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2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2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2"/>
        <v>0</v>
      </c>
      <c r="H509" s="19"/>
      <c r="I509" s="19">
        <f t="shared" ref="I509:Q509" si="157">I510</f>
        <v>0</v>
      </c>
      <c r="J509" s="19">
        <f t="shared" si="157"/>
        <v>0</v>
      </c>
      <c r="K509" s="19"/>
      <c r="L509" s="19">
        <f t="shared" si="157"/>
        <v>0</v>
      </c>
      <c r="M509" s="19"/>
      <c r="N509" s="19">
        <f t="shared" si="157"/>
        <v>0</v>
      </c>
      <c r="O509" s="19">
        <f t="shared" si="157"/>
        <v>0</v>
      </c>
      <c r="P509" s="19"/>
      <c r="Q509" s="19">
        <f t="shared" si="157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2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2"/>
        <v>0</v>
      </c>
      <c r="H511" s="19"/>
      <c r="I511" s="19">
        <f t="shared" ref="I511:Q513" si="158">I512</f>
        <v>0</v>
      </c>
      <c r="J511" s="19">
        <f t="shared" si="158"/>
        <v>0</v>
      </c>
      <c r="K511" s="19"/>
      <c r="L511" s="19">
        <f t="shared" si="158"/>
        <v>0</v>
      </c>
      <c r="M511" s="19"/>
      <c r="N511" s="19">
        <f t="shared" si="158"/>
        <v>0</v>
      </c>
      <c r="O511" s="19">
        <f t="shared" si="158"/>
        <v>0</v>
      </c>
      <c r="P511" s="19"/>
      <c r="Q511" s="19">
        <f t="shared" si="158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2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2"/>
        <v>0</v>
      </c>
      <c r="H513" s="19"/>
      <c r="I513" s="19">
        <f t="shared" si="158"/>
        <v>0</v>
      </c>
      <c r="J513" s="19">
        <f t="shared" si="158"/>
        <v>0</v>
      </c>
      <c r="K513" s="19"/>
      <c r="L513" s="19">
        <f t="shared" si="158"/>
        <v>0</v>
      </c>
      <c r="M513" s="19"/>
      <c r="N513" s="19">
        <f t="shared" si="158"/>
        <v>0</v>
      </c>
      <c r="O513" s="19">
        <f t="shared" si="158"/>
        <v>0</v>
      </c>
      <c r="P513" s="19"/>
      <c r="Q513" s="19">
        <f t="shared" si="158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2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2"/>
        <v>0</v>
      </c>
      <c r="H515" s="19"/>
      <c r="I515" s="19">
        <f t="shared" ref="I515:Q515" si="159">I516+I530+I539</f>
        <v>0</v>
      </c>
      <c r="J515" s="19">
        <f t="shared" si="159"/>
        <v>0</v>
      </c>
      <c r="K515" s="19"/>
      <c r="L515" s="19">
        <f t="shared" si="159"/>
        <v>0</v>
      </c>
      <c r="M515" s="19"/>
      <c r="N515" s="19">
        <f t="shared" si="159"/>
        <v>0</v>
      </c>
      <c r="O515" s="19">
        <f t="shared" si="159"/>
        <v>0</v>
      </c>
      <c r="P515" s="19"/>
      <c r="Q515" s="19">
        <f t="shared" si="159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2"/>
        <v>0</v>
      </c>
      <c r="H516" s="19"/>
      <c r="I516" s="19">
        <f t="shared" ref="I516:Q516" si="160">SUM(I517:I529)</f>
        <v>0</v>
      </c>
      <c r="J516" s="19">
        <f t="shared" si="160"/>
        <v>0</v>
      </c>
      <c r="K516" s="19"/>
      <c r="L516" s="19">
        <f t="shared" si="160"/>
        <v>0</v>
      </c>
      <c r="M516" s="19"/>
      <c r="N516" s="19">
        <f t="shared" si="160"/>
        <v>0</v>
      </c>
      <c r="O516" s="19">
        <f t="shared" si="160"/>
        <v>0</v>
      </c>
      <c r="P516" s="19"/>
      <c r="Q516" s="19">
        <f t="shared" si="160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2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2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2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2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2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2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2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2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2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2"/>
        <v>0</v>
      </c>
      <c r="H530" s="19"/>
      <c r="I530" s="19">
        <f t="shared" ref="I530:Q530" si="161">SUM(I531:I538)</f>
        <v>0</v>
      </c>
      <c r="J530" s="19">
        <f t="shared" si="161"/>
        <v>0</v>
      </c>
      <c r="K530" s="19"/>
      <c r="L530" s="19">
        <f t="shared" si="161"/>
        <v>0</v>
      </c>
      <c r="M530" s="19"/>
      <c r="N530" s="19">
        <f t="shared" si="161"/>
        <v>0</v>
      </c>
      <c r="O530" s="19">
        <f t="shared" si="161"/>
        <v>0</v>
      </c>
      <c r="P530" s="19"/>
      <c r="Q530" s="19">
        <f t="shared" si="161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2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2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2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2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2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2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2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2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2"/>
        <v>0</v>
      </c>
      <c r="H539" s="19"/>
      <c r="I539" s="19">
        <f t="shared" ref="I539:Q539" si="163">I540</f>
        <v>0</v>
      </c>
      <c r="J539" s="19">
        <f t="shared" si="163"/>
        <v>0</v>
      </c>
      <c r="K539" s="19"/>
      <c r="L539" s="19">
        <f t="shared" si="163"/>
        <v>0</v>
      </c>
      <c r="M539" s="19"/>
      <c r="N539" s="19">
        <f t="shared" si="163"/>
        <v>0</v>
      </c>
      <c r="O539" s="19">
        <f t="shared" si="163"/>
        <v>0</v>
      </c>
      <c r="P539" s="19"/>
      <c r="Q539" s="19">
        <f t="shared" si="163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2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4">E219+E485</f>
        <v>1500538</v>
      </c>
      <c r="F541" s="19">
        <f t="shared" si="164"/>
        <v>1639055</v>
      </c>
      <c r="G541" s="19">
        <f t="shared" si="164"/>
        <v>1138166</v>
      </c>
      <c r="H541" s="19">
        <f t="shared" si="164"/>
        <v>26000</v>
      </c>
      <c r="I541" s="19">
        <f t="shared" si="164"/>
        <v>1577</v>
      </c>
      <c r="J541" s="19">
        <f t="shared" si="164"/>
        <v>0</v>
      </c>
      <c r="K541" s="19">
        <f t="shared" si="164"/>
        <v>1000</v>
      </c>
      <c r="L541" s="19">
        <f t="shared" si="164"/>
        <v>1273</v>
      </c>
      <c r="M541" s="19">
        <f t="shared" si="164"/>
        <v>1599334</v>
      </c>
      <c r="N541" s="19">
        <f t="shared" si="164"/>
        <v>1125638</v>
      </c>
      <c r="O541" s="19">
        <f t="shared" si="164"/>
        <v>0</v>
      </c>
      <c r="P541" s="19">
        <f t="shared" si="164"/>
        <v>12721</v>
      </c>
      <c r="Q541" s="19">
        <f t="shared" si="164"/>
        <v>9668</v>
      </c>
    </row>
    <row r="542" spans="1:17" hidden="1" x14ac:dyDescent="0.25"/>
    <row r="543" spans="1:17" hidden="1" x14ac:dyDescent="0.25">
      <c r="F543" s="44">
        <f>F210-F541</f>
        <v>279</v>
      </c>
      <c r="G543" s="44"/>
      <c r="H543" s="44">
        <f>H210-H541</f>
        <v>0</v>
      </c>
      <c r="I543" s="44"/>
      <c r="J543" s="44">
        <f>J210-J541</f>
        <v>0</v>
      </c>
      <c r="K543" s="44">
        <f>K210-K541</f>
        <v>0</v>
      </c>
      <c r="L543" s="44"/>
      <c r="M543" s="44">
        <f>M210-M541</f>
        <v>0</v>
      </c>
      <c r="N543" s="44"/>
      <c r="O543" s="44">
        <f>O210-O541</f>
        <v>0</v>
      </c>
      <c r="P543" s="60">
        <f>P210-P541</f>
        <v>279</v>
      </c>
      <c r="Q543" s="44" t="s">
        <v>469</v>
      </c>
    </row>
    <row r="544" spans="1:17" hidden="1" x14ac:dyDescent="0.25"/>
    <row r="545" spans="1:16" hidden="1" x14ac:dyDescent="0.25">
      <c r="M545" s="44">
        <v>55285</v>
      </c>
    </row>
    <row r="546" spans="1:16" hidden="1" x14ac:dyDescent="0.25">
      <c r="K546" s="12" t="s">
        <v>463</v>
      </c>
      <c r="L546" s="44">
        <v>50421</v>
      </c>
      <c r="M546" s="44">
        <f>M249+M251+M252+M253+M257+M264+M265+M266+M267+M269+M274+M278+M281+M282+M284+M285+M287+M289+M312+M313</f>
        <v>55285</v>
      </c>
      <c r="N546" s="44">
        <f>L546-M546</f>
        <v>-4864</v>
      </c>
      <c r="P546" s="44">
        <f>M546-M545</f>
        <v>0</v>
      </c>
    </row>
    <row r="547" spans="1:16" s="127" customFormat="1" ht="24.75" customHeight="1" x14ac:dyDescent="0.25">
      <c r="A547" s="531" t="s">
        <v>509</v>
      </c>
      <c r="B547" s="532"/>
      <c r="C547" s="533"/>
      <c r="D547" s="124"/>
      <c r="E547" s="125"/>
      <c r="F547" s="125">
        <f>F210-F541</f>
        <v>279</v>
      </c>
      <c r="G547" s="125">
        <f t="shared" ref="G547" si="165">G210-G541</f>
        <v>1889772</v>
      </c>
      <c r="H547" s="126">
        <f>H210-H541</f>
        <v>0</v>
      </c>
      <c r="I547" s="125">
        <f t="shared" ref="I547:P547" si="166">I210-I541</f>
        <v>17161</v>
      </c>
      <c r="J547" s="125">
        <f t="shared" si="166"/>
        <v>0</v>
      </c>
      <c r="K547" s="126">
        <f t="shared" si="166"/>
        <v>0</v>
      </c>
      <c r="L547" s="126">
        <f t="shared" si="166"/>
        <v>-768</v>
      </c>
      <c r="M547" s="126">
        <f t="shared" si="166"/>
        <v>0</v>
      </c>
      <c r="N547" s="125">
        <f t="shared" si="166"/>
        <v>272554</v>
      </c>
      <c r="O547" s="125">
        <f t="shared" si="166"/>
        <v>0</v>
      </c>
      <c r="P547" s="125">
        <f t="shared" si="166"/>
        <v>279</v>
      </c>
    </row>
    <row r="549" spans="1:16" hidden="1" x14ac:dyDescent="0.25">
      <c r="F549" s="44">
        <f>F210-F541</f>
        <v>279</v>
      </c>
      <c r="M549" s="44">
        <f>M249+M251+M252+M253+M257+M264+M265+M266+M267+M269+M274+M278+M281+M282+M284+M285+M287+M289+M312+M313</f>
        <v>55285</v>
      </c>
    </row>
  </sheetData>
  <mergeCells count="187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47:C547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E238:Q269 H432:H443 I432:Q462 E432:G462 E104:E127 G120:M121 G104:Q119 E467:Q490 E379:Q399 E353:Q374 E323:Q348 E404:Q427 E522:Q541 E219:Q233 E274:Q318 H445:H462 E132:E154 G132:Q154 G122:Q127 G74:Q99 E74:E99 E6:Q10 E207:Q211 E185:Q202 E159:Q180 E47:Q69 E15:Q42 F74:F154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W549"/>
  <sheetViews>
    <sheetView topLeftCell="B550" workbookViewId="0">
      <selection activeCell="Y302" sqref="Y302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10.42578125" style="12" customWidth="1"/>
    <col min="7" max="7" width="1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7.28515625" style="12" customWidth="1"/>
    <col min="12" max="12" width="6.28515625" style="12" hidden="1" customWidth="1"/>
    <col min="13" max="13" width="13.85546875" style="12" customWidth="1"/>
    <col min="14" max="14" width="0" style="12" hidden="1" customWidth="1"/>
    <col min="15" max="15" width="11.7109375" style="12" customWidth="1"/>
    <col min="16" max="16" width="13.85546875" style="12" customWidth="1"/>
    <col min="17" max="17" width="10.5703125" style="12" customWidth="1"/>
    <col min="18" max="18" width="7.85546875" style="12" hidden="1" customWidth="1"/>
    <col min="19" max="23" width="0" style="12" hidden="1" customWidth="1"/>
    <col min="24" max="24" width="4.85546875" style="12" customWidth="1"/>
    <col min="25" max="16384" width="9.140625" style="12"/>
  </cols>
  <sheetData>
    <row r="1" spans="1:18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</row>
    <row r="2" spans="1:18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5"/>
      <c r="R2" s="566"/>
    </row>
    <row r="3" spans="1:18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473"/>
      <c r="Q3" s="541" t="s">
        <v>8</v>
      </c>
      <c r="R3" s="563" t="s">
        <v>8</v>
      </c>
    </row>
    <row r="4" spans="1:18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476"/>
      <c r="Q4" s="544"/>
      <c r="R4" s="547"/>
    </row>
    <row r="5" spans="1:18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/>
      <c r="Q5" s="476">
        <v>8</v>
      </c>
      <c r="R5" s="478">
        <v>8</v>
      </c>
    </row>
    <row r="6" spans="1:18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1639334</v>
      </c>
      <c r="G6" s="19">
        <f t="shared" ref="G6:R6" si="0">G7+G133</f>
        <v>3027938</v>
      </c>
      <c r="H6" s="19">
        <f t="shared" si="0"/>
        <v>26000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1599334</v>
      </c>
      <c r="N6" s="19">
        <f t="shared" si="0"/>
        <v>1398192</v>
      </c>
      <c r="O6" s="19">
        <f t="shared" si="0"/>
        <v>0</v>
      </c>
      <c r="P6" s="19"/>
      <c r="Q6" s="19">
        <f t="shared" si="0"/>
        <v>13000</v>
      </c>
      <c r="R6" s="67">
        <f t="shared" si="0"/>
        <v>12669</v>
      </c>
    </row>
    <row r="7" spans="1:18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1639134</v>
      </c>
      <c r="G7" s="19">
        <f>G8+G60+G74+G86+G115+G122+G126</f>
        <v>3027754</v>
      </c>
      <c r="H7" s="19">
        <f t="shared" ref="H7:R7" si="1">H8+H60+H74+H86+H115+H122+H126</f>
        <v>26000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1599334</v>
      </c>
      <c r="N7" s="19">
        <f t="shared" si="1"/>
        <v>1398192</v>
      </c>
      <c r="O7" s="19">
        <f t="shared" si="1"/>
        <v>0</v>
      </c>
      <c r="P7" s="19"/>
      <c r="Q7" s="19">
        <f t="shared" si="1"/>
        <v>12800</v>
      </c>
      <c r="R7" s="67">
        <f t="shared" si="1"/>
        <v>12485</v>
      </c>
    </row>
    <row r="8" spans="1:18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SUM(I8:R8)</f>
        <v>0</v>
      </c>
      <c r="H8" s="21"/>
      <c r="I8" s="21">
        <f t="shared" ref="I8:R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21"/>
      <c r="R8" s="68">
        <f t="shared" si="3"/>
        <v>0</v>
      </c>
    </row>
    <row r="9" spans="1:18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R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21"/>
      <c r="R9" s="68">
        <f t="shared" si="4"/>
        <v>0</v>
      </c>
    </row>
    <row r="10" spans="1:18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69"/>
    </row>
    <row r="11" spans="1:18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4"/>
      <c r="R11" s="547"/>
    </row>
    <row r="12" spans="1:18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476"/>
      <c r="R12" s="547" t="s">
        <v>8</v>
      </c>
    </row>
    <row r="13" spans="1:18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476"/>
      <c r="R13" s="547"/>
    </row>
    <row r="14" spans="1:18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33"/>
      <c r="R14" s="70" t="s">
        <v>28</v>
      </c>
    </row>
    <row r="15" spans="1:18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69"/>
    </row>
    <row r="16" spans="1:18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69"/>
    </row>
    <row r="17" spans="1:18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R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21"/>
      <c r="R17" s="68">
        <f t="shared" si="5"/>
        <v>0</v>
      </c>
    </row>
    <row r="18" spans="1:18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69"/>
    </row>
    <row r="19" spans="1:18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R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21"/>
      <c r="R19" s="68">
        <f t="shared" si="6"/>
        <v>0</v>
      </c>
    </row>
    <row r="20" spans="1:18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69"/>
    </row>
    <row r="21" spans="1:18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69"/>
    </row>
    <row r="22" spans="1:18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69"/>
    </row>
    <row r="23" spans="1:18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69"/>
    </row>
    <row r="24" spans="1:18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69"/>
    </row>
    <row r="25" spans="1:18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21"/>
      <c r="R25" s="68"/>
    </row>
    <row r="26" spans="1:18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R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21"/>
      <c r="R26" s="68">
        <f t="shared" si="7"/>
        <v>0</v>
      </c>
    </row>
    <row r="27" spans="1:18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69"/>
    </row>
    <row r="28" spans="1:18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69"/>
    </row>
    <row r="29" spans="1:18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69"/>
    </row>
    <row r="30" spans="1:18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69"/>
    </row>
    <row r="31" spans="1:18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69"/>
    </row>
    <row r="32" spans="1:18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R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21"/>
      <c r="R32" s="68">
        <f t="shared" si="8"/>
        <v>0</v>
      </c>
    </row>
    <row r="33" spans="1:18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69"/>
    </row>
    <row r="34" spans="1:18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69"/>
    </row>
    <row r="35" spans="1:18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69"/>
    </row>
    <row r="36" spans="1:18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69"/>
    </row>
    <row r="37" spans="1:18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69"/>
    </row>
    <row r="38" spans="1:18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69"/>
    </row>
    <row r="39" spans="1:18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R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21"/>
      <c r="R39" s="68">
        <f t="shared" si="9"/>
        <v>0</v>
      </c>
    </row>
    <row r="40" spans="1:18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69"/>
    </row>
    <row r="41" spans="1:18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69"/>
    </row>
    <row r="42" spans="1:18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SUM(I42:R42)</f>
        <v>0</v>
      </c>
      <c r="H42" s="21"/>
      <c r="I42" s="21">
        <f t="shared" ref="I42:R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21"/>
      <c r="R42" s="68">
        <f t="shared" si="11"/>
        <v>0</v>
      </c>
    </row>
    <row r="43" spans="1:18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49"/>
      <c r="R43" s="550"/>
    </row>
    <row r="44" spans="1:18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480"/>
      <c r="R44" s="550" t="s">
        <v>8</v>
      </c>
    </row>
    <row r="45" spans="1:18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480"/>
      <c r="R45" s="550"/>
    </row>
    <row r="46" spans="1:18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475"/>
      <c r="R46" s="71" t="s">
        <v>28</v>
      </c>
    </row>
    <row r="47" spans="1:18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69"/>
    </row>
    <row r="48" spans="1:18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69"/>
    </row>
    <row r="49" spans="1:18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69"/>
    </row>
    <row r="50" spans="1:18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69"/>
    </row>
    <row r="51" spans="1:18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69"/>
    </row>
    <row r="52" spans="1:18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69"/>
    </row>
    <row r="53" spans="1:18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R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21"/>
      <c r="R53" s="68">
        <f t="shared" si="12"/>
        <v>0</v>
      </c>
    </row>
    <row r="54" spans="1:18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69"/>
    </row>
    <row r="55" spans="1:18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69"/>
    </row>
    <row r="56" spans="1:18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69"/>
    </row>
    <row r="57" spans="1:18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69"/>
    </row>
    <row r="58" spans="1:18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69"/>
    </row>
    <row r="59" spans="1:18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69"/>
    </row>
    <row r="60" spans="1:18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R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19"/>
      <c r="R60" s="67">
        <f t="shared" si="13"/>
        <v>0</v>
      </c>
    </row>
    <row r="61" spans="1:18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R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19"/>
      <c r="R61" s="67">
        <f t="shared" si="14"/>
        <v>0</v>
      </c>
    </row>
    <row r="62" spans="1:18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36"/>
      <c r="R62" s="72"/>
    </row>
    <row r="63" spans="1:18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36"/>
      <c r="R63" s="72"/>
    </row>
    <row r="64" spans="1:18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36"/>
      <c r="R64" s="72"/>
    </row>
    <row r="65" spans="1:18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36"/>
      <c r="R65" s="72"/>
    </row>
    <row r="66" spans="1:18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R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19"/>
      <c r="R66" s="67">
        <f t="shared" si="15"/>
        <v>0</v>
      </c>
    </row>
    <row r="67" spans="1:18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36"/>
      <c r="R67" s="72"/>
    </row>
    <row r="68" spans="1:18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36"/>
      <c r="R68" s="72"/>
    </row>
    <row r="69" spans="1:18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36"/>
      <c r="R69" s="72"/>
    </row>
    <row r="70" spans="1:18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4"/>
      <c r="R70" s="547"/>
    </row>
    <row r="71" spans="1:18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476"/>
      <c r="R71" s="547" t="s">
        <v>8</v>
      </c>
    </row>
    <row r="72" spans="1:18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476"/>
      <c r="R72" s="547"/>
    </row>
    <row r="73" spans="1:18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33"/>
      <c r="R73" s="70" t="s">
        <v>28</v>
      </c>
    </row>
    <row r="74" spans="1:18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R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19"/>
      <c r="R74" s="67">
        <f t="shared" si="16"/>
        <v>0</v>
      </c>
    </row>
    <row r="75" spans="1:18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R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19"/>
      <c r="R75" s="67">
        <f t="shared" si="17"/>
        <v>0</v>
      </c>
    </row>
    <row r="76" spans="1:18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36"/>
      <c r="R76" s="72"/>
    </row>
    <row r="77" spans="1:18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36"/>
      <c r="R77" s="72"/>
    </row>
    <row r="78" spans="1:18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R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19"/>
      <c r="R78" s="67">
        <f t="shared" si="18"/>
        <v>0</v>
      </c>
    </row>
    <row r="79" spans="1:18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36"/>
      <c r="R79" s="72"/>
    </row>
    <row r="80" spans="1:18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36"/>
      <c r="R80" s="72"/>
    </row>
    <row r="81" spans="1:18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36"/>
      <c r="R81" s="72"/>
    </row>
    <row r="82" spans="1:18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36"/>
      <c r="R82" s="72"/>
    </row>
    <row r="83" spans="1:18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R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19"/>
      <c r="R83" s="67">
        <f t="shared" si="19"/>
        <v>0</v>
      </c>
    </row>
    <row r="84" spans="1:18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SUM(I84:R84)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36"/>
      <c r="R84" s="72"/>
    </row>
    <row r="85" spans="1:18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36"/>
      <c r="R85" s="72"/>
    </row>
    <row r="86" spans="1:18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15300</v>
      </c>
      <c r="G86" s="19">
        <f t="shared" ref="G86:R86" si="21">G87+G94+G99+G110+G113</f>
        <v>14780</v>
      </c>
      <c r="H86" s="19">
        <f>H87+H94+H99+H110+H113</f>
        <v>1000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f>M87+M94+M120</f>
        <v>1500</v>
      </c>
      <c r="N86" s="19">
        <f t="shared" si="21"/>
        <v>1130</v>
      </c>
      <c r="O86" s="19">
        <f t="shared" si="21"/>
        <v>0</v>
      </c>
      <c r="P86" s="19"/>
      <c r="Q86" s="19">
        <f>Q87+Q94+Q99+Q110+Q113+Q120</f>
        <v>12800</v>
      </c>
      <c r="R86" s="67">
        <f t="shared" si="21"/>
        <v>12485</v>
      </c>
    </row>
    <row r="87" spans="1:18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R87" si="22">SUM(F88:F93)</f>
        <v>1500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1500</v>
      </c>
      <c r="N87" s="19">
        <f t="shared" si="22"/>
        <v>1130</v>
      </c>
      <c r="O87" s="19">
        <f t="shared" si="22"/>
        <v>0</v>
      </c>
      <c r="P87" s="19"/>
      <c r="Q87" s="19">
        <f t="shared" si="22"/>
        <v>0</v>
      </c>
      <c r="R87" s="67">
        <f t="shared" si="22"/>
        <v>0</v>
      </c>
    </row>
    <row r="88" spans="1:18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36"/>
      <c r="R88" s="72"/>
    </row>
    <row r="89" spans="1:18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36"/>
      <c r="R89" s="72"/>
    </row>
    <row r="90" spans="1:18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36"/>
      <c r="R90" s="72"/>
    </row>
    <row r="91" spans="1:18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H91+K91+M91+Q91</f>
        <v>1500</v>
      </c>
      <c r="G91" s="37">
        <f>SUM(I91:R91)-K91-M91-Q91</f>
        <v>1130</v>
      </c>
      <c r="H91" s="37"/>
      <c r="I91" s="38"/>
      <c r="J91" s="38"/>
      <c r="K91" s="38"/>
      <c r="L91" s="38"/>
      <c r="M91" s="38">
        <v>1500</v>
      </c>
      <c r="N91" s="38">
        <v>1130</v>
      </c>
      <c r="O91" s="38"/>
      <c r="P91" s="38"/>
      <c r="Q91" s="38"/>
      <c r="R91" s="73"/>
    </row>
    <row r="92" spans="1:18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H92+K92+M92+Q92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36"/>
      <c r="R92" s="72"/>
    </row>
    <row r="93" spans="1:18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36"/>
      <c r="R93" s="72"/>
    </row>
    <row r="94" spans="1:18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R94" si="24">SUM(G95:G98)</f>
        <v>13236</v>
      </c>
      <c r="H94" s="19">
        <f t="shared" si="24"/>
        <v>1000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/>
      <c r="Q94" s="19">
        <f t="shared" si="24"/>
        <v>12700</v>
      </c>
      <c r="R94" s="67">
        <f t="shared" si="24"/>
        <v>12071</v>
      </c>
    </row>
    <row r="95" spans="1:18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SUM(I95:R95)-K95-M95-Q95</f>
        <v>4891</v>
      </c>
      <c r="H95" s="37"/>
      <c r="I95" s="36"/>
      <c r="J95" s="36"/>
      <c r="K95" s="36"/>
      <c r="L95" s="36"/>
      <c r="M95" s="36"/>
      <c r="N95" s="36"/>
      <c r="O95" s="36"/>
      <c r="P95" s="36"/>
      <c r="Q95" s="36">
        <v>5000</v>
      </c>
      <c r="R95" s="72">
        <v>4891</v>
      </c>
    </row>
    <row r="96" spans="1:18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SUM(I96:R96)-H96-K96-M96-Q96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36"/>
      <c r="R96" s="72"/>
    </row>
    <row r="97" spans="1:18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SUM(I97:R97)-K97-M97-Q97</f>
        <v>8345</v>
      </c>
      <c r="H97" s="37">
        <v>1000</v>
      </c>
      <c r="I97" s="36">
        <v>1165</v>
      </c>
      <c r="J97" s="36"/>
      <c r="K97" s="36"/>
      <c r="L97" s="36"/>
      <c r="M97" s="36"/>
      <c r="N97" s="36"/>
      <c r="O97" s="36"/>
      <c r="P97" s="36"/>
      <c r="Q97" s="36">
        <v>7700</v>
      </c>
      <c r="R97" s="72">
        <v>7180</v>
      </c>
    </row>
    <row r="98" spans="1:18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36"/>
      <c r="R98" s="72"/>
    </row>
    <row r="99" spans="1:18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R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19"/>
      <c r="R99" s="67">
        <f t="shared" si="26"/>
        <v>0</v>
      </c>
    </row>
    <row r="100" spans="1:18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4"/>
      <c r="R100" s="547"/>
    </row>
    <row r="101" spans="1:18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476"/>
      <c r="R101" s="547" t="s">
        <v>8</v>
      </c>
    </row>
    <row r="102" spans="1:18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476"/>
      <c r="R102" s="547"/>
    </row>
    <row r="103" spans="1:18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33"/>
      <c r="R103" s="70" t="s">
        <v>28</v>
      </c>
    </row>
    <row r="104" spans="1:18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36"/>
      <c r="R104" s="72"/>
    </row>
    <row r="105" spans="1:18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36"/>
      <c r="R105" s="72"/>
    </row>
    <row r="106" spans="1:18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36"/>
      <c r="R106" s="72"/>
    </row>
    <row r="107" spans="1:18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36"/>
      <c r="R107" s="72"/>
    </row>
    <row r="108" spans="1:18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36"/>
      <c r="R108" s="72"/>
    </row>
    <row r="109" spans="1:18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36"/>
      <c r="R109" s="72"/>
    </row>
    <row r="110" spans="1:18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R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/>
      <c r="Q110" s="19">
        <f t="shared" si="27"/>
        <v>0</v>
      </c>
      <c r="R110" s="67">
        <f t="shared" si="27"/>
        <v>414</v>
      </c>
    </row>
    <row r="111" spans="1:18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36"/>
      <c r="R111" s="72">
        <v>414</v>
      </c>
    </row>
    <row r="112" spans="1:18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36"/>
      <c r="R112" s="72"/>
    </row>
    <row r="113" spans="1:23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R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19"/>
      <c r="R113" s="67">
        <f t="shared" si="28"/>
        <v>0</v>
      </c>
    </row>
    <row r="114" spans="1:23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36"/>
      <c r="R114" s="72"/>
    </row>
    <row r="115" spans="1:23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R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19"/>
      <c r="R115" s="67">
        <f t="shared" si="29"/>
        <v>0</v>
      </c>
    </row>
    <row r="116" spans="1:23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R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19"/>
      <c r="R116" s="67">
        <f t="shared" si="30"/>
        <v>0</v>
      </c>
    </row>
    <row r="117" spans="1:23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36"/>
      <c r="R117" s="72"/>
    </row>
    <row r="118" spans="1:23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R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19"/>
      <c r="R118" s="67">
        <f t="shared" si="31"/>
        <v>0</v>
      </c>
    </row>
    <row r="119" spans="1:23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36"/>
      <c r="R119" s="72"/>
    </row>
    <row r="120" spans="1:23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2994896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Q120" s="19">
        <f>Q121</f>
        <v>100</v>
      </c>
    </row>
    <row r="121" spans="1:23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Q121" s="352">
        <v>100</v>
      </c>
    </row>
    <row r="122" spans="1:23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1597834</v>
      </c>
      <c r="G122" s="19">
        <f t="shared" ref="G122:R122" si="33">G123</f>
        <v>2994896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1597834</v>
      </c>
      <c r="N122" s="19">
        <f t="shared" si="33"/>
        <v>1397062</v>
      </c>
      <c r="O122" s="19">
        <f t="shared" si="33"/>
        <v>0</v>
      </c>
      <c r="P122" s="19"/>
      <c r="Q122" s="19">
        <f t="shared" si="33"/>
        <v>0</v>
      </c>
      <c r="R122" s="67">
        <f t="shared" si="33"/>
        <v>0</v>
      </c>
    </row>
    <row r="123" spans="1:23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1597834</v>
      </c>
      <c r="G123" s="19">
        <f t="shared" ref="G123:R123" si="34">G124+G125</f>
        <v>2994896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1597834</v>
      </c>
      <c r="N123" s="19">
        <f t="shared" si="34"/>
        <v>1397062</v>
      </c>
      <c r="O123" s="19">
        <f t="shared" si="34"/>
        <v>0</v>
      </c>
      <c r="P123" s="19"/>
      <c r="Q123" s="19">
        <f t="shared" si="34"/>
        <v>0</v>
      </c>
      <c r="R123" s="67">
        <f t="shared" si="34"/>
        <v>0</v>
      </c>
    </row>
    <row r="124" spans="1:23" ht="28.5" x14ac:dyDescent="0.4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1597834</v>
      </c>
      <c r="G124" s="37">
        <f>SUM(I124:R124)</f>
        <v>2994896</v>
      </c>
      <c r="H124" s="37"/>
      <c r="I124" s="36"/>
      <c r="J124" s="36"/>
      <c r="K124" s="36"/>
      <c r="L124" s="36"/>
      <c r="M124" s="36">
        <v>1597834</v>
      </c>
      <c r="N124" s="36">
        <v>1397062</v>
      </c>
      <c r="O124" s="36"/>
      <c r="P124" s="36"/>
      <c r="Q124" s="36"/>
      <c r="R124" s="72"/>
      <c r="W124" s="388" t="s">
        <v>538</v>
      </c>
    </row>
    <row r="125" spans="1:23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SUM(I125:R125)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36"/>
      <c r="R125" s="72"/>
    </row>
    <row r="126" spans="1:23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26000</v>
      </c>
      <c r="G126" s="19">
        <f t="shared" ref="G126:R126" si="36">G127</f>
        <v>18078</v>
      </c>
      <c r="H126" s="19">
        <f>H127</f>
        <v>25000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/>
      <c r="Q126" s="19">
        <f t="shared" si="36"/>
        <v>0</v>
      </c>
      <c r="R126" s="67">
        <f t="shared" si="36"/>
        <v>0</v>
      </c>
    </row>
    <row r="127" spans="1:23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26000</v>
      </c>
      <c r="G127" s="19">
        <f t="shared" ref="G127:R127" si="37">G132</f>
        <v>18078</v>
      </c>
      <c r="H127" s="19">
        <f t="shared" si="37"/>
        <v>25000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/>
      <c r="Q127" s="19">
        <f t="shared" si="37"/>
        <v>0</v>
      </c>
      <c r="R127" s="67">
        <f t="shared" si="37"/>
        <v>0</v>
      </c>
    </row>
    <row r="128" spans="1:23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4"/>
      <c r="R128" s="547"/>
    </row>
    <row r="129" spans="1:23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476"/>
      <c r="R129" s="547" t="s">
        <v>8</v>
      </c>
    </row>
    <row r="130" spans="1:23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476"/>
      <c r="R130" s="547"/>
    </row>
    <row r="131" spans="1:23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33"/>
      <c r="R131" s="70" t="s">
        <v>28</v>
      </c>
    </row>
    <row r="132" spans="1:23" ht="26.25" x14ac:dyDescent="0.4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26000</v>
      </c>
      <c r="G132" s="389">
        <f>SUM(I132:R132)-K132-M132-Q132</f>
        <v>18078</v>
      </c>
      <c r="H132" s="389">
        <v>25000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36"/>
      <c r="R132" s="72"/>
      <c r="W132" s="388" t="s">
        <v>538</v>
      </c>
    </row>
    <row r="133" spans="1:23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R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/>
      <c r="Q133" s="19">
        <f t="shared" si="38"/>
        <v>200</v>
      </c>
      <c r="R133" s="67">
        <f t="shared" si="38"/>
        <v>184</v>
      </c>
    </row>
    <row r="134" spans="1:23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R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>K135+K137+K139</f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/>
      <c r="Q134" s="19">
        <f t="shared" si="39"/>
        <v>200</v>
      </c>
      <c r="R134" s="67">
        <f t="shared" si="39"/>
        <v>184</v>
      </c>
    </row>
    <row r="135" spans="1:23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R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19"/>
      <c r="R135" s="67">
        <f t="shared" si="40"/>
        <v>0</v>
      </c>
    </row>
    <row r="136" spans="1:23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36"/>
      <c r="R136" s="72"/>
    </row>
    <row r="137" spans="1:23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R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/>
      <c r="Q137" s="19">
        <f t="shared" si="41"/>
        <v>200</v>
      </c>
      <c r="R137" s="67">
        <f t="shared" si="41"/>
        <v>184</v>
      </c>
    </row>
    <row r="138" spans="1:23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SUM(I138:R138)-K138-M138-Q138</f>
        <v>184</v>
      </c>
      <c r="H138" s="37"/>
      <c r="I138" s="36"/>
      <c r="J138" s="36"/>
      <c r="K138" s="36"/>
      <c r="L138" s="36"/>
      <c r="M138" s="36"/>
      <c r="N138" s="36"/>
      <c r="O138" s="36"/>
      <c r="P138" s="36"/>
      <c r="Q138" s="36">
        <v>200</v>
      </c>
      <c r="R138" s="72">
        <v>184</v>
      </c>
    </row>
    <row r="139" spans="1:23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R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19"/>
      <c r="R139" s="67">
        <f t="shared" si="42"/>
        <v>0</v>
      </c>
    </row>
    <row r="140" spans="1:23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36"/>
      <c r="R140" s="72"/>
    </row>
    <row r="141" spans="1:23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R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19"/>
      <c r="R141" s="67">
        <f t="shared" si="43"/>
        <v>0</v>
      </c>
    </row>
    <row r="142" spans="1:23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R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19"/>
      <c r="R142" s="67">
        <f t="shared" si="44"/>
        <v>0</v>
      </c>
    </row>
    <row r="143" spans="1:23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36"/>
      <c r="R143" s="72"/>
    </row>
    <row r="144" spans="1:23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R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19"/>
      <c r="R144" s="67">
        <f t="shared" si="45"/>
        <v>0</v>
      </c>
    </row>
    <row r="145" spans="1:18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36"/>
      <c r="R145" s="72"/>
    </row>
    <row r="146" spans="1:18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R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19"/>
      <c r="R146" s="67">
        <f t="shared" si="46"/>
        <v>0</v>
      </c>
    </row>
    <row r="147" spans="1:18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36"/>
      <c r="R147" s="72"/>
    </row>
    <row r="148" spans="1:18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R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19"/>
      <c r="R148" s="67">
        <f t="shared" si="47"/>
        <v>0</v>
      </c>
    </row>
    <row r="149" spans="1:18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19"/>
      <c r="R149" s="67">
        <f t="shared" si="47"/>
        <v>0</v>
      </c>
    </row>
    <row r="150" spans="1:18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36"/>
      <c r="R150" s="72"/>
    </row>
    <row r="151" spans="1:18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R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19"/>
      <c r="R151" s="67">
        <f t="shared" si="48"/>
        <v>0</v>
      </c>
    </row>
    <row r="152" spans="1:18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R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19"/>
      <c r="R152" s="67">
        <f t="shared" si="49"/>
        <v>0</v>
      </c>
    </row>
    <row r="153" spans="1:18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36"/>
      <c r="R153" s="72"/>
    </row>
    <row r="154" spans="1:18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R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19"/>
      <c r="R154" s="67">
        <f t="shared" si="50"/>
        <v>0</v>
      </c>
    </row>
    <row r="155" spans="1:18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4"/>
      <c r="R155" s="547"/>
    </row>
    <row r="156" spans="1:18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476"/>
      <c r="R156" s="547" t="s">
        <v>8</v>
      </c>
    </row>
    <row r="157" spans="1:18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476"/>
      <c r="R157" s="547"/>
    </row>
    <row r="158" spans="1:18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33"/>
      <c r="R158" s="70" t="s">
        <v>28</v>
      </c>
    </row>
    <row r="159" spans="1:18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36"/>
      <c r="R159" s="72"/>
    </row>
    <row r="160" spans="1:18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R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19"/>
      <c r="R160" s="67">
        <f t="shared" si="51"/>
        <v>0</v>
      </c>
    </row>
    <row r="161" spans="1:18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36"/>
      <c r="R161" s="72"/>
    </row>
    <row r="162" spans="1:18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SUM(I162:R162)</f>
        <v>0</v>
      </c>
      <c r="H162" s="19"/>
      <c r="I162" s="19">
        <f t="shared" ref="I162:R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19"/>
      <c r="R162" s="67">
        <f t="shared" si="53"/>
        <v>0</v>
      </c>
    </row>
    <row r="163" spans="1:18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R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19"/>
      <c r="R163" s="67">
        <f t="shared" si="54"/>
        <v>0</v>
      </c>
    </row>
    <row r="164" spans="1:18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R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19"/>
      <c r="R164" s="67">
        <f t="shared" si="55"/>
        <v>0</v>
      </c>
    </row>
    <row r="165" spans="1:18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36"/>
      <c r="R165" s="72"/>
    </row>
    <row r="166" spans="1:18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36"/>
      <c r="R166" s="72"/>
    </row>
    <row r="167" spans="1:18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36"/>
      <c r="R167" s="72"/>
    </row>
    <row r="168" spans="1:18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36"/>
      <c r="R168" s="72"/>
    </row>
    <row r="169" spans="1:18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36"/>
      <c r="R169" s="72"/>
    </row>
    <row r="170" spans="1:18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36"/>
      <c r="R170" s="72"/>
    </row>
    <row r="171" spans="1:18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36"/>
      <c r="R171" s="72"/>
    </row>
    <row r="172" spans="1:18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36"/>
      <c r="R172" s="72"/>
    </row>
    <row r="173" spans="1:18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36"/>
      <c r="R173" s="72"/>
    </row>
    <row r="174" spans="1:18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R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19"/>
      <c r="R174" s="67">
        <f t="shared" si="56"/>
        <v>0</v>
      </c>
    </row>
    <row r="175" spans="1:18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36"/>
      <c r="R175" s="72"/>
    </row>
    <row r="176" spans="1:18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36"/>
      <c r="R176" s="72"/>
    </row>
    <row r="177" spans="1:18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36"/>
      <c r="R177" s="72"/>
    </row>
    <row r="178" spans="1:18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36"/>
      <c r="R178" s="72"/>
    </row>
    <row r="179" spans="1:18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36"/>
      <c r="R179" s="72"/>
    </row>
    <row r="180" spans="1:18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36"/>
      <c r="R180" s="72"/>
    </row>
    <row r="181" spans="1:18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4"/>
      <c r="R181" s="547"/>
    </row>
    <row r="182" spans="1:18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476"/>
      <c r="R182" s="547" t="s">
        <v>8</v>
      </c>
    </row>
    <row r="183" spans="1:18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476"/>
      <c r="R183" s="547"/>
    </row>
    <row r="184" spans="1:18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33"/>
      <c r="R184" s="70" t="s">
        <v>28</v>
      </c>
    </row>
    <row r="185" spans="1:18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36"/>
      <c r="R185" s="72"/>
    </row>
    <row r="186" spans="1:18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R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19"/>
      <c r="R186" s="67">
        <f t="shared" si="57"/>
        <v>0</v>
      </c>
    </row>
    <row r="187" spans="1:18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R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19"/>
      <c r="R187" s="67">
        <f t="shared" si="58"/>
        <v>0</v>
      </c>
    </row>
    <row r="188" spans="1:18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36"/>
      <c r="R188" s="72"/>
    </row>
    <row r="189" spans="1:18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36"/>
      <c r="R189" s="72"/>
    </row>
    <row r="190" spans="1:18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36"/>
      <c r="R190" s="72"/>
    </row>
    <row r="191" spans="1:18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36"/>
      <c r="R191" s="72"/>
    </row>
    <row r="192" spans="1:18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36"/>
      <c r="R192" s="72"/>
    </row>
    <row r="193" spans="1:18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36"/>
      <c r="R193" s="72"/>
    </row>
    <row r="194" spans="1:18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36"/>
      <c r="R194" s="72"/>
    </row>
    <row r="195" spans="1:18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36"/>
      <c r="R195" s="72"/>
    </row>
    <row r="196" spans="1:18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36"/>
      <c r="R196" s="72"/>
    </row>
    <row r="197" spans="1:18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R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19"/>
      <c r="R197" s="67">
        <f t="shared" si="59"/>
        <v>0</v>
      </c>
    </row>
    <row r="198" spans="1:18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SUM(I198:R198)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36"/>
      <c r="R198" s="72"/>
    </row>
    <row r="199" spans="1:18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36"/>
      <c r="R199" s="72"/>
    </row>
    <row r="200" spans="1:18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36"/>
      <c r="R200" s="72"/>
    </row>
    <row r="201" spans="1:18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36"/>
      <c r="R201" s="72"/>
    </row>
    <row r="202" spans="1:18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36"/>
      <c r="R202" s="72"/>
    </row>
    <row r="203" spans="1:18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4"/>
      <c r="R203" s="547"/>
    </row>
    <row r="204" spans="1:18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476"/>
      <c r="R204" s="547" t="s">
        <v>8</v>
      </c>
    </row>
    <row r="205" spans="1:18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476"/>
      <c r="R205" s="547"/>
    </row>
    <row r="206" spans="1:18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33"/>
      <c r="R206" s="70" t="s">
        <v>28</v>
      </c>
    </row>
    <row r="207" spans="1:18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36"/>
      <c r="R207" s="72"/>
    </row>
    <row r="208" spans="1:18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36"/>
      <c r="R208" s="72"/>
    </row>
    <row r="209" spans="1:19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36"/>
      <c r="R209" s="72"/>
    </row>
    <row r="210" spans="1:19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R210" si="61">F6+F162</f>
        <v>1639334</v>
      </c>
      <c r="G210" s="42">
        <f t="shared" si="61"/>
        <v>3027938</v>
      </c>
      <c r="H210" s="42">
        <f t="shared" si="61"/>
        <v>26000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1599334</v>
      </c>
      <c r="N210" s="42">
        <f t="shared" si="61"/>
        <v>1398192</v>
      </c>
      <c r="O210" s="42">
        <f t="shared" si="61"/>
        <v>0</v>
      </c>
      <c r="P210" s="42"/>
      <c r="Q210" s="42">
        <f t="shared" si="61"/>
        <v>13000</v>
      </c>
      <c r="R210" s="74">
        <f t="shared" si="61"/>
        <v>12669</v>
      </c>
    </row>
    <row r="211" spans="1:19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</row>
    <row r="212" spans="1:19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  <c r="R212" s="14"/>
    </row>
    <row r="213" spans="1:19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14"/>
    </row>
    <row r="214" spans="1:19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  <c r="R214" s="14"/>
    </row>
    <row r="215" spans="1:19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5"/>
      <c r="R215" s="536"/>
    </row>
    <row r="216" spans="1:19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563</v>
      </c>
      <c r="P216" s="476"/>
      <c r="Q216" s="544" t="s">
        <v>8</v>
      </c>
      <c r="R216" s="544" t="s">
        <v>8</v>
      </c>
    </row>
    <row r="217" spans="1:19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477"/>
      <c r="Q217" s="545"/>
      <c r="R217" s="545"/>
    </row>
    <row r="218" spans="1:19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/>
      <c r="Q218" s="476">
        <v>8</v>
      </c>
      <c r="R218" s="476">
        <v>11</v>
      </c>
    </row>
    <row r="219" spans="1:19" ht="39" x14ac:dyDescent="0.25">
      <c r="A219" s="480">
        <v>5172</v>
      </c>
      <c r="B219" s="476"/>
      <c r="C219" s="18" t="s">
        <v>202</v>
      </c>
      <c r="D219" s="18"/>
      <c r="E219" s="19">
        <f t="shared" ref="E219:R219" si="62">E220+E434</f>
        <v>1500538</v>
      </c>
      <c r="F219" s="19">
        <f t="shared" si="62"/>
        <v>1639055</v>
      </c>
      <c r="G219" s="19">
        <f t="shared" si="62"/>
        <v>1138166</v>
      </c>
      <c r="H219" s="19">
        <f t="shared" si="62"/>
        <v>26000</v>
      </c>
      <c r="I219" s="19">
        <f t="shared" si="62"/>
        <v>1577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1599334</v>
      </c>
      <c r="N219" s="19">
        <f t="shared" si="62"/>
        <v>1125638</v>
      </c>
      <c r="O219" s="19">
        <f t="shared" si="62"/>
        <v>0</v>
      </c>
      <c r="P219" s="19"/>
      <c r="Q219" s="19">
        <f t="shared" si="62"/>
        <v>12721</v>
      </c>
      <c r="R219" s="19">
        <f t="shared" si="62"/>
        <v>9668</v>
      </c>
      <c r="S219" s="44">
        <f>H219+K219+M219+Q219</f>
        <v>1639055</v>
      </c>
    </row>
    <row r="220" spans="1:19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1611726</v>
      </c>
      <c r="G220" s="19">
        <f t="shared" ref="G220:R220" si="63">G221+G247+G314+G333+G361+G374+G394+G413</f>
        <v>1134903</v>
      </c>
      <c r="H220" s="19">
        <f t="shared" si="63"/>
        <v>1000</v>
      </c>
      <c r="I220" s="19">
        <f t="shared" si="63"/>
        <v>127</v>
      </c>
      <c r="J220" s="19">
        <f t="shared" si="63"/>
        <v>0</v>
      </c>
      <c r="K220" s="19">
        <f t="shared" si="63"/>
        <v>0</v>
      </c>
      <c r="L220" s="19">
        <f t="shared" si="63"/>
        <v>1273</v>
      </c>
      <c r="M220" s="19">
        <f t="shared" si="63"/>
        <v>1599334</v>
      </c>
      <c r="N220" s="19">
        <f t="shared" si="63"/>
        <v>1125638</v>
      </c>
      <c r="O220" s="19">
        <f t="shared" si="63"/>
        <v>0</v>
      </c>
      <c r="P220" s="19"/>
      <c r="Q220" s="19">
        <f t="shared" si="63"/>
        <v>11392</v>
      </c>
      <c r="R220" s="19">
        <f t="shared" si="63"/>
        <v>7855</v>
      </c>
      <c r="S220" s="44">
        <f>F220+F434</f>
        <v>1639055</v>
      </c>
    </row>
    <row r="221" spans="1:19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R221" si="64">F222+F224+F228+F230+F239+F241+F243+F245</f>
        <v>1216506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1212877</v>
      </c>
      <c r="N221" s="19">
        <f t="shared" si="64"/>
        <v>1025065</v>
      </c>
      <c r="O221" s="19">
        <f t="shared" si="64"/>
        <v>0</v>
      </c>
      <c r="P221" s="19"/>
      <c r="Q221" s="19">
        <f t="shared" si="64"/>
        <v>3629</v>
      </c>
      <c r="R221" s="19">
        <f t="shared" si="64"/>
        <v>2600</v>
      </c>
    </row>
    <row r="222" spans="1:19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R222" si="65">F223</f>
        <v>1010985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1008061</v>
      </c>
      <c r="N222" s="19">
        <f t="shared" si="65"/>
        <v>849796</v>
      </c>
      <c r="O222" s="19">
        <f t="shared" si="65"/>
        <v>0</v>
      </c>
      <c r="P222" s="19"/>
      <c r="Q222" s="19">
        <f t="shared" si="65"/>
        <v>2924</v>
      </c>
      <c r="R222" s="19">
        <f t="shared" si="65"/>
        <v>1989</v>
      </c>
    </row>
    <row r="223" spans="1:19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H223+K223+M223+Q223</f>
        <v>1010985</v>
      </c>
      <c r="G223" s="37">
        <f>SUM(I223:R223)-K223-M223-Q223</f>
        <v>851785</v>
      </c>
      <c r="H223" s="37"/>
      <c r="I223" s="36"/>
      <c r="J223" s="36"/>
      <c r="K223" s="36"/>
      <c r="L223" s="36"/>
      <c r="M223" s="36">
        <v>1008061</v>
      </c>
      <c r="N223" s="36">
        <f>851785-1989</f>
        <v>849796</v>
      </c>
      <c r="O223" s="36"/>
      <c r="P223" s="36"/>
      <c r="Q223" s="36">
        <v>2924</v>
      </c>
      <c r="R223" s="36">
        <v>1989</v>
      </c>
      <c r="S223" s="44">
        <f>M223+Q223</f>
        <v>1010985</v>
      </c>
    </row>
    <row r="224" spans="1:19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R224" si="66">SUM(F225:F227)</f>
        <v>153194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152721</v>
      </c>
      <c r="N224" s="19">
        <f t="shared" si="66"/>
        <v>141535</v>
      </c>
      <c r="O224" s="19">
        <f t="shared" si="66"/>
        <v>0</v>
      </c>
      <c r="P224" s="19"/>
      <c r="Q224" s="19">
        <f t="shared" si="66"/>
        <v>473</v>
      </c>
      <c r="R224" s="19">
        <f t="shared" si="66"/>
        <v>331</v>
      </c>
    </row>
    <row r="225" spans="1:23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H225+K225+M225+Q225</f>
        <v>101128</v>
      </c>
      <c r="G225" s="37">
        <f>SUM(I225:R225)-K225-M225-Q225</f>
        <v>97986</v>
      </c>
      <c r="H225" s="37"/>
      <c r="I225" s="36"/>
      <c r="J225" s="36"/>
      <c r="K225" s="36"/>
      <c r="L225" s="36"/>
      <c r="M225" s="36">
        <v>100806</v>
      </c>
      <c r="N225" s="36">
        <f>97986-229</f>
        <v>97757</v>
      </c>
      <c r="O225" s="36"/>
      <c r="P225" s="36"/>
      <c r="Q225" s="36">
        <v>322</v>
      </c>
      <c r="R225" s="36">
        <v>229</v>
      </c>
    </row>
    <row r="226" spans="1:23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H226+K226+M226+Q226</f>
        <v>52066</v>
      </c>
      <c r="G226" s="37">
        <f>SUM(I226:R226)-K226-M226-Q226</f>
        <v>43880</v>
      </c>
      <c r="H226" s="37"/>
      <c r="I226" s="36"/>
      <c r="J226" s="36"/>
      <c r="K226" s="36"/>
      <c r="L226" s="36"/>
      <c r="M226" s="36">
        <v>51915</v>
      </c>
      <c r="N226" s="36">
        <f>43880-102</f>
        <v>43778</v>
      </c>
      <c r="O226" s="36"/>
      <c r="P226" s="36"/>
      <c r="Q226" s="36">
        <v>151</v>
      </c>
      <c r="R226" s="36">
        <v>102</v>
      </c>
    </row>
    <row r="227" spans="1:23" ht="15" hidden="1" customHeight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SUM(I227:R227)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  <c r="R227" s="36"/>
    </row>
    <row r="228" spans="1:23" ht="15" hidden="1" customHeight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R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/>
      <c r="R228" s="19">
        <f t="shared" si="68"/>
        <v>0</v>
      </c>
    </row>
    <row r="229" spans="1:23" ht="15" hidden="1" customHeight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  <c r="R229" s="36"/>
    </row>
    <row r="230" spans="1:23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R230" si="69">SUM(F231:F238)</f>
        <v>9632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9400</v>
      </c>
      <c r="N230" s="19">
        <f t="shared" si="69"/>
        <v>4959</v>
      </c>
      <c r="O230" s="19">
        <f t="shared" si="69"/>
        <v>0</v>
      </c>
      <c r="P230" s="19"/>
      <c r="Q230" s="19">
        <f t="shared" si="69"/>
        <v>232</v>
      </c>
      <c r="R230" s="19">
        <f t="shared" si="69"/>
        <v>280</v>
      </c>
    </row>
    <row r="231" spans="1:23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  <c r="R231" s="36"/>
    </row>
    <row r="232" spans="1:23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  <c r="R232" s="36"/>
    </row>
    <row r="233" spans="1:23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H233+K233+M233+Q233</f>
        <v>8432</v>
      </c>
      <c r="G233" s="37">
        <f>SUM(I233:R233)-K233-M233-Q233</f>
        <v>3934</v>
      </c>
      <c r="H233" s="37"/>
      <c r="I233" s="36"/>
      <c r="J233" s="36"/>
      <c r="K233" s="36"/>
      <c r="L233" s="36"/>
      <c r="M233" s="36">
        <v>8200</v>
      </c>
      <c r="N233" s="36">
        <v>3654</v>
      </c>
      <c r="O233" s="36"/>
      <c r="P233" s="36"/>
      <c r="Q233" s="36">
        <v>232</v>
      </c>
      <c r="R233" s="36">
        <v>280</v>
      </c>
    </row>
    <row r="234" spans="1:23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  <c r="R234" s="545"/>
    </row>
    <row r="235" spans="1:23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476"/>
      <c r="R235" s="544" t="s">
        <v>8</v>
      </c>
    </row>
    <row r="236" spans="1:23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477"/>
      <c r="R236" s="545"/>
    </row>
    <row r="237" spans="1:23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/>
      <c r="R237" s="475" t="s">
        <v>28</v>
      </c>
    </row>
    <row r="238" spans="1:23" ht="54" x14ac:dyDescent="0.4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H238+K238+M238+Q238</f>
        <v>1200</v>
      </c>
      <c r="G238" s="37">
        <f>SUM(I238:R238)-K238-M238-Q238</f>
        <v>1305</v>
      </c>
      <c r="H238" s="37"/>
      <c r="I238" s="36"/>
      <c r="J238" s="36"/>
      <c r="K238" s="36"/>
      <c r="L238" s="36"/>
      <c r="M238" s="36">
        <v>1200</v>
      </c>
      <c r="N238" s="36">
        <v>1305</v>
      </c>
      <c r="O238" s="36"/>
      <c r="P238" s="36"/>
      <c r="Q238" s="36"/>
      <c r="R238" s="36"/>
      <c r="W238" s="388" t="s">
        <v>538</v>
      </c>
    </row>
    <row r="239" spans="1:23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R239" si="70">F240</f>
        <v>28788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28788</v>
      </c>
      <c r="N239" s="19">
        <f t="shared" si="70"/>
        <v>19632</v>
      </c>
      <c r="O239" s="19">
        <f t="shared" si="70"/>
        <v>0</v>
      </c>
      <c r="P239" s="19"/>
      <c r="Q239" s="19">
        <f t="shared" si="70"/>
        <v>0</v>
      </c>
      <c r="R239" s="19">
        <f t="shared" si="70"/>
        <v>0</v>
      </c>
    </row>
    <row r="240" spans="1:23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H240+K240+M240+Q240</f>
        <v>28788</v>
      </c>
      <c r="G240" s="37">
        <f>SUM(I240:R240)-K240-M240-Q240</f>
        <v>19632</v>
      </c>
      <c r="H240" s="37"/>
      <c r="I240" s="36"/>
      <c r="J240" s="36"/>
      <c r="K240" s="36"/>
      <c r="L240" s="36"/>
      <c r="M240" s="36">
        <v>28788</v>
      </c>
      <c r="N240" s="36">
        <v>19632</v>
      </c>
      <c r="O240" s="36"/>
      <c r="P240" s="36"/>
      <c r="Q240" s="36"/>
      <c r="R240" s="36"/>
    </row>
    <row r="241" spans="1:19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R241" si="71">F242</f>
        <v>13907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13907</v>
      </c>
      <c r="N241" s="19">
        <f t="shared" si="71"/>
        <v>9143</v>
      </c>
      <c r="O241" s="19">
        <f t="shared" si="71"/>
        <v>0</v>
      </c>
      <c r="P241" s="19"/>
      <c r="Q241" s="19">
        <f t="shared" si="71"/>
        <v>0</v>
      </c>
      <c r="R241" s="19">
        <f t="shared" si="71"/>
        <v>0</v>
      </c>
    </row>
    <row r="242" spans="1:19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H242+K242+M242+Q242</f>
        <v>13907</v>
      </c>
      <c r="G242" s="37">
        <f>SUM(I242:R242)-K242-M242-Q242</f>
        <v>9143</v>
      </c>
      <c r="H242" s="37"/>
      <c r="I242" s="36"/>
      <c r="J242" s="36"/>
      <c r="K242" s="36"/>
      <c r="L242" s="36"/>
      <c r="M242" s="36">
        <v>13907</v>
      </c>
      <c r="N242" s="36">
        <v>9143</v>
      </c>
      <c r="O242" s="36"/>
      <c r="P242" s="36"/>
      <c r="Q242" s="36"/>
      <c r="R242" s="36"/>
    </row>
    <row r="243" spans="1:19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R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/>
      <c r="R243" s="19">
        <f t="shared" si="72"/>
        <v>0</v>
      </c>
    </row>
    <row r="244" spans="1:19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  <c r="R244" s="36"/>
    </row>
    <row r="245" spans="1:19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R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/>
      <c r="R245" s="19">
        <f t="shared" si="73"/>
        <v>0</v>
      </c>
    </row>
    <row r="246" spans="1:19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  <c r="R246" s="36"/>
    </row>
    <row r="247" spans="1:19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R247" si="74">E248+E256+E262+E275+E283+E286</f>
        <v>427521</v>
      </c>
      <c r="F247" s="19">
        <f t="shared" si="74"/>
        <v>384240</v>
      </c>
      <c r="G247" s="19">
        <f t="shared" si="74"/>
        <v>99459</v>
      </c>
      <c r="H247" s="19">
        <f t="shared" si="74"/>
        <v>1000</v>
      </c>
      <c r="I247" s="19">
        <f t="shared" si="74"/>
        <v>127</v>
      </c>
      <c r="J247" s="19">
        <f t="shared" si="74"/>
        <v>0</v>
      </c>
      <c r="K247" s="19">
        <f t="shared" si="74"/>
        <v>0</v>
      </c>
      <c r="L247" s="19">
        <f t="shared" si="74"/>
        <v>1273</v>
      </c>
      <c r="M247" s="19">
        <f t="shared" si="74"/>
        <v>376377</v>
      </c>
      <c r="N247" s="19">
        <f t="shared" si="74"/>
        <v>93155</v>
      </c>
      <c r="O247" s="19">
        <f t="shared" si="74"/>
        <v>0</v>
      </c>
      <c r="P247" s="19"/>
      <c r="Q247" s="19">
        <f t="shared" si="74"/>
        <v>6863</v>
      </c>
      <c r="R247" s="19">
        <f t="shared" si="74"/>
        <v>4904</v>
      </c>
    </row>
    <row r="248" spans="1:19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R248" si="75">SUM(F249:F255)</f>
        <v>117092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115962</v>
      </c>
      <c r="N248" s="19">
        <f t="shared" si="75"/>
        <v>80545</v>
      </c>
      <c r="O248" s="19">
        <f t="shared" si="75"/>
        <v>0</v>
      </c>
      <c r="P248" s="19"/>
      <c r="Q248" s="19">
        <f t="shared" si="75"/>
        <v>1130</v>
      </c>
      <c r="R248" s="19">
        <f t="shared" si="75"/>
        <v>453</v>
      </c>
    </row>
    <row r="249" spans="1:19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H249+K249+M249+Q249</f>
        <v>1580</v>
      </c>
      <c r="G249" s="37">
        <f>SUM(I249:R249)-K249-M249-Q249</f>
        <v>1300</v>
      </c>
      <c r="H249" s="37"/>
      <c r="I249" s="36"/>
      <c r="J249" s="36"/>
      <c r="K249" s="36"/>
      <c r="L249" s="36"/>
      <c r="M249" s="36">
        <v>1500</v>
      </c>
      <c r="N249" s="36">
        <v>1243</v>
      </c>
      <c r="O249" s="36"/>
      <c r="P249" s="36"/>
      <c r="Q249" s="36">
        <v>80</v>
      </c>
      <c r="R249" s="36">
        <v>57</v>
      </c>
    </row>
    <row r="250" spans="1:19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H250+K250+M250+Q250</f>
        <v>98556</v>
      </c>
      <c r="G250" s="37">
        <f t="shared" ref="G250:G253" si="76">SUM(I250:R250)-K250-M250-Q250</f>
        <v>65508</v>
      </c>
      <c r="H250" s="37"/>
      <c r="I250" s="36"/>
      <c r="J250" s="36"/>
      <c r="K250" s="36"/>
      <c r="L250" s="36"/>
      <c r="M250" s="36">
        <v>98306</v>
      </c>
      <c r="N250" s="36">
        <v>65188</v>
      </c>
      <c r="O250" s="36"/>
      <c r="P250" s="36"/>
      <c r="Q250" s="36">
        <v>250</v>
      </c>
      <c r="R250" s="36">
        <v>320</v>
      </c>
    </row>
    <row r="251" spans="1:19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H251+K251+M251+Q251</f>
        <v>11740</v>
      </c>
      <c r="G251" s="37">
        <f t="shared" si="76"/>
        <v>9465</v>
      </c>
      <c r="H251" s="37"/>
      <c r="I251" s="36"/>
      <c r="J251" s="36"/>
      <c r="K251" s="36"/>
      <c r="L251" s="36"/>
      <c r="M251" s="36">
        <f>11500-360</f>
        <v>11140</v>
      </c>
      <c r="N251" s="36">
        <v>9410</v>
      </c>
      <c r="O251" s="36"/>
      <c r="P251" s="36"/>
      <c r="Q251" s="36">
        <v>600</v>
      </c>
      <c r="R251" s="36">
        <v>55</v>
      </c>
    </row>
    <row r="252" spans="1:19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H252+K252+M252+Q252</f>
        <v>2016</v>
      </c>
      <c r="G252" s="37">
        <f t="shared" si="76"/>
        <v>2113</v>
      </c>
      <c r="H252" s="37"/>
      <c r="I252" s="36"/>
      <c r="J252" s="36"/>
      <c r="K252" s="36"/>
      <c r="L252" s="36"/>
      <c r="M252" s="36">
        <v>2016</v>
      </c>
      <c r="N252" s="36">
        <v>2113</v>
      </c>
      <c r="O252" s="36"/>
      <c r="P252" s="36"/>
      <c r="Q252" s="36"/>
      <c r="R252" s="36"/>
      <c r="S252" s="12">
        <v>1092</v>
      </c>
    </row>
    <row r="253" spans="1:19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H253+K253+M253+Q253</f>
        <v>3200</v>
      </c>
      <c r="G253" s="37">
        <f t="shared" si="76"/>
        <v>2612</v>
      </c>
      <c r="H253" s="37"/>
      <c r="I253" s="36"/>
      <c r="J253" s="36"/>
      <c r="K253" s="36"/>
      <c r="L253" s="36"/>
      <c r="M253" s="36">
        <v>3000</v>
      </c>
      <c r="N253" s="36">
        <v>2591</v>
      </c>
      <c r="O253" s="36"/>
      <c r="P253" s="36"/>
      <c r="Q253" s="36">
        <v>200</v>
      </c>
      <c r="R253" s="36">
        <v>21</v>
      </c>
      <c r="S253" s="12">
        <v>851</v>
      </c>
    </row>
    <row r="254" spans="1:19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  <c r="R254" s="36"/>
    </row>
    <row r="255" spans="1:19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  <c r="R255" s="36"/>
    </row>
    <row r="256" spans="1:19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R256" si="77">SUM(F257:F261)</f>
        <v>624</v>
      </c>
      <c r="G256" s="19">
        <f t="shared" si="77"/>
        <v>451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184</v>
      </c>
      <c r="N256" s="19">
        <f t="shared" si="77"/>
        <v>0</v>
      </c>
      <c r="O256" s="19">
        <f t="shared" si="77"/>
        <v>0</v>
      </c>
      <c r="P256" s="19"/>
      <c r="Q256" s="19">
        <f t="shared" si="77"/>
        <v>440</v>
      </c>
      <c r="R256" s="19">
        <f t="shared" si="77"/>
        <v>451</v>
      </c>
    </row>
    <row r="257" spans="1:18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H257+K257+M257+Q257</f>
        <v>624</v>
      </c>
      <c r="G257" s="37">
        <f t="shared" ref="G257" si="78">SUM(I257:R257)-K257-M257-Q257</f>
        <v>451</v>
      </c>
      <c r="H257" s="37"/>
      <c r="I257" s="36"/>
      <c r="J257" s="36"/>
      <c r="K257" s="36"/>
      <c r="L257" s="36"/>
      <c r="M257" s="36">
        <v>184</v>
      </c>
      <c r="N257" s="36"/>
      <c r="O257" s="36"/>
      <c r="P257" s="36"/>
      <c r="Q257" s="36">
        <v>440</v>
      </c>
      <c r="R257" s="36">
        <v>451</v>
      </c>
    </row>
    <row r="258" spans="1:18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  <c r="R258" s="36"/>
    </row>
    <row r="259" spans="1:18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  <c r="R259" s="36"/>
    </row>
    <row r="260" spans="1:18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  <c r="R260" s="36"/>
    </row>
    <row r="261" spans="1:18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  <c r="R261" s="36"/>
    </row>
    <row r="262" spans="1:18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R262" si="79">SUM(F263:F274)</f>
        <v>9869</v>
      </c>
      <c r="G262" s="19">
        <f t="shared" si="79"/>
        <v>70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7274</v>
      </c>
      <c r="N262" s="19">
        <f t="shared" si="79"/>
        <v>0</v>
      </c>
      <c r="O262" s="19">
        <f t="shared" si="79"/>
        <v>0</v>
      </c>
      <c r="P262" s="19"/>
      <c r="Q262" s="19">
        <f t="shared" si="79"/>
        <v>2595</v>
      </c>
      <c r="R262" s="19">
        <f t="shared" si="79"/>
        <v>70</v>
      </c>
    </row>
    <row r="263" spans="1:18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  <c r="R263" s="36"/>
    </row>
    <row r="264" spans="1:18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H264+K264+M264+Q264</f>
        <v>3852</v>
      </c>
      <c r="G264" s="37">
        <f t="shared" ref="G264" si="80">SUM(I264:R264)-K264-M264-Q264</f>
        <v>70</v>
      </c>
      <c r="H264" s="37"/>
      <c r="I264" s="36"/>
      <c r="J264" s="36"/>
      <c r="K264" s="36"/>
      <c r="L264" s="36"/>
      <c r="M264" s="36">
        <f>3900-48</f>
        <v>3852</v>
      </c>
      <c r="N264" s="36"/>
      <c r="O264" s="36"/>
      <c r="P264" s="36"/>
      <c r="Q264" s="36"/>
      <c r="R264" s="36">
        <v>70</v>
      </c>
    </row>
    <row r="265" spans="1:18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H265+K265+M265+Q265</f>
        <v>3772</v>
      </c>
      <c r="G265" s="37"/>
      <c r="H265" s="37"/>
      <c r="I265" s="36"/>
      <c r="J265" s="36"/>
      <c r="K265" s="36"/>
      <c r="L265" s="36"/>
      <c r="M265" s="36">
        <f>2800+522</f>
        <v>3322</v>
      </c>
      <c r="N265" s="36"/>
      <c r="O265" s="36"/>
      <c r="P265" s="36"/>
      <c r="Q265" s="36">
        <f>900-522+72</f>
        <v>450</v>
      </c>
      <c r="R265" s="36"/>
    </row>
    <row r="266" spans="1:18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H266+K266+M266+Q266</f>
        <v>100</v>
      </c>
      <c r="G266" s="37"/>
      <c r="H266" s="37"/>
      <c r="I266" s="36"/>
      <c r="J266" s="36"/>
      <c r="K266" s="36"/>
      <c r="L266" s="36"/>
      <c r="M266" s="36">
        <v>100</v>
      </c>
      <c r="N266" s="36"/>
      <c r="O266" s="36"/>
      <c r="P266" s="36"/>
      <c r="Q266" s="36"/>
      <c r="R266" s="36"/>
    </row>
    <row r="267" spans="1:18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H267+K267+M267+Q267</f>
        <v>1667</v>
      </c>
      <c r="G267" s="37"/>
      <c r="H267" s="37"/>
      <c r="I267" s="36"/>
      <c r="J267" s="36"/>
      <c r="K267" s="36"/>
      <c r="L267" s="36"/>
      <c r="M267" s="36"/>
      <c r="N267" s="36"/>
      <c r="O267" s="36"/>
      <c r="P267" s="36"/>
      <c r="Q267" s="36">
        <v>1667</v>
      </c>
      <c r="R267" s="36"/>
    </row>
    <row r="268" spans="1:18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/>
      <c r="H268" s="37"/>
      <c r="I268" s="36"/>
      <c r="J268" s="36"/>
      <c r="K268" s="36"/>
      <c r="L268" s="36"/>
      <c r="M268" s="36"/>
      <c r="N268" s="36"/>
      <c r="O268" s="36"/>
      <c r="P268" s="36"/>
      <c r="Q268" s="36"/>
      <c r="R268" s="36"/>
    </row>
    <row r="269" spans="1:18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H269+K269+M269+Q269</f>
        <v>200</v>
      </c>
      <c r="G269" s="37"/>
      <c r="H269" s="37"/>
      <c r="I269" s="36"/>
      <c r="J269" s="36"/>
      <c r="K269" s="36"/>
      <c r="L269" s="36"/>
      <c r="M269" s="36"/>
      <c r="N269" s="36"/>
      <c r="O269" s="36"/>
      <c r="P269" s="36"/>
      <c r="Q269" s="36">
        <v>200</v>
      </c>
      <c r="R269" s="36"/>
    </row>
    <row r="270" spans="1:18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/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  <c r="R270" s="545"/>
    </row>
    <row r="271" spans="1:18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/>
      <c r="H271" s="476"/>
      <c r="I271" s="544"/>
      <c r="J271" s="545"/>
      <c r="K271" s="545"/>
      <c r="L271" s="545"/>
      <c r="M271" s="545"/>
      <c r="N271" s="545"/>
      <c r="O271" s="544"/>
      <c r="P271" s="476"/>
      <c r="Q271" s="476"/>
      <c r="R271" s="544"/>
    </row>
    <row r="272" spans="1:18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/>
      <c r="J272" s="476"/>
      <c r="K272" s="476"/>
      <c r="L272" s="476"/>
      <c r="M272" s="476"/>
      <c r="N272" s="476"/>
      <c r="O272" s="545"/>
      <c r="P272" s="477"/>
      <c r="Q272" s="477"/>
      <c r="R272" s="545"/>
    </row>
    <row r="273" spans="1:23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  <c r="R273" s="475"/>
    </row>
    <row r="274" spans="1:23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H274+K274+M274+Q274</f>
        <v>278</v>
      </c>
      <c r="G274" s="37"/>
      <c r="H274" s="37"/>
      <c r="I274" s="36"/>
      <c r="J274" s="36"/>
      <c r="K274" s="36"/>
      <c r="L274" s="36"/>
      <c r="M274" s="36"/>
      <c r="N274" s="36"/>
      <c r="O274" s="36"/>
      <c r="P274" s="36"/>
      <c r="Q274" s="36">
        <v>278</v>
      </c>
      <c r="R274" s="36"/>
    </row>
    <row r="275" spans="1:23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R275" si="81">SUM(F276:F282)</f>
        <v>3602</v>
      </c>
      <c r="G275" s="19">
        <f t="shared" si="81"/>
        <v>450</v>
      </c>
      <c r="H275" s="19">
        <f t="shared" si="81"/>
        <v>0</v>
      </c>
      <c r="I275" s="19">
        <f t="shared" si="81"/>
        <v>0</v>
      </c>
      <c r="J275" s="19">
        <f t="shared" si="81"/>
        <v>0</v>
      </c>
      <c r="K275" s="19">
        <f t="shared" si="81"/>
        <v>0</v>
      </c>
      <c r="L275" s="19">
        <f t="shared" si="81"/>
        <v>0</v>
      </c>
      <c r="M275" s="19">
        <f t="shared" si="81"/>
        <v>3276</v>
      </c>
      <c r="N275" s="19">
        <f t="shared" si="81"/>
        <v>0</v>
      </c>
      <c r="O275" s="19">
        <f t="shared" si="81"/>
        <v>0</v>
      </c>
      <c r="P275" s="19"/>
      <c r="Q275" s="19">
        <f t="shared" si="81"/>
        <v>326</v>
      </c>
      <c r="R275" s="19">
        <f t="shared" si="81"/>
        <v>450</v>
      </c>
    </row>
    <row r="276" spans="1:23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  <c r="R276" s="36"/>
    </row>
    <row r="277" spans="1:23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  <c r="R277" s="36"/>
    </row>
    <row r="278" spans="1:23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H278+K278+M278+Q278</f>
        <v>1400</v>
      </c>
      <c r="G278" s="37">
        <f t="shared" ref="G278" si="82">SUM(I278:R278)-K278-M278-Q278</f>
        <v>109</v>
      </c>
      <c r="H278" s="37"/>
      <c r="I278" s="36"/>
      <c r="J278" s="36"/>
      <c r="K278" s="36"/>
      <c r="L278" s="36"/>
      <c r="M278" s="36">
        <v>1400</v>
      </c>
      <c r="N278" s="36"/>
      <c r="O278" s="36"/>
      <c r="P278" s="36"/>
      <c r="Q278" s="36"/>
      <c r="R278" s="36">
        <v>109</v>
      </c>
      <c r="S278" s="47"/>
      <c r="U278" s="47"/>
    </row>
    <row r="279" spans="1:23" ht="15" hidden="1" customHeight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  <c r="R279" s="36"/>
    </row>
    <row r="280" spans="1:23" ht="26.25" hidden="1" customHeight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  <c r="R280" s="36"/>
    </row>
    <row r="281" spans="1:23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H281+K281+M281+Q281</f>
        <v>342</v>
      </c>
      <c r="G281" s="37">
        <f t="shared" ref="G281:G282" si="83">SUM(I281:R281)-K281-M281-Q281</f>
        <v>51</v>
      </c>
      <c r="H281" s="37"/>
      <c r="I281" s="36"/>
      <c r="J281" s="36"/>
      <c r="K281" s="36"/>
      <c r="L281" s="36"/>
      <c r="M281" s="36">
        <f>300-72</f>
        <v>228</v>
      </c>
      <c r="N281" s="36"/>
      <c r="O281" s="36"/>
      <c r="P281" s="36"/>
      <c r="Q281" s="36">
        <v>114</v>
      </c>
      <c r="R281" s="36">
        <v>51</v>
      </c>
    </row>
    <row r="282" spans="1:23" ht="23.25" x14ac:dyDescent="0.3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H282+K282+M282+Q282</f>
        <v>1860</v>
      </c>
      <c r="G282" s="37">
        <f t="shared" si="83"/>
        <v>290</v>
      </c>
      <c r="H282" s="37"/>
      <c r="I282" s="36"/>
      <c r="J282" s="36"/>
      <c r="K282" s="36"/>
      <c r="L282" s="36"/>
      <c r="M282" s="36">
        <f>1600+108-60</f>
        <v>1648</v>
      </c>
      <c r="N282" s="36"/>
      <c r="O282" s="36"/>
      <c r="P282" s="36"/>
      <c r="Q282" s="36">
        <v>212</v>
      </c>
      <c r="R282" s="36">
        <v>290</v>
      </c>
      <c r="S282" s="12">
        <v>1059</v>
      </c>
      <c r="T282" s="12" t="s">
        <v>504</v>
      </c>
      <c r="W282" s="393" t="s">
        <v>540</v>
      </c>
    </row>
    <row r="283" spans="1:23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R283" si="84">F284+F285</f>
        <v>15006</v>
      </c>
      <c r="G283" s="19">
        <f t="shared" si="84"/>
        <v>755</v>
      </c>
      <c r="H283" s="19">
        <f t="shared" si="84"/>
        <v>0</v>
      </c>
      <c r="I283" s="19">
        <f t="shared" si="84"/>
        <v>0</v>
      </c>
      <c r="J283" s="19">
        <f t="shared" si="84"/>
        <v>0</v>
      </c>
      <c r="K283" s="19">
        <f t="shared" si="84"/>
        <v>0</v>
      </c>
      <c r="L283" s="19">
        <f t="shared" si="84"/>
        <v>0</v>
      </c>
      <c r="M283" s="19">
        <f t="shared" si="84"/>
        <v>15006</v>
      </c>
      <c r="N283" s="19">
        <f t="shared" si="84"/>
        <v>100</v>
      </c>
      <c r="O283" s="19">
        <f t="shared" si="84"/>
        <v>0</v>
      </c>
      <c r="P283" s="19"/>
      <c r="Q283" s="19">
        <f t="shared" si="84"/>
        <v>0</v>
      </c>
      <c r="R283" s="19">
        <f t="shared" si="84"/>
        <v>655</v>
      </c>
    </row>
    <row r="284" spans="1:23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H284+K284+M284+Q284</f>
        <v>5000</v>
      </c>
      <c r="G284" s="37">
        <f t="shared" ref="G284:G285" si="85">SUM(I284:R284)-K284-M284-Q284</f>
        <v>100</v>
      </c>
      <c r="H284" s="37"/>
      <c r="I284" s="36"/>
      <c r="J284" s="36"/>
      <c r="K284" s="36"/>
      <c r="L284" s="36"/>
      <c r="M284" s="36">
        <v>5000</v>
      </c>
      <c r="N284" s="36">
        <v>100</v>
      </c>
      <c r="O284" s="36"/>
      <c r="P284" s="36"/>
      <c r="Q284" s="36"/>
      <c r="R284" s="36"/>
    </row>
    <row r="285" spans="1:23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H285+K285+M285+Q285</f>
        <v>10006</v>
      </c>
      <c r="G285" s="37">
        <f t="shared" si="85"/>
        <v>655</v>
      </c>
      <c r="H285" s="37"/>
      <c r="I285" s="36"/>
      <c r="J285" s="36"/>
      <c r="K285" s="36"/>
      <c r="L285" s="36"/>
      <c r="M285" s="36">
        <f>10500-362-24-108</f>
        <v>10006</v>
      </c>
      <c r="N285" s="36"/>
      <c r="O285" s="36"/>
      <c r="P285" s="36"/>
      <c r="Q285" s="36"/>
      <c r="R285" s="36">
        <v>655</v>
      </c>
      <c r="S285" s="12" t="s">
        <v>505</v>
      </c>
    </row>
    <row r="286" spans="1:23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238047</v>
      </c>
      <c r="G286" s="19">
        <f>SUM(G287:G313)</f>
        <v>16735</v>
      </c>
      <c r="H286" s="19">
        <f t="shared" ref="H286:R286" si="86">SUM(H287:H313)</f>
        <v>1000</v>
      </c>
      <c r="I286" s="19">
        <f t="shared" si="86"/>
        <v>127</v>
      </c>
      <c r="J286" s="19">
        <f t="shared" si="86"/>
        <v>0</v>
      </c>
      <c r="K286" s="19">
        <f t="shared" si="86"/>
        <v>0</v>
      </c>
      <c r="L286" s="19">
        <f t="shared" si="86"/>
        <v>1273</v>
      </c>
      <c r="M286" s="19">
        <f>M287+M289+M290+M293+M311+M312+M313</f>
        <v>234675</v>
      </c>
      <c r="N286" s="19">
        <f t="shared" si="86"/>
        <v>12510</v>
      </c>
      <c r="O286" s="19">
        <f t="shared" si="86"/>
        <v>0</v>
      </c>
      <c r="P286" s="19"/>
      <c r="Q286" s="19">
        <f>Q287+Q289+Q290+Q293+Q311+Q312+Q313</f>
        <v>2372</v>
      </c>
      <c r="R286" s="19">
        <f t="shared" si="86"/>
        <v>2825</v>
      </c>
      <c r="S286" s="44">
        <f>H286+K286+M286+Q286</f>
        <v>238047</v>
      </c>
    </row>
    <row r="287" spans="1:23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H287+K287+M287+Q287</f>
        <v>4490</v>
      </c>
      <c r="G287" s="37">
        <f t="shared" ref="G287" si="87">SUM(I287:R287)-K287-M287-Q287</f>
        <v>0</v>
      </c>
      <c r="H287" s="37"/>
      <c r="I287" s="36"/>
      <c r="J287" s="36"/>
      <c r="K287" s="36"/>
      <c r="L287" s="36"/>
      <c r="M287" s="36">
        <f>4500-520</f>
        <v>3980</v>
      </c>
      <c r="N287" s="36"/>
      <c r="O287" s="36"/>
      <c r="P287" s="36"/>
      <c r="Q287" s="36">
        <v>510</v>
      </c>
      <c r="R287" s="36"/>
      <c r="S287" s="12" t="s">
        <v>506</v>
      </c>
    </row>
    <row r="288" spans="1:23" ht="15" hidden="1" customHeight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  <c r="R288" s="36"/>
    </row>
    <row r="289" spans="1:20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H289+K289+M289+Q289</f>
        <v>110</v>
      </c>
      <c r="G289" s="37">
        <f t="shared" ref="G289:G290" si="88">SUM(I289:R289)-K289-M289-Q289</f>
        <v>147</v>
      </c>
      <c r="H289" s="37"/>
      <c r="I289" s="36"/>
      <c r="J289" s="36"/>
      <c r="K289" s="36"/>
      <c r="L289" s="36"/>
      <c r="M289" s="36"/>
      <c r="N289" s="36"/>
      <c r="O289" s="36"/>
      <c r="P289" s="36"/>
      <c r="Q289" s="36">
        <v>110</v>
      </c>
      <c r="R289" s="36">
        <v>147</v>
      </c>
    </row>
    <row r="290" spans="1:20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H290+K290+M290+Q290</f>
        <v>2040</v>
      </c>
      <c r="G290" s="37">
        <f t="shared" si="88"/>
        <v>7</v>
      </c>
      <c r="H290" s="37"/>
      <c r="I290" s="38"/>
      <c r="J290" s="38"/>
      <c r="K290" s="38"/>
      <c r="L290" s="38"/>
      <c r="M290" s="38">
        <v>2040</v>
      </c>
      <c r="N290" s="38"/>
      <c r="O290" s="38"/>
      <c r="P290" s="38"/>
      <c r="Q290" s="38"/>
      <c r="R290" s="38">
        <v>7</v>
      </c>
    </row>
    <row r="291" spans="1:20" ht="26.25" hidden="1" customHeight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89">SUM(I291:R291)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  <c r="R291" s="36"/>
    </row>
    <row r="292" spans="1:20" ht="26.25" hidden="1" customHeight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89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  <c r="R292" s="36"/>
    </row>
    <row r="293" spans="1:20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H293+K293+M293+Q293</f>
        <v>209806</v>
      </c>
      <c r="G293" s="37">
        <f t="shared" ref="G293:G313" si="90">SUM(I293:R293)-K293-M293-Q293</f>
        <v>1917</v>
      </c>
      <c r="H293" s="37"/>
      <c r="I293" s="36">
        <v>127</v>
      </c>
      <c r="J293" s="36"/>
      <c r="K293" s="36"/>
      <c r="L293" s="36"/>
      <c r="M293" s="48">
        <f>M294+M299+M300+M303+M309+M310</f>
        <v>208546</v>
      </c>
      <c r="N293" s="48">
        <f t="shared" ref="N293:Q293" si="91">N294+N299+N300+N303+N309+N310</f>
        <v>0</v>
      </c>
      <c r="O293" s="48">
        <f t="shared" si="91"/>
        <v>0</v>
      </c>
      <c r="P293" s="48"/>
      <c r="Q293" s="48">
        <f t="shared" si="91"/>
        <v>1260</v>
      </c>
      <c r="R293" s="36">
        <v>1790</v>
      </c>
      <c r="S293" s="44">
        <f>M294+M299+M300+M303+M309+M310</f>
        <v>208546</v>
      </c>
      <c r="T293" s="44">
        <f>S293+Q293</f>
        <v>209806</v>
      </c>
    </row>
    <row r="294" spans="1:20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107652</v>
      </c>
      <c r="G294" s="37"/>
      <c r="H294" s="37"/>
      <c r="I294" s="36"/>
      <c r="J294" s="36"/>
      <c r="K294" s="36"/>
      <c r="L294" s="36"/>
      <c r="M294" s="48">
        <f>M295+M296+M297+M298</f>
        <v>107652</v>
      </c>
      <c r="N294" s="36"/>
      <c r="O294" s="36"/>
      <c r="P294" s="36"/>
      <c r="Q294" s="36"/>
      <c r="R294" s="36"/>
    </row>
    <row r="295" spans="1:20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65179</v>
      </c>
      <c r="G295" s="37"/>
      <c r="H295" s="37"/>
      <c r="I295" s="36"/>
      <c r="J295" s="36"/>
      <c r="K295" s="36"/>
      <c r="L295" s="36"/>
      <c r="M295" s="38">
        <f>46590+18589</f>
        <v>65179</v>
      </c>
      <c r="N295" s="36"/>
      <c r="O295" s="36"/>
      <c r="P295" s="36"/>
      <c r="Q295" s="36"/>
      <c r="R295" s="36"/>
    </row>
    <row r="296" spans="1:20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14745</v>
      </c>
      <c r="G296" s="37"/>
      <c r="H296" s="37"/>
      <c r="I296" s="36"/>
      <c r="J296" s="36"/>
      <c r="K296" s="36"/>
      <c r="L296" s="36"/>
      <c r="M296" s="38">
        <v>14745</v>
      </c>
      <c r="N296" s="36"/>
      <c r="O296" s="36"/>
      <c r="P296" s="36"/>
      <c r="Q296" s="36"/>
      <c r="R296" s="36"/>
    </row>
    <row r="297" spans="1:20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  <c r="R297" s="36"/>
    </row>
    <row r="298" spans="1:20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  <c r="R298" s="36"/>
    </row>
    <row r="299" spans="1:20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  <c r="R299" s="48"/>
    </row>
    <row r="300" spans="1:20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53731</v>
      </c>
      <c r="G300" s="54"/>
      <c r="H300" s="54"/>
      <c r="I300" s="48"/>
      <c r="J300" s="48"/>
      <c r="K300" s="48"/>
      <c r="L300" s="48"/>
      <c r="M300" s="48">
        <f>M301+M302</f>
        <v>53731</v>
      </c>
      <c r="N300" s="48">
        <f t="shared" ref="N300:Q300" si="93">N301+N302</f>
        <v>0</v>
      </c>
      <c r="O300" s="48">
        <f t="shared" si="93"/>
        <v>0</v>
      </c>
      <c r="P300" s="48"/>
      <c r="Q300" s="48">
        <f t="shared" si="93"/>
        <v>1260</v>
      </c>
      <c r="R300" s="48"/>
    </row>
    <row r="301" spans="1:20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51519</v>
      </c>
      <c r="G301" s="37"/>
      <c r="H301" s="37"/>
      <c r="I301" s="36"/>
      <c r="J301" s="36"/>
      <c r="K301" s="36"/>
      <c r="L301" s="36"/>
      <c r="M301" s="38">
        <f>36195+15324</f>
        <v>51519</v>
      </c>
      <c r="N301" s="36"/>
      <c r="O301" s="36"/>
      <c r="P301" s="36"/>
      <c r="Q301" s="36"/>
      <c r="R301" s="36"/>
    </row>
    <row r="302" spans="1:20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2212</v>
      </c>
      <c r="G302" s="37"/>
      <c r="H302" s="37"/>
      <c r="I302" s="36"/>
      <c r="J302" s="36"/>
      <c r="K302" s="36"/>
      <c r="L302" s="36"/>
      <c r="M302" s="38">
        <v>2212</v>
      </c>
      <c r="N302" s="36"/>
      <c r="O302" s="36"/>
      <c r="P302" s="36"/>
      <c r="Q302" s="36">
        <f>1400-140</f>
        <v>1260</v>
      </c>
      <c r="R302" s="36"/>
    </row>
    <row r="303" spans="1:20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  <c r="R303" s="48"/>
    </row>
    <row r="304" spans="1:20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  <c r="R304" s="36"/>
    </row>
    <row r="305" spans="1:18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  <c r="R305" s="36"/>
    </row>
    <row r="306" spans="1:18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  <c r="R306" s="36"/>
    </row>
    <row r="307" spans="1:18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  <c r="R307" s="57"/>
    </row>
    <row r="308" spans="1:18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  <c r="R308" s="57"/>
    </row>
    <row r="309" spans="1:18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  <c r="R309" s="48"/>
    </row>
    <row r="310" spans="1:18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7000</v>
      </c>
      <c r="G310" s="54"/>
      <c r="H310" s="54"/>
      <c r="I310" s="48"/>
      <c r="J310" s="48"/>
      <c r="K310" s="48"/>
      <c r="L310" s="48"/>
      <c r="M310" s="48">
        <v>7000</v>
      </c>
      <c r="N310" s="48"/>
      <c r="O310" s="48"/>
      <c r="P310" s="48"/>
      <c r="Q310" s="48"/>
      <c r="R310" s="48"/>
    </row>
    <row r="311" spans="1:18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H311+K311+M311+Q311</f>
        <v>12200</v>
      </c>
      <c r="G311" s="37">
        <f t="shared" si="90"/>
        <v>9570</v>
      </c>
      <c r="H311" s="37"/>
      <c r="I311" s="36"/>
      <c r="J311" s="36"/>
      <c r="K311" s="36"/>
      <c r="L311" s="36"/>
      <c r="M311" s="36">
        <v>12200</v>
      </c>
      <c r="N311" s="36">
        <v>9570</v>
      </c>
      <c r="O311" s="36"/>
      <c r="P311" s="36"/>
      <c r="Q311" s="36"/>
      <c r="R311" s="36"/>
    </row>
    <row r="312" spans="1:18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H312+K312+M312+Q312</f>
        <v>4660</v>
      </c>
      <c r="G312" s="37">
        <f t="shared" si="90"/>
        <v>2940</v>
      </c>
      <c r="H312" s="37"/>
      <c r="I312" s="36"/>
      <c r="J312" s="36"/>
      <c r="K312" s="36"/>
      <c r="L312" s="36"/>
      <c r="M312" s="36">
        <f>2500+2160</f>
        <v>4660</v>
      </c>
      <c r="N312" s="36">
        <f>12522-12-9570</f>
        <v>2940</v>
      </c>
      <c r="O312" s="36"/>
      <c r="P312" s="36"/>
      <c r="Q312" s="36"/>
      <c r="R312" s="36"/>
    </row>
    <row r="313" spans="1:18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8">
        <f>H313+K313+M313+Q313</f>
        <v>4741</v>
      </c>
      <c r="G313" s="389">
        <f t="shared" si="90"/>
        <v>2154</v>
      </c>
      <c r="H313" s="389">
        <v>1000</v>
      </c>
      <c r="I313" s="38"/>
      <c r="J313" s="38"/>
      <c r="K313" s="38"/>
      <c r="L313" s="38">
        <v>1273</v>
      </c>
      <c r="M313" s="38">
        <f>4485-1230-90+84</f>
        <v>3249</v>
      </c>
      <c r="N313" s="38"/>
      <c r="O313" s="38"/>
      <c r="P313" s="38"/>
      <c r="Q313" s="38">
        <v>492</v>
      </c>
      <c r="R313" s="36">
        <v>881</v>
      </c>
    </row>
    <row r="314" spans="1:18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89"/>
        <v>0</v>
      </c>
      <c r="H314" s="19"/>
      <c r="I314" s="19">
        <f t="shared" ref="I314:R314" si="94">I315+I323+I325+I327+I331</f>
        <v>0</v>
      </c>
      <c r="J314" s="19">
        <f t="shared" si="94"/>
        <v>0</v>
      </c>
      <c r="K314" s="19"/>
      <c r="L314" s="19">
        <f t="shared" si="94"/>
        <v>0</v>
      </c>
      <c r="M314" s="19"/>
      <c r="N314" s="19">
        <f t="shared" si="94"/>
        <v>0</v>
      </c>
      <c r="O314" s="19">
        <f t="shared" si="94"/>
        <v>0</v>
      </c>
      <c r="P314" s="19"/>
      <c r="Q314" s="19"/>
      <c r="R314" s="19">
        <f t="shared" si="94"/>
        <v>0</v>
      </c>
    </row>
    <row r="315" spans="1:18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89"/>
        <v>0</v>
      </c>
      <c r="H315" s="19"/>
      <c r="I315" s="19">
        <f t="shared" ref="I315:R315" si="95">SUM(I316:I318)</f>
        <v>0</v>
      </c>
      <c r="J315" s="19">
        <f t="shared" si="95"/>
        <v>0</v>
      </c>
      <c r="K315" s="19"/>
      <c r="L315" s="19">
        <f t="shared" si="95"/>
        <v>0</v>
      </c>
      <c r="M315" s="19"/>
      <c r="N315" s="19">
        <f t="shared" si="95"/>
        <v>0</v>
      </c>
      <c r="O315" s="19">
        <f t="shared" si="95"/>
        <v>0</v>
      </c>
      <c r="P315" s="19"/>
      <c r="Q315" s="19"/>
      <c r="R315" s="19">
        <f t="shared" si="95"/>
        <v>0</v>
      </c>
    </row>
    <row r="316" spans="1:18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89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  <c r="R316" s="36"/>
    </row>
    <row r="317" spans="1:18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89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  <c r="R317" s="36"/>
    </row>
    <row r="318" spans="1:18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89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  <c r="R318" s="36"/>
    </row>
    <row r="319" spans="1:18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  <c r="R319" s="545"/>
    </row>
    <row r="320" spans="1:18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476"/>
      <c r="R320" s="544" t="s">
        <v>8</v>
      </c>
    </row>
    <row r="321" spans="1:18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477"/>
      <c r="R321" s="545"/>
    </row>
    <row r="322" spans="1:18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/>
      <c r="R322" s="475" t="s">
        <v>28</v>
      </c>
    </row>
    <row r="323" spans="1:18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89"/>
        <v>0</v>
      </c>
      <c r="H323" s="19"/>
      <c r="I323" s="19">
        <f t="shared" ref="I323:R323" si="96">I324</f>
        <v>0</v>
      </c>
      <c r="J323" s="19">
        <f t="shared" si="96"/>
        <v>0</v>
      </c>
      <c r="K323" s="19"/>
      <c r="L323" s="19">
        <f t="shared" si="96"/>
        <v>0</v>
      </c>
      <c r="M323" s="19"/>
      <c r="N323" s="19">
        <f t="shared" si="96"/>
        <v>0</v>
      </c>
      <c r="O323" s="19">
        <f t="shared" si="96"/>
        <v>0</v>
      </c>
      <c r="P323" s="19"/>
      <c r="Q323" s="19"/>
      <c r="R323" s="19">
        <f t="shared" si="96"/>
        <v>0</v>
      </c>
    </row>
    <row r="324" spans="1:18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89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  <c r="R324" s="36"/>
    </row>
    <row r="325" spans="1:18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89"/>
        <v>0</v>
      </c>
      <c r="H325" s="19"/>
      <c r="I325" s="19">
        <f t="shared" ref="I325:R325" si="97">I326</f>
        <v>0</v>
      </c>
      <c r="J325" s="19">
        <f t="shared" si="97"/>
        <v>0</v>
      </c>
      <c r="K325" s="19"/>
      <c r="L325" s="19">
        <f t="shared" si="97"/>
        <v>0</v>
      </c>
      <c r="M325" s="19"/>
      <c r="N325" s="19">
        <f t="shared" si="97"/>
        <v>0</v>
      </c>
      <c r="O325" s="19">
        <f t="shared" si="97"/>
        <v>0</v>
      </c>
      <c r="P325" s="19"/>
      <c r="Q325" s="19"/>
      <c r="R325" s="19">
        <f t="shared" si="97"/>
        <v>0</v>
      </c>
    </row>
    <row r="326" spans="1:18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89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  <c r="R326" s="36"/>
    </row>
    <row r="327" spans="1:18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89"/>
        <v>0</v>
      </c>
      <c r="H327" s="19"/>
      <c r="I327" s="19">
        <f t="shared" ref="I327:R327" si="98">SUM(I328:I330)</f>
        <v>0</v>
      </c>
      <c r="J327" s="19">
        <f t="shared" si="98"/>
        <v>0</v>
      </c>
      <c r="K327" s="19"/>
      <c r="L327" s="19">
        <f t="shared" si="98"/>
        <v>0</v>
      </c>
      <c r="M327" s="19"/>
      <c r="N327" s="19">
        <f t="shared" si="98"/>
        <v>0</v>
      </c>
      <c r="O327" s="19">
        <f t="shared" si="98"/>
        <v>0</v>
      </c>
      <c r="P327" s="19"/>
      <c r="Q327" s="19"/>
      <c r="R327" s="19">
        <f t="shared" si="98"/>
        <v>0</v>
      </c>
    </row>
    <row r="328" spans="1:18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89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  <c r="R328" s="36"/>
    </row>
    <row r="329" spans="1:18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89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  <c r="R329" s="36"/>
    </row>
    <row r="330" spans="1:18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89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  <c r="R330" s="36"/>
    </row>
    <row r="331" spans="1:18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89"/>
        <v>0</v>
      </c>
      <c r="H331" s="19"/>
      <c r="I331" s="19">
        <f t="shared" ref="I331:R331" si="99">I332</f>
        <v>0</v>
      </c>
      <c r="J331" s="19">
        <f t="shared" si="99"/>
        <v>0</v>
      </c>
      <c r="K331" s="19"/>
      <c r="L331" s="19">
        <f t="shared" si="99"/>
        <v>0</v>
      </c>
      <c r="M331" s="19"/>
      <c r="N331" s="19">
        <f t="shared" si="99"/>
        <v>0</v>
      </c>
      <c r="O331" s="19">
        <f t="shared" si="99"/>
        <v>0</v>
      </c>
      <c r="P331" s="19"/>
      <c r="Q331" s="19"/>
      <c r="R331" s="19">
        <f t="shared" si="99"/>
        <v>0</v>
      </c>
    </row>
    <row r="332" spans="1:18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89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  <c r="R332" s="36"/>
    </row>
    <row r="333" spans="1:18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R333" si="100">F334+F344+F355+F357</f>
        <v>600</v>
      </c>
      <c r="G333" s="19">
        <f t="shared" si="100"/>
        <v>251</v>
      </c>
      <c r="H333" s="19">
        <f t="shared" si="100"/>
        <v>0</v>
      </c>
      <c r="I333" s="19">
        <f t="shared" si="100"/>
        <v>0</v>
      </c>
      <c r="J333" s="19">
        <f t="shared" si="100"/>
        <v>0</v>
      </c>
      <c r="K333" s="19">
        <f t="shared" si="100"/>
        <v>0</v>
      </c>
      <c r="L333" s="19">
        <f t="shared" si="100"/>
        <v>0</v>
      </c>
      <c r="M333" s="19">
        <f t="shared" si="100"/>
        <v>0</v>
      </c>
      <c r="N333" s="19">
        <f t="shared" si="100"/>
        <v>0</v>
      </c>
      <c r="O333" s="19">
        <f t="shared" si="100"/>
        <v>0</v>
      </c>
      <c r="P333" s="19"/>
      <c r="Q333" s="19">
        <f t="shared" si="100"/>
        <v>600</v>
      </c>
      <c r="R333" s="19">
        <f t="shared" si="100"/>
        <v>251</v>
      </c>
    </row>
    <row r="334" spans="1:18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R334" si="101">SUM(F335:F343)</f>
        <v>600</v>
      </c>
      <c r="G334" s="19">
        <f t="shared" si="101"/>
        <v>251</v>
      </c>
      <c r="H334" s="19">
        <f t="shared" si="101"/>
        <v>0</v>
      </c>
      <c r="I334" s="19">
        <f t="shared" si="101"/>
        <v>0</v>
      </c>
      <c r="J334" s="19">
        <f t="shared" si="101"/>
        <v>0</v>
      </c>
      <c r="K334" s="19">
        <f t="shared" si="101"/>
        <v>0</v>
      </c>
      <c r="L334" s="19">
        <f t="shared" si="101"/>
        <v>0</v>
      </c>
      <c r="M334" s="19">
        <f t="shared" si="101"/>
        <v>0</v>
      </c>
      <c r="N334" s="19">
        <f t="shared" si="101"/>
        <v>0</v>
      </c>
      <c r="O334" s="19">
        <f t="shared" si="101"/>
        <v>0</v>
      </c>
      <c r="P334" s="19"/>
      <c r="Q334" s="19">
        <f t="shared" si="101"/>
        <v>600</v>
      </c>
      <c r="R334" s="19">
        <f t="shared" si="101"/>
        <v>251</v>
      </c>
    </row>
    <row r="335" spans="1:18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89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  <c r="R335" s="36"/>
    </row>
    <row r="336" spans="1:18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89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  <c r="R336" s="36"/>
    </row>
    <row r="337" spans="1:18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89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  <c r="R337" s="36"/>
    </row>
    <row r="338" spans="1:18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89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  <c r="R338" s="36"/>
    </row>
    <row r="339" spans="1:18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H339+K339+M339+Q339</f>
        <v>600</v>
      </c>
      <c r="G339" s="37">
        <f t="shared" ref="G339" si="102">SUM(I339:R339)-K339-M339-Q339</f>
        <v>251</v>
      </c>
      <c r="H339" s="37"/>
      <c r="I339" s="36"/>
      <c r="J339" s="36"/>
      <c r="K339" s="36"/>
      <c r="L339" s="36"/>
      <c r="M339" s="36"/>
      <c r="N339" s="36"/>
      <c r="O339" s="36"/>
      <c r="P339" s="36"/>
      <c r="Q339" s="36">
        <v>600</v>
      </c>
      <c r="R339" s="36">
        <v>251</v>
      </c>
    </row>
    <row r="340" spans="1:18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89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  <c r="R340" s="36"/>
    </row>
    <row r="341" spans="1:18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89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  <c r="R341" s="36"/>
    </row>
    <row r="342" spans="1:18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89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  <c r="R342" s="36"/>
    </row>
    <row r="343" spans="1:18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89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  <c r="R343" s="36"/>
    </row>
    <row r="344" spans="1:18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89"/>
        <v>0</v>
      </c>
      <c r="H344" s="19"/>
      <c r="I344" s="19">
        <f t="shared" ref="I344:R344" si="103">SUM(I345:I354)</f>
        <v>0</v>
      </c>
      <c r="J344" s="19">
        <f t="shared" si="103"/>
        <v>0</v>
      </c>
      <c r="K344" s="19"/>
      <c r="L344" s="19">
        <f t="shared" si="103"/>
        <v>0</v>
      </c>
      <c r="M344" s="19"/>
      <c r="N344" s="19">
        <f t="shared" si="103"/>
        <v>0</v>
      </c>
      <c r="O344" s="19">
        <f t="shared" si="103"/>
        <v>0</v>
      </c>
      <c r="P344" s="19"/>
      <c r="Q344" s="19"/>
      <c r="R344" s="19">
        <f t="shared" si="103"/>
        <v>0</v>
      </c>
    </row>
    <row r="345" spans="1:18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89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  <c r="R345" s="36"/>
    </row>
    <row r="346" spans="1:18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89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  <c r="R346" s="36"/>
    </row>
    <row r="347" spans="1:18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89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  <c r="R347" s="36"/>
    </row>
    <row r="348" spans="1:18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89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  <c r="R348" s="36"/>
    </row>
    <row r="349" spans="1:18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  <c r="R349" s="545"/>
    </row>
    <row r="350" spans="1:18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476"/>
      <c r="R350" s="544" t="s">
        <v>8</v>
      </c>
    </row>
    <row r="351" spans="1:18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477"/>
      <c r="R351" s="545"/>
    </row>
    <row r="352" spans="1:18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/>
      <c r="R352" s="475" t="s">
        <v>28</v>
      </c>
    </row>
    <row r="353" spans="1:18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89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  <c r="R353" s="36"/>
    </row>
    <row r="354" spans="1:18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89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  <c r="R354" s="36"/>
    </row>
    <row r="355" spans="1:18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89"/>
        <v>0</v>
      </c>
      <c r="H355" s="19"/>
      <c r="I355" s="19">
        <f t="shared" ref="I355:R355" si="104">I356</f>
        <v>0</v>
      </c>
      <c r="J355" s="19">
        <f t="shared" si="104"/>
        <v>0</v>
      </c>
      <c r="K355" s="19"/>
      <c r="L355" s="19">
        <f t="shared" si="104"/>
        <v>0</v>
      </c>
      <c r="M355" s="19"/>
      <c r="N355" s="19">
        <f t="shared" si="104"/>
        <v>0</v>
      </c>
      <c r="O355" s="19">
        <f t="shared" si="104"/>
        <v>0</v>
      </c>
      <c r="P355" s="19"/>
      <c r="Q355" s="19"/>
      <c r="R355" s="19">
        <f t="shared" si="104"/>
        <v>0</v>
      </c>
    </row>
    <row r="356" spans="1:18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89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  <c r="R356" s="36"/>
    </row>
    <row r="357" spans="1:18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89"/>
        <v>0</v>
      </c>
      <c r="H357" s="19"/>
      <c r="I357" s="19">
        <f t="shared" ref="I357:R357" si="105">SUM(I358:I360)</f>
        <v>0</v>
      </c>
      <c r="J357" s="19">
        <f t="shared" si="105"/>
        <v>0</v>
      </c>
      <c r="K357" s="19"/>
      <c r="L357" s="19">
        <f t="shared" si="105"/>
        <v>0</v>
      </c>
      <c r="M357" s="19"/>
      <c r="N357" s="19">
        <f t="shared" si="105"/>
        <v>0</v>
      </c>
      <c r="O357" s="19">
        <f t="shared" si="105"/>
        <v>0</v>
      </c>
      <c r="P357" s="19"/>
      <c r="Q357" s="19"/>
      <c r="R357" s="19">
        <f t="shared" si="105"/>
        <v>0</v>
      </c>
    </row>
    <row r="358" spans="1:18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89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  <c r="R358" s="36"/>
    </row>
    <row r="359" spans="1:18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89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  <c r="R359" s="36"/>
    </row>
    <row r="360" spans="1:18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89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  <c r="R360" s="36"/>
    </row>
    <row r="361" spans="1:18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89"/>
        <v>0</v>
      </c>
      <c r="H361" s="19"/>
      <c r="I361" s="19">
        <f t="shared" ref="I361:R361" si="106">I362+I365+I368+I371</f>
        <v>0</v>
      </c>
      <c r="J361" s="19">
        <f t="shared" si="106"/>
        <v>0</v>
      </c>
      <c r="K361" s="19"/>
      <c r="L361" s="19">
        <f t="shared" si="106"/>
        <v>0</v>
      </c>
      <c r="M361" s="19"/>
      <c r="N361" s="19">
        <f t="shared" si="106"/>
        <v>0</v>
      </c>
      <c r="O361" s="19">
        <f t="shared" si="106"/>
        <v>0</v>
      </c>
      <c r="P361" s="19"/>
      <c r="Q361" s="19"/>
      <c r="R361" s="19">
        <f t="shared" si="106"/>
        <v>0</v>
      </c>
    </row>
    <row r="362" spans="1:18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89"/>
        <v>0</v>
      </c>
      <c r="H362" s="19"/>
      <c r="I362" s="19">
        <f t="shared" ref="I362:R362" si="107">I363+I364</f>
        <v>0</v>
      </c>
      <c r="J362" s="19">
        <f t="shared" si="107"/>
        <v>0</v>
      </c>
      <c r="K362" s="19"/>
      <c r="L362" s="19">
        <f t="shared" si="107"/>
        <v>0</v>
      </c>
      <c r="M362" s="19"/>
      <c r="N362" s="19">
        <f t="shared" si="107"/>
        <v>0</v>
      </c>
      <c r="O362" s="19">
        <f t="shared" si="107"/>
        <v>0</v>
      </c>
      <c r="P362" s="19"/>
      <c r="Q362" s="19"/>
      <c r="R362" s="19">
        <f t="shared" si="107"/>
        <v>0</v>
      </c>
    </row>
    <row r="363" spans="1:18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89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  <c r="R363" s="36"/>
    </row>
    <row r="364" spans="1:18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89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  <c r="R364" s="36"/>
    </row>
    <row r="365" spans="1:18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89"/>
        <v>0</v>
      </c>
      <c r="H365" s="19"/>
      <c r="I365" s="19">
        <f t="shared" ref="I365:R365" si="108">I366+I367</f>
        <v>0</v>
      </c>
      <c r="J365" s="19">
        <f t="shared" si="108"/>
        <v>0</v>
      </c>
      <c r="K365" s="19"/>
      <c r="L365" s="19">
        <f t="shared" si="108"/>
        <v>0</v>
      </c>
      <c r="M365" s="19"/>
      <c r="N365" s="19">
        <f t="shared" si="108"/>
        <v>0</v>
      </c>
      <c r="O365" s="19">
        <f t="shared" si="108"/>
        <v>0</v>
      </c>
      <c r="P365" s="19"/>
      <c r="Q365" s="19"/>
      <c r="R365" s="19">
        <f t="shared" si="108"/>
        <v>0</v>
      </c>
    </row>
    <row r="366" spans="1:18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89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  <c r="R366" s="36"/>
    </row>
    <row r="367" spans="1:18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89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  <c r="R367" s="36"/>
    </row>
    <row r="368" spans="1:18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89"/>
        <v>0</v>
      </c>
      <c r="H368" s="19"/>
      <c r="I368" s="19">
        <f t="shared" ref="I368:R368" si="109">I369+I370</f>
        <v>0</v>
      </c>
      <c r="J368" s="19">
        <f t="shared" si="109"/>
        <v>0</v>
      </c>
      <c r="K368" s="19"/>
      <c r="L368" s="19">
        <f t="shared" si="109"/>
        <v>0</v>
      </c>
      <c r="M368" s="19"/>
      <c r="N368" s="19">
        <f t="shared" si="109"/>
        <v>0</v>
      </c>
      <c r="O368" s="19">
        <f t="shared" si="109"/>
        <v>0</v>
      </c>
      <c r="P368" s="19"/>
      <c r="Q368" s="19"/>
      <c r="R368" s="19">
        <f t="shared" si="109"/>
        <v>0</v>
      </c>
    </row>
    <row r="369" spans="1:18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89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  <c r="R369" s="36"/>
    </row>
    <row r="370" spans="1:18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89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  <c r="R370" s="36"/>
    </row>
    <row r="371" spans="1:18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89"/>
        <v>0</v>
      </c>
      <c r="H371" s="19"/>
      <c r="I371" s="19">
        <f t="shared" ref="I371:R371" si="110">I372+I373</f>
        <v>0</v>
      </c>
      <c r="J371" s="19">
        <f t="shared" si="110"/>
        <v>0</v>
      </c>
      <c r="K371" s="19"/>
      <c r="L371" s="19">
        <f t="shared" si="110"/>
        <v>0</v>
      </c>
      <c r="M371" s="19"/>
      <c r="N371" s="19">
        <f t="shared" si="110"/>
        <v>0</v>
      </c>
      <c r="O371" s="19">
        <f t="shared" si="110"/>
        <v>0</v>
      </c>
      <c r="P371" s="19"/>
      <c r="Q371" s="19"/>
      <c r="R371" s="19">
        <f t="shared" si="110"/>
        <v>0</v>
      </c>
    </row>
    <row r="372" spans="1:18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89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  <c r="R372" s="36"/>
    </row>
    <row r="373" spans="1:18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89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  <c r="R373" s="36"/>
    </row>
    <row r="374" spans="1:18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R374" si="111">F379+F382+F385+F388+F391</f>
        <v>10080</v>
      </c>
      <c r="G374" s="19">
        <f t="shared" si="111"/>
        <v>7410</v>
      </c>
      <c r="H374" s="37">
        <f t="shared" si="111"/>
        <v>0</v>
      </c>
      <c r="I374" s="19">
        <f t="shared" si="111"/>
        <v>0</v>
      </c>
      <c r="J374" s="19">
        <f t="shared" si="111"/>
        <v>0</v>
      </c>
      <c r="K374" s="19">
        <f t="shared" si="111"/>
        <v>0</v>
      </c>
      <c r="L374" s="19">
        <f t="shared" si="111"/>
        <v>0</v>
      </c>
      <c r="M374" s="19">
        <f t="shared" si="111"/>
        <v>10080</v>
      </c>
      <c r="N374" s="19">
        <f t="shared" si="111"/>
        <v>7410</v>
      </c>
      <c r="O374" s="19">
        <f t="shared" si="111"/>
        <v>0</v>
      </c>
      <c r="P374" s="19"/>
      <c r="Q374" s="19">
        <f t="shared" si="111"/>
        <v>0</v>
      </c>
      <c r="R374" s="19">
        <f t="shared" si="111"/>
        <v>0</v>
      </c>
    </row>
    <row r="375" spans="1:18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  <c r="R375" s="545"/>
    </row>
    <row r="376" spans="1:18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476"/>
      <c r="R376" s="544" t="s">
        <v>8</v>
      </c>
    </row>
    <row r="377" spans="1:18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477"/>
      <c r="R377" s="545"/>
    </row>
    <row r="378" spans="1:18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/>
      <c r="R378" s="475" t="s">
        <v>28</v>
      </c>
    </row>
    <row r="379" spans="1:18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89"/>
        <v>0</v>
      </c>
      <c r="H379" s="19"/>
      <c r="I379" s="19">
        <f t="shared" ref="I379:R379" si="112">I380+I381</f>
        <v>0</v>
      </c>
      <c r="J379" s="19">
        <f t="shared" si="112"/>
        <v>0</v>
      </c>
      <c r="K379" s="19"/>
      <c r="L379" s="19">
        <f t="shared" si="112"/>
        <v>0</v>
      </c>
      <c r="M379" s="19"/>
      <c r="N379" s="19">
        <f t="shared" si="112"/>
        <v>0</v>
      </c>
      <c r="O379" s="19">
        <f t="shared" si="112"/>
        <v>0</v>
      </c>
      <c r="P379" s="19"/>
      <c r="Q379" s="19"/>
      <c r="R379" s="19">
        <f t="shared" si="112"/>
        <v>0</v>
      </c>
    </row>
    <row r="380" spans="1:18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89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  <c r="R380" s="36"/>
    </row>
    <row r="381" spans="1:18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89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  <c r="R381" s="36"/>
    </row>
    <row r="382" spans="1:18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89"/>
        <v>0</v>
      </c>
      <c r="H382" s="19"/>
      <c r="I382" s="19">
        <f t="shared" ref="I382:R382" si="113">I383+I384</f>
        <v>0</v>
      </c>
      <c r="J382" s="19">
        <f t="shared" si="113"/>
        <v>0</v>
      </c>
      <c r="K382" s="19"/>
      <c r="L382" s="19">
        <f t="shared" si="113"/>
        <v>0</v>
      </c>
      <c r="M382" s="19"/>
      <c r="N382" s="19">
        <f t="shared" si="113"/>
        <v>0</v>
      </c>
      <c r="O382" s="19">
        <f t="shared" si="113"/>
        <v>0</v>
      </c>
      <c r="P382" s="19"/>
      <c r="Q382" s="19"/>
      <c r="R382" s="19">
        <f t="shared" si="113"/>
        <v>0</v>
      </c>
    </row>
    <row r="383" spans="1:18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89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  <c r="R383" s="36"/>
    </row>
    <row r="384" spans="1:18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89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  <c r="R384" s="36"/>
    </row>
    <row r="385" spans="1:18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4">SUM(I385:R385)</f>
        <v>0</v>
      </c>
      <c r="H385" s="19"/>
      <c r="I385" s="19">
        <f t="shared" ref="I385:R385" si="115">I386+I387</f>
        <v>0</v>
      </c>
      <c r="J385" s="19">
        <f t="shared" si="115"/>
        <v>0</v>
      </c>
      <c r="K385" s="19"/>
      <c r="L385" s="19">
        <f t="shared" si="115"/>
        <v>0</v>
      </c>
      <c r="M385" s="19"/>
      <c r="N385" s="19">
        <f t="shared" si="115"/>
        <v>0</v>
      </c>
      <c r="O385" s="19">
        <f t="shared" si="115"/>
        <v>0</v>
      </c>
      <c r="P385" s="19"/>
      <c r="Q385" s="19"/>
      <c r="R385" s="19">
        <f t="shared" si="115"/>
        <v>0</v>
      </c>
    </row>
    <row r="386" spans="1:18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4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  <c r="R386" s="36"/>
    </row>
    <row r="387" spans="1:18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4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  <c r="R387" s="36"/>
    </row>
    <row r="388" spans="1:18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4"/>
        <v>0</v>
      </c>
      <c r="H388" s="19"/>
      <c r="I388" s="19">
        <f t="shared" ref="I388:R388" si="116">I389+I390</f>
        <v>0</v>
      </c>
      <c r="J388" s="19">
        <f t="shared" si="116"/>
        <v>0</v>
      </c>
      <c r="K388" s="19"/>
      <c r="L388" s="19">
        <f t="shared" si="116"/>
        <v>0</v>
      </c>
      <c r="M388" s="19"/>
      <c r="N388" s="19">
        <f t="shared" si="116"/>
        <v>0</v>
      </c>
      <c r="O388" s="19">
        <f t="shared" si="116"/>
        <v>0</v>
      </c>
      <c r="P388" s="19"/>
      <c r="Q388" s="19"/>
      <c r="R388" s="19">
        <f t="shared" si="116"/>
        <v>0</v>
      </c>
    </row>
    <row r="389" spans="1:18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4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  <c r="R389" s="36"/>
    </row>
    <row r="390" spans="1:18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4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  <c r="R390" s="36"/>
    </row>
    <row r="391" spans="1:18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R391" si="117">F392+F393</f>
        <v>10080</v>
      </c>
      <c r="G391" s="19">
        <f t="shared" si="117"/>
        <v>7410</v>
      </c>
      <c r="H391" s="19">
        <f t="shared" si="117"/>
        <v>0</v>
      </c>
      <c r="I391" s="19">
        <f t="shared" si="117"/>
        <v>0</v>
      </c>
      <c r="J391" s="19">
        <f t="shared" si="117"/>
        <v>0</v>
      </c>
      <c r="K391" s="19">
        <f t="shared" si="117"/>
        <v>0</v>
      </c>
      <c r="L391" s="19">
        <f t="shared" si="117"/>
        <v>0</v>
      </c>
      <c r="M391" s="19">
        <f t="shared" si="117"/>
        <v>10080</v>
      </c>
      <c r="N391" s="19">
        <f t="shared" si="117"/>
        <v>7410</v>
      </c>
      <c r="O391" s="19">
        <f t="shared" si="117"/>
        <v>0</v>
      </c>
      <c r="P391" s="19"/>
      <c r="Q391" s="19">
        <f t="shared" si="117"/>
        <v>0</v>
      </c>
      <c r="R391" s="19">
        <f t="shared" si="117"/>
        <v>0</v>
      </c>
    </row>
    <row r="392" spans="1:18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H392+K392+M392+Q392</f>
        <v>10080</v>
      </c>
      <c r="G392" s="37">
        <f t="shared" ref="G392" si="118">SUM(I392:R392)-K392-M392-Q392</f>
        <v>7410</v>
      </c>
      <c r="H392" s="37"/>
      <c r="I392" s="36"/>
      <c r="J392" s="36"/>
      <c r="K392" s="36"/>
      <c r="L392" s="36"/>
      <c r="M392" s="36">
        <v>10080</v>
      </c>
      <c r="N392" s="36">
        <v>7410</v>
      </c>
      <c r="O392" s="36"/>
      <c r="P392" s="36"/>
      <c r="Q392" s="36"/>
      <c r="R392" s="36"/>
    </row>
    <row r="393" spans="1:18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4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  <c r="R393" s="36"/>
    </row>
    <row r="394" spans="1:18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4"/>
        <v>0</v>
      </c>
      <c r="H394" s="19"/>
      <c r="I394" s="19">
        <f t="shared" ref="I394:R394" si="119">I395+I399</f>
        <v>0</v>
      </c>
      <c r="J394" s="19">
        <f t="shared" si="119"/>
        <v>0</v>
      </c>
      <c r="K394" s="19"/>
      <c r="L394" s="19">
        <f t="shared" si="119"/>
        <v>0</v>
      </c>
      <c r="M394" s="19"/>
      <c r="N394" s="19">
        <f t="shared" si="119"/>
        <v>0</v>
      </c>
      <c r="O394" s="19">
        <f t="shared" si="119"/>
        <v>0</v>
      </c>
      <c r="P394" s="19"/>
      <c r="Q394" s="19"/>
      <c r="R394" s="19">
        <f t="shared" si="119"/>
        <v>0</v>
      </c>
    </row>
    <row r="395" spans="1:18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4"/>
        <v>0</v>
      </c>
      <c r="H395" s="19"/>
      <c r="I395" s="19">
        <f t="shared" ref="I395:R395" si="120">SUM(I396:I398)</f>
        <v>0</v>
      </c>
      <c r="J395" s="19">
        <f t="shared" si="120"/>
        <v>0</v>
      </c>
      <c r="K395" s="19"/>
      <c r="L395" s="19">
        <f t="shared" si="120"/>
        <v>0</v>
      </c>
      <c r="M395" s="19"/>
      <c r="N395" s="19">
        <f t="shared" si="120"/>
        <v>0</v>
      </c>
      <c r="O395" s="19">
        <f t="shared" si="120"/>
        <v>0</v>
      </c>
      <c r="P395" s="19"/>
      <c r="Q395" s="19"/>
      <c r="R395" s="19">
        <f t="shared" si="120"/>
        <v>0</v>
      </c>
    </row>
    <row r="396" spans="1:18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4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  <c r="R396" s="36"/>
    </row>
    <row r="397" spans="1:18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4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  <c r="R397" s="36"/>
    </row>
    <row r="398" spans="1:18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4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  <c r="R398" s="36"/>
    </row>
    <row r="399" spans="1:18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4"/>
        <v>0</v>
      </c>
      <c r="H399" s="19"/>
      <c r="I399" s="19">
        <f t="shared" ref="I399:R399" si="121">SUM(I404:I412)</f>
        <v>0</v>
      </c>
      <c r="J399" s="19">
        <f t="shared" si="121"/>
        <v>0</v>
      </c>
      <c r="K399" s="19"/>
      <c r="L399" s="19">
        <f t="shared" si="121"/>
        <v>0</v>
      </c>
      <c r="M399" s="19"/>
      <c r="N399" s="19">
        <f t="shared" si="121"/>
        <v>0</v>
      </c>
      <c r="O399" s="19">
        <f t="shared" si="121"/>
        <v>0</v>
      </c>
      <c r="P399" s="19"/>
      <c r="Q399" s="19"/>
      <c r="R399" s="19">
        <f t="shared" si="121"/>
        <v>0</v>
      </c>
    </row>
    <row r="400" spans="1:18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  <c r="R400" s="545"/>
    </row>
    <row r="401" spans="1:18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476"/>
      <c r="R401" s="544" t="s">
        <v>8</v>
      </c>
    </row>
    <row r="402" spans="1:18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477"/>
      <c r="R402" s="545"/>
    </row>
    <row r="403" spans="1:18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/>
      <c r="R403" s="475" t="s">
        <v>28</v>
      </c>
    </row>
    <row r="404" spans="1:18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4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  <c r="R404" s="36"/>
    </row>
    <row r="405" spans="1:18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4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  <c r="R405" s="36"/>
    </row>
    <row r="406" spans="1:18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4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  <c r="R406" s="36"/>
    </row>
    <row r="407" spans="1:18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4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  <c r="R407" s="36"/>
    </row>
    <row r="408" spans="1:18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4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  <c r="R408" s="36"/>
    </row>
    <row r="409" spans="1:18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4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  <c r="R409" s="36"/>
    </row>
    <row r="410" spans="1:18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4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  <c r="R410" s="36"/>
    </row>
    <row r="411" spans="1:18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4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  <c r="R411" s="36"/>
    </row>
    <row r="412" spans="1:18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4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  <c r="R412" s="36"/>
    </row>
    <row r="413" spans="1:18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R413" si="122">F414+F417+F421+F423+F426+F432</f>
        <v>300</v>
      </c>
      <c r="G413" s="19">
        <f t="shared" si="122"/>
        <v>118</v>
      </c>
      <c r="H413" s="19">
        <f t="shared" si="122"/>
        <v>0</v>
      </c>
      <c r="I413" s="19">
        <f t="shared" si="122"/>
        <v>0</v>
      </c>
      <c r="J413" s="19">
        <f t="shared" si="122"/>
        <v>0</v>
      </c>
      <c r="K413" s="19">
        <f t="shared" si="122"/>
        <v>0</v>
      </c>
      <c r="L413" s="19">
        <f t="shared" si="122"/>
        <v>0</v>
      </c>
      <c r="M413" s="19">
        <f t="shared" si="122"/>
        <v>0</v>
      </c>
      <c r="N413" s="19">
        <f t="shared" si="122"/>
        <v>8</v>
      </c>
      <c r="O413" s="19">
        <f t="shared" si="122"/>
        <v>0</v>
      </c>
      <c r="P413" s="19"/>
      <c r="Q413" s="19">
        <f t="shared" si="122"/>
        <v>300</v>
      </c>
      <c r="R413" s="19">
        <f t="shared" si="122"/>
        <v>100</v>
      </c>
    </row>
    <row r="414" spans="1:18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R414" si="123">F415+F416</f>
        <v>35</v>
      </c>
      <c r="G414" s="19">
        <f t="shared" si="123"/>
        <v>35</v>
      </c>
      <c r="H414" s="19">
        <f t="shared" si="123"/>
        <v>0</v>
      </c>
      <c r="I414" s="19">
        <f t="shared" si="123"/>
        <v>0</v>
      </c>
      <c r="J414" s="19">
        <f t="shared" si="123"/>
        <v>0</v>
      </c>
      <c r="K414" s="19">
        <f t="shared" si="123"/>
        <v>0</v>
      </c>
      <c r="L414" s="19">
        <f t="shared" si="123"/>
        <v>0</v>
      </c>
      <c r="M414" s="19">
        <f t="shared" si="123"/>
        <v>0</v>
      </c>
      <c r="N414" s="19">
        <f t="shared" si="123"/>
        <v>0</v>
      </c>
      <c r="O414" s="19">
        <f t="shared" si="123"/>
        <v>0</v>
      </c>
      <c r="P414" s="19"/>
      <c r="Q414" s="19">
        <f t="shared" si="123"/>
        <v>35</v>
      </c>
      <c r="R414" s="19">
        <f t="shared" si="123"/>
        <v>35</v>
      </c>
    </row>
    <row r="415" spans="1:18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4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  <c r="R415" s="36"/>
    </row>
    <row r="416" spans="1:18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H416+K416+M416+Q416</f>
        <v>35</v>
      </c>
      <c r="G416" s="37">
        <f t="shared" ref="G416" si="124">SUM(I416:R416)-K416-M416-Q416</f>
        <v>35</v>
      </c>
      <c r="H416" s="37"/>
      <c r="I416" s="36"/>
      <c r="J416" s="36"/>
      <c r="K416" s="36"/>
      <c r="L416" s="36"/>
      <c r="M416" s="36"/>
      <c r="N416" s="36"/>
      <c r="O416" s="36"/>
      <c r="P416" s="36"/>
      <c r="Q416" s="36">
        <v>35</v>
      </c>
      <c r="R416" s="36">
        <v>35</v>
      </c>
    </row>
    <row r="417" spans="1:23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R417" si="125">SUM(F418:F420)</f>
        <v>65</v>
      </c>
      <c r="G417" s="19">
        <f t="shared" si="125"/>
        <v>68</v>
      </c>
      <c r="H417" s="19">
        <f t="shared" si="125"/>
        <v>0</v>
      </c>
      <c r="I417" s="19">
        <f t="shared" si="125"/>
        <v>0</v>
      </c>
      <c r="J417" s="19">
        <f t="shared" si="125"/>
        <v>0</v>
      </c>
      <c r="K417" s="19">
        <f t="shared" si="125"/>
        <v>0</v>
      </c>
      <c r="L417" s="19">
        <f t="shared" si="125"/>
        <v>0</v>
      </c>
      <c r="M417" s="19">
        <f t="shared" si="125"/>
        <v>0</v>
      </c>
      <c r="N417" s="19">
        <f t="shared" si="125"/>
        <v>8</v>
      </c>
      <c r="O417" s="19">
        <f t="shared" si="125"/>
        <v>0</v>
      </c>
      <c r="P417" s="19"/>
      <c r="Q417" s="19">
        <f t="shared" si="125"/>
        <v>65</v>
      </c>
      <c r="R417" s="19">
        <f t="shared" si="125"/>
        <v>50</v>
      </c>
    </row>
    <row r="418" spans="1:23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H418+K418+M418+Q418</f>
        <v>30</v>
      </c>
      <c r="G418" s="37">
        <f t="shared" ref="G418:G419" si="126">SUM(I418:R418)-K418-M418-Q418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/>
      <c r="Q418" s="36">
        <v>30</v>
      </c>
      <c r="R418" s="36">
        <v>9</v>
      </c>
    </row>
    <row r="419" spans="1:23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H419+K419+M419+Q419</f>
        <v>25</v>
      </c>
      <c r="G419" s="37">
        <f t="shared" si="126"/>
        <v>41</v>
      </c>
      <c r="H419" s="37"/>
      <c r="I419" s="36"/>
      <c r="J419" s="36"/>
      <c r="K419" s="36"/>
      <c r="L419" s="36"/>
      <c r="M419" s="36"/>
      <c r="N419" s="36"/>
      <c r="O419" s="36"/>
      <c r="P419" s="36"/>
      <c r="Q419" s="36">
        <v>25</v>
      </c>
      <c r="R419" s="36">
        <v>41</v>
      </c>
      <c r="W419" s="12" t="s">
        <v>539</v>
      </c>
    </row>
    <row r="420" spans="1:23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H420+K420+M420+Q420</f>
        <v>10</v>
      </c>
      <c r="G420" s="37">
        <f t="shared" si="114"/>
        <v>10</v>
      </c>
      <c r="H420" s="37"/>
      <c r="I420" s="36"/>
      <c r="J420" s="36"/>
      <c r="K420" s="36"/>
      <c r="L420" s="36"/>
      <c r="M420" s="36"/>
      <c r="N420" s="36"/>
      <c r="O420" s="36"/>
      <c r="P420" s="36"/>
      <c r="Q420" s="36">
        <v>10</v>
      </c>
      <c r="R420" s="36"/>
    </row>
    <row r="421" spans="1:23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R421" si="127">F422</f>
        <v>200</v>
      </c>
      <c r="G421" s="19">
        <f t="shared" si="127"/>
        <v>15</v>
      </c>
      <c r="H421" s="19">
        <f t="shared" si="127"/>
        <v>0</v>
      </c>
      <c r="I421" s="19">
        <f t="shared" si="127"/>
        <v>0</v>
      </c>
      <c r="J421" s="19">
        <f t="shared" si="127"/>
        <v>0</v>
      </c>
      <c r="K421" s="19">
        <f t="shared" si="127"/>
        <v>0</v>
      </c>
      <c r="L421" s="19">
        <f t="shared" si="127"/>
        <v>0</v>
      </c>
      <c r="M421" s="19">
        <f t="shared" si="127"/>
        <v>0</v>
      </c>
      <c r="N421" s="19">
        <f t="shared" si="127"/>
        <v>0</v>
      </c>
      <c r="O421" s="19">
        <f t="shared" si="127"/>
        <v>0</v>
      </c>
      <c r="P421" s="19"/>
      <c r="Q421" s="19">
        <f t="shared" si="127"/>
        <v>200</v>
      </c>
      <c r="R421" s="19">
        <f t="shared" si="127"/>
        <v>15</v>
      </c>
    </row>
    <row r="422" spans="1:23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H422+K422+M422+Q422</f>
        <v>200</v>
      </c>
      <c r="G422" s="37">
        <f t="shared" ref="G422" si="128">SUM(I422:R422)-K422-M422-Q422</f>
        <v>15</v>
      </c>
      <c r="H422" s="37"/>
      <c r="I422" s="36"/>
      <c r="J422" s="36"/>
      <c r="K422" s="36"/>
      <c r="L422" s="36"/>
      <c r="M422" s="36"/>
      <c r="N422" s="36"/>
      <c r="O422" s="36"/>
      <c r="P422" s="36"/>
      <c r="Q422" s="36">
        <v>200</v>
      </c>
      <c r="R422" s="36">
        <v>15</v>
      </c>
    </row>
    <row r="423" spans="1:23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4"/>
        <v>0</v>
      </c>
      <c r="H423" s="19"/>
      <c r="I423" s="19">
        <f t="shared" ref="I423:R423" si="129">I424+I425</f>
        <v>0</v>
      </c>
      <c r="J423" s="19">
        <f t="shared" si="129"/>
        <v>0</v>
      </c>
      <c r="K423" s="19"/>
      <c r="L423" s="19">
        <f t="shared" si="129"/>
        <v>0</v>
      </c>
      <c r="M423" s="19"/>
      <c r="N423" s="19">
        <f t="shared" si="129"/>
        <v>0</v>
      </c>
      <c r="O423" s="19">
        <f t="shared" si="129"/>
        <v>0</v>
      </c>
      <c r="P423" s="19"/>
      <c r="Q423" s="19"/>
      <c r="R423" s="19">
        <f t="shared" si="129"/>
        <v>0</v>
      </c>
    </row>
    <row r="424" spans="1:23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4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  <c r="R424" s="36"/>
    </row>
    <row r="425" spans="1:23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4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  <c r="R425" s="36"/>
    </row>
    <row r="426" spans="1:23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4"/>
        <v>0</v>
      </c>
      <c r="H426" s="19"/>
      <c r="I426" s="19">
        <f t="shared" ref="I426:R426" si="130">I427</f>
        <v>0</v>
      </c>
      <c r="J426" s="19">
        <f t="shared" si="130"/>
        <v>0</v>
      </c>
      <c r="K426" s="19"/>
      <c r="L426" s="19">
        <f t="shared" si="130"/>
        <v>0</v>
      </c>
      <c r="M426" s="19"/>
      <c r="N426" s="19">
        <f t="shared" si="130"/>
        <v>0</v>
      </c>
      <c r="O426" s="19">
        <f t="shared" si="130"/>
        <v>0</v>
      </c>
      <c r="P426" s="19"/>
      <c r="Q426" s="19"/>
      <c r="R426" s="19">
        <f t="shared" si="130"/>
        <v>0</v>
      </c>
    </row>
    <row r="427" spans="1:23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4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  <c r="R427" s="36"/>
    </row>
    <row r="428" spans="1:23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  <c r="R428" s="545"/>
    </row>
    <row r="429" spans="1:23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476"/>
      <c r="R429" s="544" t="s">
        <v>8</v>
      </c>
    </row>
    <row r="430" spans="1:23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477"/>
      <c r="R430" s="545"/>
    </row>
    <row r="431" spans="1:23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/>
      <c r="R431" s="475" t="s">
        <v>28</v>
      </c>
    </row>
    <row r="432" spans="1:23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4"/>
        <v>0</v>
      </c>
      <c r="H432" s="19"/>
      <c r="I432" s="19">
        <f t="shared" ref="I432:R432" si="131">I433</f>
        <v>0</v>
      </c>
      <c r="J432" s="19">
        <f t="shared" si="131"/>
        <v>0</v>
      </c>
      <c r="K432" s="19"/>
      <c r="L432" s="19">
        <f t="shared" si="131"/>
        <v>0</v>
      </c>
      <c r="M432" s="19"/>
      <c r="N432" s="19">
        <f t="shared" si="131"/>
        <v>0</v>
      </c>
      <c r="O432" s="19">
        <f t="shared" si="131"/>
        <v>0</v>
      </c>
      <c r="P432" s="19"/>
      <c r="Q432" s="19"/>
      <c r="R432" s="19">
        <f t="shared" si="131"/>
        <v>0</v>
      </c>
    </row>
    <row r="433" spans="1:23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4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  <c r="R433" s="36"/>
    </row>
    <row r="434" spans="1:23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R434" si="132">F435+F458+F471+F474+F482</f>
        <v>27329</v>
      </c>
      <c r="G434" s="19">
        <f t="shared" si="132"/>
        <v>3263</v>
      </c>
      <c r="H434" s="19">
        <f t="shared" si="132"/>
        <v>25000</v>
      </c>
      <c r="I434" s="19">
        <f t="shared" si="132"/>
        <v>1450</v>
      </c>
      <c r="J434" s="19">
        <f t="shared" si="132"/>
        <v>0</v>
      </c>
      <c r="K434" s="19">
        <f t="shared" si="132"/>
        <v>1000</v>
      </c>
      <c r="L434" s="19">
        <f t="shared" si="132"/>
        <v>0</v>
      </c>
      <c r="M434" s="19">
        <f t="shared" si="132"/>
        <v>0</v>
      </c>
      <c r="N434" s="19">
        <f t="shared" si="132"/>
        <v>0</v>
      </c>
      <c r="O434" s="19">
        <f t="shared" si="132"/>
        <v>0</v>
      </c>
      <c r="P434" s="19"/>
      <c r="Q434" s="19">
        <f t="shared" si="132"/>
        <v>1329</v>
      </c>
      <c r="R434" s="19">
        <f t="shared" si="132"/>
        <v>1813</v>
      </c>
    </row>
    <row r="435" spans="1:23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R435" si="133">F436+F441+F452+F454+F456</f>
        <v>27329</v>
      </c>
      <c r="G435" s="19">
        <f t="shared" si="133"/>
        <v>3263</v>
      </c>
      <c r="H435" s="19">
        <f t="shared" si="133"/>
        <v>25000</v>
      </c>
      <c r="I435" s="19">
        <f t="shared" si="133"/>
        <v>1450</v>
      </c>
      <c r="J435" s="19">
        <f t="shared" si="133"/>
        <v>0</v>
      </c>
      <c r="K435" s="19">
        <f t="shared" si="133"/>
        <v>1000</v>
      </c>
      <c r="L435" s="19">
        <f t="shared" si="133"/>
        <v>0</v>
      </c>
      <c r="M435" s="19">
        <f t="shared" si="133"/>
        <v>0</v>
      </c>
      <c r="N435" s="19">
        <f t="shared" si="133"/>
        <v>0</v>
      </c>
      <c r="O435" s="19">
        <f t="shared" si="133"/>
        <v>0</v>
      </c>
      <c r="P435" s="19"/>
      <c r="Q435" s="19">
        <f t="shared" si="133"/>
        <v>1329</v>
      </c>
      <c r="R435" s="19">
        <f t="shared" si="133"/>
        <v>1813</v>
      </c>
    </row>
    <row r="436" spans="1:23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R436" si="134">SUM(F437:F440)</f>
        <v>5000</v>
      </c>
      <c r="G436" s="19">
        <f t="shared" si="134"/>
        <v>1450</v>
      </c>
      <c r="H436" s="19">
        <f t="shared" si="134"/>
        <v>5000</v>
      </c>
      <c r="I436" s="19">
        <f t="shared" si="134"/>
        <v>1450</v>
      </c>
      <c r="J436" s="19">
        <f t="shared" si="134"/>
        <v>0</v>
      </c>
      <c r="K436" s="19">
        <f t="shared" si="134"/>
        <v>0</v>
      </c>
      <c r="L436" s="19">
        <f t="shared" si="134"/>
        <v>0</v>
      </c>
      <c r="M436" s="19">
        <f t="shared" si="134"/>
        <v>0</v>
      </c>
      <c r="N436" s="19">
        <f t="shared" si="134"/>
        <v>0</v>
      </c>
      <c r="O436" s="19">
        <f t="shared" si="134"/>
        <v>0</v>
      </c>
      <c r="P436" s="19"/>
      <c r="Q436" s="19">
        <f t="shared" si="134"/>
        <v>0</v>
      </c>
      <c r="R436" s="19">
        <f t="shared" si="134"/>
        <v>0</v>
      </c>
    </row>
    <row r="437" spans="1:23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4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  <c r="R437" s="36"/>
    </row>
    <row r="438" spans="1:23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4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  <c r="R438" s="36"/>
    </row>
    <row r="439" spans="1:23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H439+K439+M439+Q439</f>
        <v>5000</v>
      </c>
      <c r="G439" s="37">
        <f t="shared" ref="G439" si="135">SUM(I439:R439)-K439-M439-Q439</f>
        <v>1450</v>
      </c>
      <c r="H439" s="37">
        <v>5000</v>
      </c>
      <c r="I439" s="36">
        <v>1450</v>
      </c>
      <c r="J439" s="36"/>
      <c r="K439" s="36"/>
      <c r="L439" s="36"/>
      <c r="M439" s="36"/>
      <c r="N439" s="36"/>
      <c r="O439" s="36"/>
      <c r="P439" s="36"/>
      <c r="Q439" s="36"/>
      <c r="R439" s="36"/>
      <c r="W439" s="12" t="s">
        <v>469</v>
      </c>
    </row>
    <row r="440" spans="1:23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4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  <c r="R440" s="36"/>
    </row>
    <row r="441" spans="1:23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R441" si="136">SUM(F442:F451)</f>
        <v>22329</v>
      </c>
      <c r="G441" s="19">
        <f t="shared" si="136"/>
        <v>1813</v>
      </c>
      <c r="H441" s="19">
        <f t="shared" si="136"/>
        <v>20000</v>
      </c>
      <c r="I441" s="19">
        <f t="shared" si="136"/>
        <v>0</v>
      </c>
      <c r="J441" s="19">
        <f t="shared" si="136"/>
        <v>0</v>
      </c>
      <c r="K441" s="19">
        <f t="shared" si="136"/>
        <v>1000</v>
      </c>
      <c r="L441" s="19">
        <f t="shared" si="136"/>
        <v>0</v>
      </c>
      <c r="M441" s="19">
        <f t="shared" si="136"/>
        <v>0</v>
      </c>
      <c r="N441" s="19">
        <f t="shared" si="136"/>
        <v>0</v>
      </c>
      <c r="O441" s="19">
        <f t="shared" si="136"/>
        <v>0</v>
      </c>
      <c r="P441" s="19"/>
      <c r="Q441" s="19">
        <f t="shared" si="136"/>
        <v>1329</v>
      </c>
      <c r="R441" s="19">
        <f t="shared" si="136"/>
        <v>1813</v>
      </c>
    </row>
    <row r="442" spans="1:23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4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  <c r="R442" s="36"/>
    </row>
    <row r="443" spans="1:23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H443+K443+M443+Q443</f>
        <v>0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6"/>
      <c r="Q443" s="38"/>
      <c r="R443" s="36"/>
    </row>
    <row r="444" spans="1:23" ht="28.5" x14ac:dyDescent="0.4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H444+K444+M444+Q444</f>
        <v>1018</v>
      </c>
      <c r="G444" s="37">
        <f t="shared" ref="G444" si="137">SUM(I444:R444)-K444-M444-Q444</f>
        <v>1258</v>
      </c>
      <c r="H444" s="522"/>
      <c r="I444" s="36"/>
      <c r="J444" s="36"/>
      <c r="K444" s="36"/>
      <c r="L444" s="36"/>
      <c r="M444" s="36"/>
      <c r="N444" s="36"/>
      <c r="O444" s="36"/>
      <c r="P444" s="36"/>
      <c r="Q444" s="36">
        <f>918+100</f>
        <v>1018</v>
      </c>
      <c r="R444" s="36">
        <v>1258</v>
      </c>
      <c r="S444" s="12">
        <v>809</v>
      </c>
      <c r="T444" s="12">
        <v>1124</v>
      </c>
      <c r="U444" s="12">
        <f>T444-S444</f>
        <v>315</v>
      </c>
      <c r="W444" s="400" t="s">
        <v>538</v>
      </c>
    </row>
    <row r="445" spans="1:23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4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  <c r="R445" s="36"/>
    </row>
    <row r="446" spans="1:23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4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  <c r="R446" s="36"/>
    </row>
    <row r="447" spans="1:23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H447+K447+M447+Q447</f>
        <v>21311</v>
      </c>
      <c r="G447" s="37">
        <f t="shared" ref="G447" si="138">SUM(I447:R447)-K447-M447-Q447</f>
        <v>555</v>
      </c>
      <c r="H447" s="37">
        <v>20000</v>
      </c>
      <c r="I447" s="36"/>
      <c r="J447" s="36"/>
      <c r="K447" s="36">
        <v>1000</v>
      </c>
      <c r="L447" s="36"/>
      <c r="M447" s="36"/>
      <c r="N447" s="36"/>
      <c r="O447" s="36"/>
      <c r="P447" s="36"/>
      <c r="Q447" s="38">
        <v>311</v>
      </c>
      <c r="R447" s="36">
        <v>555</v>
      </c>
      <c r="W447" s="12" t="s">
        <v>469</v>
      </c>
    </row>
    <row r="448" spans="1:23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4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  <c r="R448" s="36"/>
    </row>
    <row r="449" spans="1:18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4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  <c r="R449" s="36"/>
    </row>
    <row r="450" spans="1:18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4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  <c r="R450" s="36"/>
    </row>
    <row r="451" spans="1:18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4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  <c r="R451" s="36"/>
    </row>
    <row r="452" spans="1:18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4"/>
        <v>0</v>
      </c>
      <c r="H452" s="19"/>
      <c r="I452" s="19">
        <f t="shared" ref="I452:R452" si="139">I453</f>
        <v>0</v>
      </c>
      <c r="J452" s="19">
        <f t="shared" si="139"/>
        <v>0</v>
      </c>
      <c r="K452" s="19"/>
      <c r="L452" s="19">
        <f t="shared" si="139"/>
        <v>0</v>
      </c>
      <c r="M452" s="19"/>
      <c r="N452" s="19">
        <f t="shared" si="139"/>
        <v>0</v>
      </c>
      <c r="O452" s="19">
        <f t="shared" si="139"/>
        <v>0</v>
      </c>
      <c r="P452" s="19"/>
      <c r="Q452" s="19"/>
      <c r="R452" s="19">
        <f t="shared" si="139"/>
        <v>0</v>
      </c>
    </row>
    <row r="453" spans="1:18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4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  <c r="R453" s="36"/>
    </row>
    <row r="454" spans="1:18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4"/>
        <v>0</v>
      </c>
      <c r="H454" s="19"/>
      <c r="I454" s="19">
        <f t="shared" ref="I454:R454" si="140">I455</f>
        <v>0</v>
      </c>
      <c r="J454" s="19">
        <f t="shared" si="140"/>
        <v>0</v>
      </c>
      <c r="K454" s="19"/>
      <c r="L454" s="19">
        <f t="shared" si="140"/>
        <v>0</v>
      </c>
      <c r="M454" s="19"/>
      <c r="N454" s="19">
        <f t="shared" si="140"/>
        <v>0</v>
      </c>
      <c r="O454" s="19">
        <f t="shared" si="140"/>
        <v>0</v>
      </c>
      <c r="P454" s="19"/>
      <c r="Q454" s="19"/>
      <c r="R454" s="19">
        <f t="shared" si="140"/>
        <v>0</v>
      </c>
    </row>
    <row r="455" spans="1:18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4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  <c r="R455" s="36"/>
    </row>
    <row r="456" spans="1:18" ht="26.25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R456" si="141">F457</f>
        <v>0</v>
      </c>
      <c r="G456" s="19">
        <f t="shared" si="141"/>
        <v>0</v>
      </c>
      <c r="H456" s="19">
        <f t="shared" si="141"/>
        <v>0</v>
      </c>
      <c r="I456" s="19">
        <f t="shared" si="141"/>
        <v>0</v>
      </c>
      <c r="J456" s="19">
        <f t="shared" si="141"/>
        <v>0</v>
      </c>
      <c r="K456" s="19">
        <f t="shared" si="141"/>
        <v>0</v>
      </c>
      <c r="L456" s="19">
        <f t="shared" si="141"/>
        <v>0</v>
      </c>
      <c r="M456" s="19">
        <f t="shared" si="141"/>
        <v>0</v>
      </c>
      <c r="N456" s="19">
        <f t="shared" si="141"/>
        <v>0</v>
      </c>
      <c r="O456" s="19">
        <f t="shared" si="141"/>
        <v>0</v>
      </c>
      <c r="P456" s="19"/>
      <c r="Q456" s="19">
        <f t="shared" si="141"/>
        <v>0</v>
      </c>
      <c r="R456" s="19">
        <f t="shared" si="141"/>
        <v>0</v>
      </c>
    </row>
    <row r="457" spans="1:18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H457+K457+M457+Q457</f>
        <v>0</v>
      </c>
      <c r="G457" s="37">
        <f t="shared" si="114"/>
        <v>0</v>
      </c>
      <c r="H457" s="37"/>
      <c r="I457" s="36"/>
      <c r="J457" s="36"/>
      <c r="K457" s="36"/>
      <c r="L457" s="36"/>
      <c r="M457" s="36"/>
      <c r="N457" s="36"/>
      <c r="O457" s="36"/>
      <c r="P457" s="36"/>
      <c r="Q457" s="36">
        <v>0</v>
      </c>
      <c r="R457" s="36"/>
    </row>
    <row r="458" spans="1:18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2">SUM(I458:R458)</f>
        <v>0</v>
      </c>
      <c r="H458" s="19"/>
      <c r="I458" s="19">
        <f t="shared" ref="I458:R458" si="143">I459+I461+I469</f>
        <v>0</v>
      </c>
      <c r="J458" s="19">
        <f t="shared" si="143"/>
        <v>0</v>
      </c>
      <c r="K458" s="19"/>
      <c r="L458" s="19">
        <f t="shared" si="143"/>
        <v>0</v>
      </c>
      <c r="M458" s="19"/>
      <c r="N458" s="19">
        <f t="shared" si="143"/>
        <v>0</v>
      </c>
      <c r="O458" s="19">
        <f t="shared" si="143"/>
        <v>0</v>
      </c>
      <c r="P458" s="19"/>
      <c r="Q458" s="19"/>
      <c r="R458" s="19">
        <f t="shared" si="143"/>
        <v>0</v>
      </c>
    </row>
    <row r="459" spans="1:18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2"/>
        <v>0</v>
      </c>
      <c r="H459" s="19"/>
      <c r="I459" s="19">
        <f t="shared" ref="I459:R459" si="144">I460</f>
        <v>0</v>
      </c>
      <c r="J459" s="19">
        <f t="shared" si="144"/>
        <v>0</v>
      </c>
      <c r="K459" s="19"/>
      <c r="L459" s="19">
        <f t="shared" si="144"/>
        <v>0</v>
      </c>
      <c r="M459" s="19"/>
      <c r="N459" s="19">
        <f t="shared" si="144"/>
        <v>0</v>
      </c>
      <c r="O459" s="19">
        <f t="shared" si="144"/>
        <v>0</v>
      </c>
      <c r="P459" s="19"/>
      <c r="Q459" s="19"/>
      <c r="R459" s="19">
        <f t="shared" si="144"/>
        <v>0</v>
      </c>
    </row>
    <row r="460" spans="1:18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2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  <c r="R460" s="36"/>
    </row>
    <row r="461" spans="1:18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2"/>
        <v>0</v>
      </c>
      <c r="H461" s="19"/>
      <c r="I461" s="19">
        <f t="shared" ref="I461:R461" si="145">SUM(I462:I468)</f>
        <v>0</v>
      </c>
      <c r="J461" s="19">
        <f t="shared" si="145"/>
        <v>0</v>
      </c>
      <c r="K461" s="19"/>
      <c r="L461" s="19">
        <f t="shared" si="145"/>
        <v>0</v>
      </c>
      <c r="M461" s="19"/>
      <c r="N461" s="19">
        <f t="shared" si="145"/>
        <v>0</v>
      </c>
      <c r="O461" s="19">
        <f t="shared" si="145"/>
        <v>0</v>
      </c>
      <c r="P461" s="19"/>
      <c r="Q461" s="19"/>
      <c r="R461" s="19">
        <f t="shared" si="145"/>
        <v>0</v>
      </c>
    </row>
    <row r="462" spans="1:18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2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  <c r="R462" s="36"/>
    </row>
    <row r="463" spans="1:18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  <c r="R463" s="545"/>
    </row>
    <row r="464" spans="1:18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476"/>
      <c r="R464" s="544" t="s">
        <v>8</v>
      </c>
    </row>
    <row r="465" spans="1:18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477"/>
      <c r="R465" s="545"/>
    </row>
    <row r="466" spans="1:18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/>
      <c r="R466" s="475" t="s">
        <v>28</v>
      </c>
    </row>
    <row r="467" spans="1:18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2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  <c r="R467" s="36"/>
    </row>
    <row r="468" spans="1:18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2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  <c r="R468" s="36"/>
    </row>
    <row r="469" spans="1:18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2"/>
        <v>0</v>
      </c>
      <c r="H469" s="19"/>
      <c r="I469" s="19">
        <f t="shared" ref="I469:R469" si="146">I470</f>
        <v>0</v>
      </c>
      <c r="J469" s="19">
        <f t="shared" si="146"/>
        <v>0</v>
      </c>
      <c r="K469" s="19"/>
      <c r="L469" s="19">
        <f t="shared" si="146"/>
        <v>0</v>
      </c>
      <c r="M469" s="19"/>
      <c r="N469" s="19">
        <f t="shared" si="146"/>
        <v>0</v>
      </c>
      <c r="O469" s="19">
        <f t="shared" si="146"/>
        <v>0</v>
      </c>
      <c r="P469" s="19"/>
      <c r="Q469" s="19"/>
      <c r="R469" s="19">
        <f t="shared" si="146"/>
        <v>0</v>
      </c>
    </row>
    <row r="470" spans="1:18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2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  <c r="R470" s="36"/>
    </row>
    <row r="471" spans="1:18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2"/>
        <v>0</v>
      </c>
      <c r="H471" s="19"/>
      <c r="I471" s="19">
        <f t="shared" ref="I471:R472" si="147">I472</f>
        <v>0</v>
      </c>
      <c r="J471" s="19">
        <f t="shared" si="147"/>
        <v>0</v>
      </c>
      <c r="K471" s="19"/>
      <c r="L471" s="19">
        <f t="shared" si="147"/>
        <v>0</v>
      </c>
      <c r="M471" s="19"/>
      <c r="N471" s="19">
        <f t="shared" si="147"/>
        <v>0</v>
      </c>
      <c r="O471" s="19">
        <f t="shared" si="147"/>
        <v>0</v>
      </c>
      <c r="P471" s="19"/>
      <c r="Q471" s="19"/>
      <c r="R471" s="19">
        <f t="shared" si="147"/>
        <v>0</v>
      </c>
    </row>
    <row r="472" spans="1:18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2"/>
        <v>0</v>
      </c>
      <c r="H472" s="19"/>
      <c r="I472" s="19">
        <f t="shared" si="147"/>
        <v>0</v>
      </c>
      <c r="J472" s="19">
        <f t="shared" si="147"/>
        <v>0</v>
      </c>
      <c r="K472" s="19"/>
      <c r="L472" s="19">
        <f t="shared" si="147"/>
        <v>0</v>
      </c>
      <c r="M472" s="19"/>
      <c r="N472" s="19">
        <f t="shared" si="147"/>
        <v>0</v>
      </c>
      <c r="O472" s="19">
        <f t="shared" si="147"/>
        <v>0</v>
      </c>
      <c r="P472" s="19"/>
      <c r="Q472" s="19"/>
      <c r="R472" s="19">
        <f t="shared" si="147"/>
        <v>0</v>
      </c>
    </row>
    <row r="473" spans="1:18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2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  <c r="R473" s="36"/>
    </row>
    <row r="474" spans="1:18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2"/>
        <v>0</v>
      </c>
      <c r="H474" s="19"/>
      <c r="I474" s="19">
        <f t="shared" ref="I474:R474" si="148">I475+I477+I479</f>
        <v>0</v>
      </c>
      <c r="J474" s="19">
        <f t="shared" si="148"/>
        <v>0</v>
      </c>
      <c r="K474" s="19"/>
      <c r="L474" s="19">
        <f t="shared" si="148"/>
        <v>0</v>
      </c>
      <c r="M474" s="19"/>
      <c r="N474" s="19">
        <f t="shared" si="148"/>
        <v>0</v>
      </c>
      <c r="O474" s="19">
        <f t="shared" si="148"/>
        <v>0</v>
      </c>
      <c r="P474" s="19"/>
      <c r="Q474" s="19"/>
      <c r="R474" s="19">
        <f t="shared" si="148"/>
        <v>0</v>
      </c>
    </row>
    <row r="475" spans="1:18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2"/>
        <v>0</v>
      </c>
      <c r="H475" s="19"/>
      <c r="I475" s="19">
        <f t="shared" ref="I475:R475" si="149">I476</f>
        <v>0</v>
      </c>
      <c r="J475" s="19">
        <f t="shared" si="149"/>
        <v>0</v>
      </c>
      <c r="K475" s="19"/>
      <c r="L475" s="19">
        <f t="shared" si="149"/>
        <v>0</v>
      </c>
      <c r="M475" s="19"/>
      <c r="N475" s="19">
        <f t="shared" si="149"/>
        <v>0</v>
      </c>
      <c r="O475" s="19">
        <f t="shared" si="149"/>
        <v>0</v>
      </c>
      <c r="P475" s="19"/>
      <c r="Q475" s="19"/>
      <c r="R475" s="19">
        <f t="shared" si="149"/>
        <v>0</v>
      </c>
    </row>
    <row r="476" spans="1:18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2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  <c r="R476" s="36"/>
    </row>
    <row r="477" spans="1:18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2"/>
        <v>0</v>
      </c>
      <c r="H477" s="19"/>
      <c r="I477" s="19">
        <f t="shared" ref="I477:R477" si="150">I478</f>
        <v>0</v>
      </c>
      <c r="J477" s="19">
        <f t="shared" si="150"/>
        <v>0</v>
      </c>
      <c r="K477" s="19"/>
      <c r="L477" s="19">
        <f t="shared" si="150"/>
        <v>0</v>
      </c>
      <c r="M477" s="19"/>
      <c r="N477" s="19">
        <f t="shared" si="150"/>
        <v>0</v>
      </c>
      <c r="O477" s="19">
        <f t="shared" si="150"/>
        <v>0</v>
      </c>
      <c r="P477" s="19"/>
      <c r="Q477" s="19"/>
      <c r="R477" s="19">
        <f t="shared" si="150"/>
        <v>0</v>
      </c>
    </row>
    <row r="478" spans="1:18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2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  <c r="R478" s="36"/>
    </row>
    <row r="479" spans="1:18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2"/>
        <v>0</v>
      </c>
      <c r="H479" s="19"/>
      <c r="I479" s="19">
        <f t="shared" ref="I479:R479" si="151">I480+I481</f>
        <v>0</v>
      </c>
      <c r="J479" s="19">
        <f t="shared" si="151"/>
        <v>0</v>
      </c>
      <c r="K479" s="19"/>
      <c r="L479" s="19">
        <f t="shared" si="151"/>
        <v>0</v>
      </c>
      <c r="M479" s="19"/>
      <c r="N479" s="19">
        <f t="shared" si="151"/>
        <v>0</v>
      </c>
      <c r="O479" s="19">
        <f t="shared" si="151"/>
        <v>0</v>
      </c>
      <c r="P479" s="19"/>
      <c r="Q479" s="19"/>
      <c r="R479" s="19">
        <f t="shared" si="151"/>
        <v>0</v>
      </c>
    </row>
    <row r="480" spans="1:18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2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  <c r="R480" s="36"/>
    </row>
    <row r="481" spans="1:18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2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  <c r="R481" s="36"/>
    </row>
    <row r="482" spans="1:18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2"/>
        <v>0</v>
      </c>
      <c r="H482" s="19"/>
      <c r="I482" s="19">
        <f t="shared" ref="I482:R483" si="152">I483</f>
        <v>0</v>
      </c>
      <c r="J482" s="19">
        <f t="shared" si="152"/>
        <v>0</v>
      </c>
      <c r="K482" s="19"/>
      <c r="L482" s="19">
        <f t="shared" si="152"/>
        <v>0</v>
      </c>
      <c r="M482" s="19"/>
      <c r="N482" s="19">
        <f t="shared" si="152"/>
        <v>0</v>
      </c>
      <c r="O482" s="19">
        <f t="shared" si="152"/>
        <v>0</v>
      </c>
      <c r="P482" s="19"/>
      <c r="Q482" s="19"/>
      <c r="R482" s="19">
        <f t="shared" si="152"/>
        <v>0</v>
      </c>
    </row>
    <row r="483" spans="1:18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2"/>
        <v>0</v>
      </c>
      <c r="H483" s="19"/>
      <c r="I483" s="19">
        <f t="shared" si="152"/>
        <v>0</v>
      </c>
      <c r="J483" s="19">
        <f t="shared" si="152"/>
        <v>0</v>
      </c>
      <c r="K483" s="19"/>
      <c r="L483" s="19">
        <f t="shared" si="152"/>
        <v>0</v>
      </c>
      <c r="M483" s="19"/>
      <c r="N483" s="19">
        <f t="shared" si="152"/>
        <v>0</v>
      </c>
      <c r="O483" s="19">
        <f t="shared" si="152"/>
        <v>0</v>
      </c>
      <c r="P483" s="19"/>
      <c r="Q483" s="19"/>
      <c r="R483" s="19">
        <f t="shared" si="152"/>
        <v>0</v>
      </c>
    </row>
    <row r="484" spans="1:18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2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  <c r="R484" s="36"/>
    </row>
    <row r="485" spans="1:18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2"/>
        <v>0</v>
      </c>
      <c r="H485" s="19"/>
      <c r="I485" s="19">
        <f t="shared" ref="I485:R485" si="153">I486+I515</f>
        <v>0</v>
      </c>
      <c r="J485" s="19">
        <f t="shared" si="153"/>
        <v>0</v>
      </c>
      <c r="K485" s="19"/>
      <c r="L485" s="19">
        <f t="shared" si="153"/>
        <v>0</v>
      </c>
      <c r="M485" s="19"/>
      <c r="N485" s="19">
        <f t="shared" si="153"/>
        <v>0</v>
      </c>
      <c r="O485" s="19">
        <f t="shared" si="153"/>
        <v>0</v>
      </c>
      <c r="P485" s="19"/>
      <c r="Q485" s="19"/>
      <c r="R485" s="19">
        <f t="shared" si="153"/>
        <v>0</v>
      </c>
    </row>
    <row r="486" spans="1:18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2"/>
        <v>0</v>
      </c>
      <c r="H486" s="19"/>
      <c r="I486" s="19">
        <f t="shared" ref="I486:R486" si="154">I487+I501+I509+I511+I513</f>
        <v>0</v>
      </c>
      <c r="J486" s="19">
        <f t="shared" si="154"/>
        <v>0</v>
      </c>
      <c r="K486" s="19"/>
      <c r="L486" s="19">
        <f t="shared" si="154"/>
        <v>0</v>
      </c>
      <c r="M486" s="19"/>
      <c r="N486" s="19">
        <f t="shared" si="154"/>
        <v>0</v>
      </c>
      <c r="O486" s="19">
        <f t="shared" si="154"/>
        <v>0</v>
      </c>
      <c r="P486" s="19"/>
      <c r="Q486" s="19"/>
      <c r="R486" s="19">
        <f t="shared" si="154"/>
        <v>0</v>
      </c>
    </row>
    <row r="487" spans="1:18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2"/>
        <v>0</v>
      </c>
      <c r="H487" s="19"/>
      <c r="I487" s="19">
        <f t="shared" ref="I487:R487" si="155">SUM(I488:I500)</f>
        <v>0</v>
      </c>
      <c r="J487" s="19">
        <f t="shared" si="155"/>
        <v>0</v>
      </c>
      <c r="K487" s="19"/>
      <c r="L487" s="19">
        <f t="shared" si="155"/>
        <v>0</v>
      </c>
      <c r="M487" s="19"/>
      <c r="N487" s="19">
        <f t="shared" si="155"/>
        <v>0</v>
      </c>
      <c r="O487" s="19">
        <f t="shared" si="155"/>
        <v>0</v>
      </c>
      <c r="P487" s="19"/>
      <c r="Q487" s="19"/>
      <c r="R487" s="19">
        <f t="shared" si="155"/>
        <v>0</v>
      </c>
    </row>
    <row r="488" spans="1:18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2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  <c r="R488" s="36"/>
    </row>
    <row r="489" spans="1:18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2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  <c r="R489" s="36"/>
    </row>
    <row r="490" spans="1:18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2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  <c r="R490" s="36"/>
    </row>
    <row r="491" spans="1:18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  <c r="R491" s="545"/>
    </row>
    <row r="492" spans="1:18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476"/>
      <c r="R492" s="544" t="s">
        <v>8</v>
      </c>
    </row>
    <row r="493" spans="1:18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477"/>
      <c r="R493" s="545"/>
    </row>
    <row r="494" spans="1:18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/>
      <c r="R494" s="475" t="s">
        <v>28</v>
      </c>
    </row>
    <row r="495" spans="1:18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2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  <c r="R495" s="36"/>
    </row>
    <row r="496" spans="1:18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2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  <c r="R496" s="36"/>
    </row>
    <row r="497" spans="1:18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2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  <c r="R497" s="36"/>
    </row>
    <row r="498" spans="1:18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2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  <c r="R498" s="36"/>
    </row>
    <row r="499" spans="1:18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2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  <c r="R499" s="36"/>
    </row>
    <row r="500" spans="1:18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2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  <c r="R500" s="36"/>
    </row>
    <row r="501" spans="1:18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2"/>
        <v>0</v>
      </c>
      <c r="H501" s="19"/>
      <c r="I501" s="19">
        <f t="shared" ref="I501:R501" si="156">SUM(I502:I508)</f>
        <v>0</v>
      </c>
      <c r="J501" s="19">
        <f t="shared" si="156"/>
        <v>0</v>
      </c>
      <c r="K501" s="19"/>
      <c r="L501" s="19">
        <f t="shared" si="156"/>
        <v>0</v>
      </c>
      <c r="M501" s="19"/>
      <c r="N501" s="19">
        <f t="shared" si="156"/>
        <v>0</v>
      </c>
      <c r="O501" s="19">
        <f t="shared" si="156"/>
        <v>0</v>
      </c>
      <c r="P501" s="19"/>
      <c r="Q501" s="19"/>
      <c r="R501" s="19">
        <f t="shared" si="156"/>
        <v>0</v>
      </c>
    </row>
    <row r="502" spans="1:18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2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  <c r="R502" s="36"/>
    </row>
    <row r="503" spans="1:18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2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  <c r="R503" s="36"/>
    </row>
    <row r="504" spans="1:18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2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  <c r="R504" s="36"/>
    </row>
    <row r="505" spans="1:18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2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  <c r="R505" s="36"/>
    </row>
    <row r="506" spans="1:18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2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  <c r="R506" s="36"/>
    </row>
    <row r="507" spans="1:18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2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  <c r="R507" s="36"/>
    </row>
    <row r="508" spans="1:18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2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  <c r="R508" s="36"/>
    </row>
    <row r="509" spans="1:18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2"/>
        <v>0</v>
      </c>
      <c r="H509" s="19"/>
      <c r="I509" s="19">
        <f t="shared" ref="I509:R509" si="157">I510</f>
        <v>0</v>
      </c>
      <c r="J509" s="19">
        <f t="shared" si="157"/>
        <v>0</v>
      </c>
      <c r="K509" s="19"/>
      <c r="L509" s="19">
        <f t="shared" si="157"/>
        <v>0</v>
      </c>
      <c r="M509" s="19"/>
      <c r="N509" s="19">
        <f t="shared" si="157"/>
        <v>0</v>
      </c>
      <c r="O509" s="19">
        <f t="shared" si="157"/>
        <v>0</v>
      </c>
      <c r="P509" s="19"/>
      <c r="Q509" s="19"/>
      <c r="R509" s="19">
        <f t="shared" si="157"/>
        <v>0</v>
      </c>
    </row>
    <row r="510" spans="1:18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2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  <c r="R510" s="36"/>
    </row>
    <row r="511" spans="1:18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2"/>
        <v>0</v>
      </c>
      <c r="H511" s="19"/>
      <c r="I511" s="19">
        <f t="shared" ref="I511:R513" si="158">I512</f>
        <v>0</v>
      </c>
      <c r="J511" s="19">
        <f t="shared" si="158"/>
        <v>0</v>
      </c>
      <c r="K511" s="19"/>
      <c r="L511" s="19">
        <f t="shared" si="158"/>
        <v>0</v>
      </c>
      <c r="M511" s="19"/>
      <c r="N511" s="19">
        <f t="shared" si="158"/>
        <v>0</v>
      </c>
      <c r="O511" s="19">
        <f t="shared" si="158"/>
        <v>0</v>
      </c>
      <c r="P511" s="19"/>
      <c r="Q511" s="19"/>
      <c r="R511" s="19">
        <f t="shared" si="158"/>
        <v>0</v>
      </c>
    </row>
    <row r="512" spans="1:18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2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  <c r="R512" s="36"/>
    </row>
    <row r="513" spans="1:18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2"/>
        <v>0</v>
      </c>
      <c r="H513" s="19"/>
      <c r="I513" s="19">
        <f t="shared" si="158"/>
        <v>0</v>
      </c>
      <c r="J513" s="19">
        <f t="shared" si="158"/>
        <v>0</v>
      </c>
      <c r="K513" s="19"/>
      <c r="L513" s="19">
        <f t="shared" si="158"/>
        <v>0</v>
      </c>
      <c r="M513" s="19"/>
      <c r="N513" s="19">
        <f t="shared" si="158"/>
        <v>0</v>
      </c>
      <c r="O513" s="19">
        <f t="shared" si="158"/>
        <v>0</v>
      </c>
      <c r="P513" s="19"/>
      <c r="Q513" s="19"/>
      <c r="R513" s="19">
        <f t="shared" si="158"/>
        <v>0</v>
      </c>
    </row>
    <row r="514" spans="1:18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2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  <c r="R514" s="36"/>
    </row>
    <row r="515" spans="1:18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2"/>
        <v>0</v>
      </c>
      <c r="H515" s="19"/>
      <c r="I515" s="19">
        <f t="shared" ref="I515:R515" si="159">I516+I530+I539</f>
        <v>0</v>
      </c>
      <c r="J515" s="19">
        <f t="shared" si="159"/>
        <v>0</v>
      </c>
      <c r="K515" s="19"/>
      <c r="L515" s="19">
        <f t="shared" si="159"/>
        <v>0</v>
      </c>
      <c r="M515" s="19"/>
      <c r="N515" s="19">
        <f t="shared" si="159"/>
        <v>0</v>
      </c>
      <c r="O515" s="19">
        <f t="shared" si="159"/>
        <v>0</v>
      </c>
      <c r="P515" s="19"/>
      <c r="Q515" s="19"/>
      <c r="R515" s="19">
        <f t="shared" si="159"/>
        <v>0</v>
      </c>
    </row>
    <row r="516" spans="1:18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2"/>
        <v>0</v>
      </c>
      <c r="H516" s="19"/>
      <c r="I516" s="19">
        <f t="shared" ref="I516:R516" si="160">SUM(I517:I529)</f>
        <v>0</v>
      </c>
      <c r="J516" s="19">
        <f t="shared" si="160"/>
        <v>0</v>
      </c>
      <c r="K516" s="19"/>
      <c r="L516" s="19">
        <f t="shared" si="160"/>
        <v>0</v>
      </c>
      <c r="M516" s="19"/>
      <c r="N516" s="19">
        <f t="shared" si="160"/>
        <v>0</v>
      </c>
      <c r="O516" s="19">
        <f t="shared" si="160"/>
        <v>0</v>
      </c>
      <c r="P516" s="19"/>
      <c r="Q516" s="19"/>
      <c r="R516" s="19">
        <f t="shared" si="160"/>
        <v>0</v>
      </c>
    </row>
    <row r="517" spans="1:18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2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  <c r="R517" s="36"/>
    </row>
    <row r="518" spans="1:18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  <c r="R518" s="545"/>
    </row>
    <row r="519" spans="1:18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476"/>
      <c r="R519" s="544" t="s">
        <v>8</v>
      </c>
    </row>
    <row r="520" spans="1:18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477"/>
      <c r="R520" s="545"/>
    </row>
    <row r="521" spans="1:18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/>
      <c r="R521" s="475" t="s">
        <v>28</v>
      </c>
    </row>
    <row r="522" spans="1:18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2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  <c r="R522" s="36"/>
    </row>
    <row r="523" spans="1:18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2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  <c r="R523" s="36"/>
    </row>
    <row r="524" spans="1:18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2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  <c r="R524" s="36"/>
    </row>
    <row r="525" spans="1:18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2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  <c r="R525" s="36"/>
    </row>
    <row r="526" spans="1:18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2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  <c r="R526" s="36"/>
    </row>
    <row r="527" spans="1:18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2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  <c r="R527" s="36"/>
    </row>
    <row r="528" spans="1:18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2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  <c r="R528" s="36"/>
    </row>
    <row r="529" spans="1:18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2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  <c r="R529" s="36"/>
    </row>
    <row r="530" spans="1:18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2"/>
        <v>0</v>
      </c>
      <c r="H530" s="19"/>
      <c r="I530" s="19">
        <f t="shared" ref="I530:R530" si="161">SUM(I531:I538)</f>
        <v>0</v>
      </c>
      <c r="J530" s="19">
        <f t="shared" si="161"/>
        <v>0</v>
      </c>
      <c r="K530" s="19"/>
      <c r="L530" s="19">
        <f t="shared" si="161"/>
        <v>0</v>
      </c>
      <c r="M530" s="19"/>
      <c r="N530" s="19">
        <f t="shared" si="161"/>
        <v>0</v>
      </c>
      <c r="O530" s="19">
        <f t="shared" si="161"/>
        <v>0</v>
      </c>
      <c r="P530" s="19"/>
      <c r="Q530" s="19"/>
      <c r="R530" s="19">
        <f t="shared" si="161"/>
        <v>0</v>
      </c>
    </row>
    <row r="531" spans="1:18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2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  <c r="R531" s="36"/>
    </row>
    <row r="532" spans="1:18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2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  <c r="R532" s="36"/>
    </row>
    <row r="533" spans="1:18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2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  <c r="R533" s="36"/>
    </row>
    <row r="534" spans="1:18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2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  <c r="R534" s="36"/>
    </row>
    <row r="535" spans="1:18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2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  <c r="R535" s="36"/>
    </row>
    <row r="536" spans="1:18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2">SUM(I536:R536)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  <c r="R536" s="36"/>
    </row>
    <row r="537" spans="1:18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2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  <c r="R537" s="36"/>
    </row>
    <row r="538" spans="1:18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2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  <c r="R538" s="36"/>
    </row>
    <row r="539" spans="1:18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2"/>
        <v>0</v>
      </c>
      <c r="H539" s="19"/>
      <c r="I539" s="19">
        <f t="shared" ref="I539:R539" si="163">I540</f>
        <v>0</v>
      </c>
      <c r="J539" s="19">
        <f t="shared" si="163"/>
        <v>0</v>
      </c>
      <c r="K539" s="19"/>
      <c r="L539" s="19">
        <f t="shared" si="163"/>
        <v>0</v>
      </c>
      <c r="M539" s="19"/>
      <c r="N539" s="19">
        <f t="shared" si="163"/>
        <v>0</v>
      </c>
      <c r="O539" s="19">
        <f t="shared" si="163"/>
        <v>0</v>
      </c>
      <c r="P539" s="19"/>
      <c r="Q539" s="19"/>
      <c r="R539" s="19">
        <f t="shared" si="163"/>
        <v>0</v>
      </c>
    </row>
    <row r="540" spans="1:18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2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  <c r="R540" s="36"/>
    </row>
    <row r="541" spans="1:18" ht="26.25" x14ac:dyDescent="0.25">
      <c r="A541" s="480">
        <v>5435</v>
      </c>
      <c r="B541" s="23"/>
      <c r="C541" s="18" t="s">
        <v>462</v>
      </c>
      <c r="D541" s="18"/>
      <c r="E541" s="19">
        <f t="shared" ref="E541:R541" si="164">E219+E485</f>
        <v>1500538</v>
      </c>
      <c r="F541" s="19">
        <f t="shared" si="164"/>
        <v>1639055</v>
      </c>
      <c r="G541" s="19">
        <f t="shared" si="164"/>
        <v>1138166</v>
      </c>
      <c r="H541" s="19">
        <f t="shared" si="164"/>
        <v>26000</v>
      </c>
      <c r="I541" s="19">
        <f t="shared" si="164"/>
        <v>1577</v>
      </c>
      <c r="J541" s="19">
        <f t="shared" si="164"/>
        <v>0</v>
      </c>
      <c r="K541" s="19">
        <f t="shared" si="164"/>
        <v>1000</v>
      </c>
      <c r="L541" s="19">
        <f t="shared" si="164"/>
        <v>1273</v>
      </c>
      <c r="M541" s="19">
        <f t="shared" si="164"/>
        <v>1599334</v>
      </c>
      <c r="N541" s="19">
        <f t="shared" si="164"/>
        <v>1125638</v>
      </c>
      <c r="O541" s="19">
        <f t="shared" si="164"/>
        <v>0</v>
      </c>
      <c r="P541" s="19"/>
      <c r="Q541" s="19">
        <f t="shared" si="164"/>
        <v>12721</v>
      </c>
      <c r="R541" s="19">
        <f t="shared" si="164"/>
        <v>9668</v>
      </c>
    </row>
    <row r="542" spans="1:18" hidden="1" x14ac:dyDescent="0.25"/>
    <row r="543" spans="1:18" hidden="1" x14ac:dyDescent="0.25">
      <c r="F543" s="44">
        <f>F210-F541</f>
        <v>279</v>
      </c>
      <c r="G543" s="44"/>
      <c r="H543" s="44">
        <f>H210-H541</f>
        <v>0</v>
      </c>
      <c r="I543" s="44"/>
      <c r="J543" s="44">
        <f>J210-J541</f>
        <v>0</v>
      </c>
      <c r="K543" s="44">
        <f>K210-K541</f>
        <v>0</v>
      </c>
      <c r="L543" s="44"/>
      <c r="M543" s="44">
        <f>M210-M541</f>
        <v>0</v>
      </c>
      <c r="N543" s="44"/>
      <c r="O543" s="44">
        <f>O210-O541</f>
        <v>0</v>
      </c>
      <c r="P543" s="44"/>
      <c r="Q543" s="60">
        <f>Q210-Q541</f>
        <v>279</v>
      </c>
      <c r="R543" s="44" t="s">
        <v>469</v>
      </c>
    </row>
    <row r="544" spans="1:18" hidden="1" x14ac:dyDescent="0.25"/>
    <row r="545" spans="1:17" hidden="1" x14ac:dyDescent="0.25">
      <c r="M545" s="44">
        <v>55285</v>
      </c>
    </row>
    <row r="546" spans="1:17" hidden="1" x14ac:dyDescent="0.25">
      <c r="K546" s="12" t="s">
        <v>463</v>
      </c>
      <c r="L546" s="44">
        <v>50421</v>
      </c>
      <c r="M546" s="44">
        <f>M249+M251+M252+M253+M257+M264+M265+M266+M267+M269+M274+M278+M281+M282+M284+M285+M287+M289+M312+M313</f>
        <v>55285</v>
      </c>
      <c r="N546" s="44">
        <f>L546-M546</f>
        <v>-4864</v>
      </c>
      <c r="Q546" s="44">
        <f>M546-M545</f>
        <v>0</v>
      </c>
    </row>
    <row r="547" spans="1:17" s="127" customFormat="1" ht="24.75" customHeight="1" x14ac:dyDescent="0.25">
      <c r="A547" s="531" t="s">
        <v>509</v>
      </c>
      <c r="B547" s="532"/>
      <c r="C547" s="533"/>
      <c r="D547" s="124"/>
      <c r="E547" s="125"/>
      <c r="F547" s="125">
        <f>F210-F541</f>
        <v>279</v>
      </c>
      <c r="G547" s="125">
        <f t="shared" ref="G547" si="165">G210-G541</f>
        <v>1889772</v>
      </c>
      <c r="H547" s="126">
        <f>H210-H541</f>
        <v>0</v>
      </c>
      <c r="I547" s="125">
        <f t="shared" ref="I547:Q547" si="166">I210-I541</f>
        <v>17161</v>
      </c>
      <c r="J547" s="125">
        <f t="shared" si="166"/>
        <v>0</v>
      </c>
      <c r="K547" s="126">
        <f t="shared" si="166"/>
        <v>0</v>
      </c>
      <c r="L547" s="126">
        <f t="shared" si="166"/>
        <v>-768</v>
      </c>
      <c r="M547" s="126">
        <f t="shared" si="166"/>
        <v>0</v>
      </c>
      <c r="N547" s="125">
        <f t="shared" si="166"/>
        <v>272554</v>
      </c>
      <c r="O547" s="125">
        <f t="shared" si="166"/>
        <v>0</v>
      </c>
      <c r="P547" s="125"/>
      <c r="Q547" s="125">
        <f t="shared" si="166"/>
        <v>279</v>
      </c>
    </row>
    <row r="549" spans="1:17" hidden="1" x14ac:dyDescent="0.25">
      <c r="F549" s="44">
        <f>F210-F541</f>
        <v>279</v>
      </c>
      <c r="M549" s="44">
        <f>M249+M251+M252+M253+M257+M264+M265+M266+M267+M269+M274+M278+M281+M282+M284+M285+M287+M289+M312+M313</f>
        <v>55285</v>
      </c>
    </row>
  </sheetData>
  <mergeCells count="187">
    <mergeCell ref="A547:C547"/>
    <mergeCell ref="A518:A520"/>
    <mergeCell ref="B518:B520"/>
    <mergeCell ref="C518:C520"/>
    <mergeCell ref="E518:E520"/>
    <mergeCell ref="G518:R518"/>
    <mergeCell ref="G519:G520"/>
    <mergeCell ref="I519:N519"/>
    <mergeCell ref="O519:O520"/>
    <mergeCell ref="R519:R520"/>
    <mergeCell ref="A491:A493"/>
    <mergeCell ref="B491:B493"/>
    <mergeCell ref="C491:C493"/>
    <mergeCell ref="E491:E493"/>
    <mergeCell ref="G491:R491"/>
    <mergeCell ref="G492:G493"/>
    <mergeCell ref="I492:N492"/>
    <mergeCell ref="O492:O493"/>
    <mergeCell ref="R492:R493"/>
    <mergeCell ref="A463:A465"/>
    <mergeCell ref="B463:B465"/>
    <mergeCell ref="C463:C465"/>
    <mergeCell ref="E463:E465"/>
    <mergeCell ref="G463:R463"/>
    <mergeCell ref="G464:G465"/>
    <mergeCell ref="I464:N464"/>
    <mergeCell ref="O464:O465"/>
    <mergeCell ref="R464:R465"/>
    <mergeCell ref="A428:A430"/>
    <mergeCell ref="B428:B430"/>
    <mergeCell ref="C428:C430"/>
    <mergeCell ref="E428:E430"/>
    <mergeCell ref="G428:R428"/>
    <mergeCell ref="G429:G430"/>
    <mergeCell ref="I429:N429"/>
    <mergeCell ref="O429:O430"/>
    <mergeCell ref="R429:R430"/>
    <mergeCell ref="A400:A402"/>
    <mergeCell ref="B400:B402"/>
    <mergeCell ref="C400:C402"/>
    <mergeCell ref="E400:E402"/>
    <mergeCell ref="G400:R400"/>
    <mergeCell ref="G401:G402"/>
    <mergeCell ref="I401:N401"/>
    <mergeCell ref="O401:O402"/>
    <mergeCell ref="R401:R402"/>
    <mergeCell ref="A375:A377"/>
    <mergeCell ref="B375:B377"/>
    <mergeCell ref="C375:C377"/>
    <mergeCell ref="E375:E377"/>
    <mergeCell ref="G375:R375"/>
    <mergeCell ref="G376:G377"/>
    <mergeCell ref="I376:N376"/>
    <mergeCell ref="O376:O377"/>
    <mergeCell ref="R376:R377"/>
    <mergeCell ref="A349:A351"/>
    <mergeCell ref="B349:B351"/>
    <mergeCell ref="C349:C351"/>
    <mergeCell ref="E349:E351"/>
    <mergeCell ref="G349:R349"/>
    <mergeCell ref="G350:G351"/>
    <mergeCell ref="I350:N350"/>
    <mergeCell ref="O350:O351"/>
    <mergeCell ref="R350:R351"/>
    <mergeCell ref="A319:A321"/>
    <mergeCell ref="B319:B321"/>
    <mergeCell ref="C319:C321"/>
    <mergeCell ref="E319:E321"/>
    <mergeCell ref="G319:R319"/>
    <mergeCell ref="G320:G321"/>
    <mergeCell ref="I320:N320"/>
    <mergeCell ref="O320:O321"/>
    <mergeCell ref="R320:R321"/>
    <mergeCell ref="A270:A272"/>
    <mergeCell ref="B270:B272"/>
    <mergeCell ref="C270:C272"/>
    <mergeCell ref="E270:E272"/>
    <mergeCell ref="G270:R270"/>
    <mergeCell ref="G271:G272"/>
    <mergeCell ref="I271:N271"/>
    <mergeCell ref="O271:O272"/>
    <mergeCell ref="R271:R272"/>
    <mergeCell ref="Q216:Q217"/>
    <mergeCell ref="R216:R217"/>
    <mergeCell ref="A234:A236"/>
    <mergeCell ref="B234:B236"/>
    <mergeCell ref="C234:C236"/>
    <mergeCell ref="E234:E236"/>
    <mergeCell ref="G234:R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R215"/>
    <mergeCell ref="F216:F217"/>
    <mergeCell ref="G216:G217"/>
    <mergeCell ref="H216:N216"/>
    <mergeCell ref="O216:O217"/>
    <mergeCell ref="R235:R236"/>
    <mergeCell ref="A203:A205"/>
    <mergeCell ref="B203:B205"/>
    <mergeCell ref="C203:C205"/>
    <mergeCell ref="E203:E205"/>
    <mergeCell ref="G203:R203"/>
    <mergeCell ref="G204:G205"/>
    <mergeCell ref="I204:N204"/>
    <mergeCell ref="O204:O205"/>
    <mergeCell ref="R204:R205"/>
    <mergeCell ref="A181:A183"/>
    <mergeCell ref="B181:B183"/>
    <mergeCell ref="C181:C183"/>
    <mergeCell ref="E181:E183"/>
    <mergeCell ref="G181:R181"/>
    <mergeCell ref="G182:G183"/>
    <mergeCell ref="I182:N182"/>
    <mergeCell ref="O182:O183"/>
    <mergeCell ref="R182:R183"/>
    <mergeCell ref="A155:A157"/>
    <mergeCell ref="B155:B157"/>
    <mergeCell ref="C155:C157"/>
    <mergeCell ref="E155:E157"/>
    <mergeCell ref="G155:R155"/>
    <mergeCell ref="G156:G157"/>
    <mergeCell ref="I156:N156"/>
    <mergeCell ref="O156:O157"/>
    <mergeCell ref="R156:R157"/>
    <mergeCell ref="A128:A130"/>
    <mergeCell ref="B128:B130"/>
    <mergeCell ref="C128:C130"/>
    <mergeCell ref="E128:E130"/>
    <mergeCell ref="G128:R128"/>
    <mergeCell ref="G129:G130"/>
    <mergeCell ref="I129:N129"/>
    <mergeCell ref="O129:O130"/>
    <mergeCell ref="R129:R130"/>
    <mergeCell ref="A100:A102"/>
    <mergeCell ref="B100:B102"/>
    <mergeCell ref="C100:C102"/>
    <mergeCell ref="E100:E102"/>
    <mergeCell ref="G100:R100"/>
    <mergeCell ref="G101:G102"/>
    <mergeCell ref="I101:N101"/>
    <mergeCell ref="O101:O102"/>
    <mergeCell ref="R101:R102"/>
    <mergeCell ref="A70:A72"/>
    <mergeCell ref="B70:B72"/>
    <mergeCell ref="C70:C72"/>
    <mergeCell ref="E70:E72"/>
    <mergeCell ref="G70:R70"/>
    <mergeCell ref="G71:G72"/>
    <mergeCell ref="I71:N71"/>
    <mergeCell ref="O71:O72"/>
    <mergeCell ref="R71:R72"/>
    <mergeCell ref="A43:A45"/>
    <mergeCell ref="B43:B45"/>
    <mergeCell ref="C43:C45"/>
    <mergeCell ref="E43:E45"/>
    <mergeCell ref="G43:R43"/>
    <mergeCell ref="G44:G45"/>
    <mergeCell ref="I44:N44"/>
    <mergeCell ref="O44:O45"/>
    <mergeCell ref="R44:R45"/>
    <mergeCell ref="Q3:Q4"/>
    <mergeCell ref="R3:R4"/>
    <mergeCell ref="A11:A13"/>
    <mergeCell ref="B11:B13"/>
    <mergeCell ref="C11:C13"/>
    <mergeCell ref="E11:E13"/>
    <mergeCell ref="G11:R11"/>
    <mergeCell ref="G12:G13"/>
    <mergeCell ref="I12:N12"/>
    <mergeCell ref="O12:O13"/>
    <mergeCell ref="A2:A4"/>
    <mergeCell ref="B2:B4"/>
    <mergeCell ref="C2:C4"/>
    <mergeCell ref="D2:D4"/>
    <mergeCell ref="E2:E4"/>
    <mergeCell ref="F2:R2"/>
    <mergeCell ref="F3:F4"/>
    <mergeCell ref="G3:G4"/>
    <mergeCell ref="H3:N3"/>
    <mergeCell ref="O3:O4"/>
    <mergeCell ref="R12:R13"/>
  </mergeCells>
  <dataValidations count="1">
    <dataValidation type="whole" allowBlank="1" showErrorMessage="1" errorTitle="Upozorenje" error="Niste uneli korektnu vrednost!_x000a_Ponovite unos." sqref="E495:R517 E238:R269 H432:H443 I432:R462 E432:G462 E104:E127 G120:M121 G104:R119 E467:R490 E379:R399 E353:R374 E323:R348 E404:R427 E522:R541 E219:R233 E274:R318 H445:H462 E132:E154 G132:R154 G122:R127 G74:R99 E74:E99 E6:R10 E207:R211 E185:R202 E159:R180 E47:R69 E15:R42 F74:F154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541"/>
  <sheetViews>
    <sheetView topLeftCell="A541" workbookViewId="0">
      <selection activeCell="A543" sqref="A543:XFD549"/>
    </sheetView>
  </sheetViews>
  <sheetFormatPr defaultRowHeight="15" x14ac:dyDescent="0.25"/>
  <cols>
    <col min="1" max="1" width="4.85546875" style="12" customWidth="1"/>
    <col min="2" max="2" width="9.140625" style="12" customWidth="1"/>
    <col min="3" max="3" width="33.140625" style="12" customWidth="1"/>
    <col min="4" max="4" width="3.28515625" style="12" customWidth="1"/>
    <col min="5" max="5" width="8.7109375" style="12" hidden="1" customWidth="1"/>
    <col min="6" max="6" width="9" style="12" customWidth="1"/>
    <col min="7" max="7" width="0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9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1" width="0" style="12" hidden="1" customWidth="1"/>
    <col min="22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 t="shared" ref="F6:Q6" si="0">F7+F133</f>
        <v>1478921</v>
      </c>
      <c r="G6" s="19">
        <f t="shared" si="0"/>
        <v>2872894</v>
      </c>
      <c r="H6" s="19">
        <f t="shared" si="0"/>
        <v>21200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1443921</v>
      </c>
      <c r="N6" s="19">
        <f t="shared" si="0"/>
        <v>1398192</v>
      </c>
      <c r="O6" s="19">
        <f t="shared" si="0"/>
        <v>0</v>
      </c>
      <c r="P6" s="19">
        <f t="shared" si="0"/>
        <v>12800</v>
      </c>
      <c r="Q6" s="67">
        <f t="shared" si="0"/>
        <v>12669</v>
      </c>
    </row>
    <row r="7" spans="1:17" ht="26.25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1478721</v>
      </c>
      <c r="G7" s="19">
        <f>G8+G60+G74+G86+G115+G122+G126</f>
        <v>2872710</v>
      </c>
      <c r="H7" s="19">
        <f t="shared" ref="H7:Q7" si="1">H8+H60+H74+H86+H115+H122+H126</f>
        <v>21200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1443921</v>
      </c>
      <c r="N7" s="19">
        <f t="shared" si="1"/>
        <v>1398192</v>
      </c>
      <c r="O7" s="19">
        <f t="shared" si="1"/>
        <v>0</v>
      </c>
      <c r="P7" s="19">
        <f t="shared" si="1"/>
        <v>12600</v>
      </c>
      <c r="Q7" s="67">
        <f t="shared" si="1"/>
        <v>12485</v>
      </c>
    </row>
    <row r="8" spans="1:17" ht="26.25" hidden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26.25" hidden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39" hidden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idden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idden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idden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idden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idden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idden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idden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idden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idden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idden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idden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idden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26.25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26.25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26.25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64.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26.25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39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26.25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39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26.25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26.25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39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14931</v>
      </c>
      <c r="G86" s="19">
        <f t="shared" ref="G86:Q86" si="21">G87+G94+G99+G110+G113</f>
        <v>14780</v>
      </c>
      <c r="H86" s="19">
        <f>H87+H94+H99+H110+H113</f>
        <v>1200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v>1131</v>
      </c>
      <c r="N86" s="19">
        <f t="shared" si="21"/>
        <v>1130</v>
      </c>
      <c r="O86" s="19">
        <f t="shared" si="21"/>
        <v>0</v>
      </c>
      <c r="P86" s="19">
        <f>P87+P94+P99+P110+P113+P120</f>
        <v>12600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1131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1131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1131</v>
      </c>
      <c r="G91" s="37">
        <f>SUM(I91:Q91)-K91-M91-P91</f>
        <v>1130</v>
      </c>
      <c r="H91" s="37"/>
      <c r="I91" s="38"/>
      <c r="J91" s="38"/>
      <c r="K91" s="38"/>
      <c r="L91" s="38"/>
      <c r="M91" s="38">
        <v>1131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26.25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1200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12500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26.25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1200</v>
      </c>
      <c r="I97" s="36">
        <v>1165</v>
      </c>
      <c r="J97" s="36"/>
      <c r="K97" s="36"/>
      <c r="L97" s="36"/>
      <c r="M97" s="36"/>
      <c r="N97" s="36"/>
      <c r="O97" s="36"/>
      <c r="P97" s="36">
        <v>7500</v>
      </c>
      <c r="Q97" s="72">
        <v>7180</v>
      </c>
    </row>
    <row r="98" spans="1:17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26.25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26.25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17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17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17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17" ht="26.25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17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17" ht="39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17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17" s="10" customFormat="1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2839852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17" s="10" customFormat="1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17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1442790</v>
      </c>
      <c r="G122" s="19">
        <f t="shared" ref="G122:Q122" si="33">G123</f>
        <v>2839852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1442790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17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1442790</v>
      </c>
      <c r="G123" s="19">
        <f t="shared" ref="G123:Q123" si="34">G124+G125</f>
        <v>2839852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1442790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17" ht="26.25" x14ac:dyDescent="0.25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1442790</v>
      </c>
      <c r="G124" s="37">
        <f>SUM(I124:Q124)</f>
        <v>2839852</v>
      </c>
      <c r="H124" s="37"/>
      <c r="I124" s="36"/>
      <c r="J124" s="36"/>
      <c r="K124" s="36"/>
      <c r="L124" s="36"/>
      <c r="M124" s="36">
        <f>1377997+1583+12500+4800+200+7710+600+37400</f>
        <v>1442790</v>
      </c>
      <c r="N124" s="36">
        <v>1397062</v>
      </c>
      <c r="O124" s="36"/>
      <c r="P124" s="36"/>
      <c r="Q124" s="72"/>
    </row>
    <row r="125" spans="1:17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17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21000</v>
      </c>
      <c r="G126" s="19">
        <f t="shared" ref="G126:Q126" si="36">G127</f>
        <v>18078</v>
      </c>
      <c r="H126" s="19">
        <f t="shared" si="36"/>
        <v>20000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17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21000</v>
      </c>
      <c r="G127" s="19">
        <f t="shared" ref="G127:Q127" si="37">G132</f>
        <v>18078</v>
      </c>
      <c r="H127" s="19">
        <f t="shared" si="37"/>
        <v>20000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17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17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17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17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17" x14ac:dyDescent="0.25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21000</v>
      </c>
      <c r="G132" s="37">
        <f>SUM(I132:Q132)-K132-M132-P132</f>
        <v>18078</v>
      </c>
      <c r="H132" s="37">
        <v>20000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</row>
    <row r="133" spans="1:17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17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 t="shared" si="39"/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17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17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17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17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17" ht="26.25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17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17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17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17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17" ht="26.25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26.25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39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26.25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26.25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26.25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26.25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39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26.25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26.25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26.25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26.25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26.25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26.25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1478921</v>
      </c>
      <c r="G210" s="42">
        <f t="shared" si="61"/>
        <v>2872894</v>
      </c>
      <c r="H210" s="42">
        <f t="shared" si="61"/>
        <v>21200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1443921</v>
      </c>
      <c r="N210" s="42">
        <f t="shared" si="61"/>
        <v>1398192</v>
      </c>
      <c r="O210" s="42">
        <f t="shared" si="61"/>
        <v>0</v>
      </c>
      <c r="P210" s="42">
        <f t="shared" si="61"/>
        <v>12800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1484200</v>
      </c>
      <c r="G219" s="19">
        <f t="shared" si="62"/>
        <v>1428216</v>
      </c>
      <c r="H219" s="19">
        <f t="shared" si="62"/>
        <v>22238</v>
      </c>
      <c r="I219" s="19">
        <f t="shared" si="62"/>
        <v>17657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1443921</v>
      </c>
      <c r="N219" s="19">
        <f t="shared" si="62"/>
        <v>1398024</v>
      </c>
      <c r="O219" s="19">
        <f t="shared" si="62"/>
        <v>0</v>
      </c>
      <c r="P219" s="19">
        <f t="shared" si="62"/>
        <v>17041</v>
      </c>
      <c r="Q219" s="19">
        <f t="shared" si="62"/>
        <v>11162</v>
      </c>
      <c r="R219" s="44">
        <f>H219+K219+M219+P219</f>
        <v>1484200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1458707</v>
      </c>
      <c r="G220" s="19">
        <f t="shared" ref="G220:Q220" si="63">G221+G247+G314+G333+G361+G374+G394+G413</f>
        <v>1411053</v>
      </c>
      <c r="H220" s="19">
        <f t="shared" si="63"/>
        <v>2238</v>
      </c>
      <c r="I220" s="19">
        <f t="shared" si="63"/>
        <v>2407</v>
      </c>
      <c r="J220" s="19">
        <f t="shared" si="63"/>
        <v>0</v>
      </c>
      <c r="K220" s="19">
        <f t="shared" si="63"/>
        <v>1000</v>
      </c>
      <c r="L220" s="19">
        <f t="shared" si="63"/>
        <v>1273</v>
      </c>
      <c r="M220" s="19">
        <f t="shared" si="63"/>
        <v>1443921</v>
      </c>
      <c r="N220" s="19">
        <f t="shared" si="63"/>
        <v>1398024</v>
      </c>
      <c r="O220" s="19">
        <f t="shared" si="63"/>
        <v>0</v>
      </c>
      <c r="P220" s="19">
        <f t="shared" si="63"/>
        <v>11548</v>
      </c>
      <c r="Q220" s="19">
        <f t="shared" si="63"/>
        <v>9349</v>
      </c>
      <c r="R220" s="44">
        <f>F220+F434</f>
        <v>1484200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1055701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1052496</v>
      </c>
      <c r="N221" s="19">
        <f t="shared" si="64"/>
        <v>1025065</v>
      </c>
      <c r="O221" s="19">
        <f t="shared" si="64"/>
        <v>0</v>
      </c>
      <c r="P221" s="19">
        <f t="shared" si="64"/>
        <v>3205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875010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872510</v>
      </c>
      <c r="N222" s="19">
        <f t="shared" si="65"/>
        <v>849796</v>
      </c>
      <c r="O222" s="19">
        <f t="shared" si="65"/>
        <v>0</v>
      </c>
      <c r="P222" s="19">
        <f t="shared" si="65"/>
        <v>2500</v>
      </c>
      <c r="Q222" s="19">
        <f t="shared" si="65"/>
        <v>1989</v>
      </c>
    </row>
    <row r="223" spans="1:18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875010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872510</v>
      </c>
      <c r="N223" s="36">
        <f>851785-1989</f>
        <v>849796</v>
      </c>
      <c r="O223" s="36"/>
      <c r="P223" s="36">
        <v>2500</v>
      </c>
      <c r="Q223" s="36">
        <v>1989</v>
      </c>
      <c r="R223" s="44">
        <f>M223+P223</f>
        <v>875010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141315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140910</v>
      </c>
      <c r="N224" s="19">
        <f t="shared" si="66"/>
        <v>141535</v>
      </c>
      <c r="O224" s="19">
        <f t="shared" si="66"/>
        <v>0</v>
      </c>
      <c r="P224" s="19">
        <f t="shared" si="66"/>
        <v>405</v>
      </c>
      <c r="Q224" s="19">
        <f t="shared" si="66"/>
        <v>331</v>
      </c>
    </row>
    <row r="225" spans="1:17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96251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95976</v>
      </c>
      <c r="N225" s="36">
        <f>97986-229</f>
        <v>97757</v>
      </c>
      <c r="O225" s="36"/>
      <c r="P225" s="36">
        <v>275</v>
      </c>
      <c r="Q225" s="36">
        <v>229</v>
      </c>
    </row>
    <row r="226" spans="1:17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45064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44934</v>
      </c>
      <c r="N226" s="36">
        <f>43880-102</f>
        <v>43778</v>
      </c>
      <c r="O226" s="36"/>
      <c r="P226" s="36">
        <v>130</v>
      </c>
      <c r="Q226" s="36">
        <v>102</v>
      </c>
    </row>
    <row r="227" spans="1:17" hidden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17" hidden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17" hidden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17" ht="26.25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5900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5600</v>
      </c>
      <c r="N230" s="19">
        <f t="shared" si="69"/>
        <v>4959</v>
      </c>
      <c r="O230" s="19">
        <f t="shared" si="69"/>
        <v>0</v>
      </c>
      <c r="P230" s="19">
        <f t="shared" si="69"/>
        <v>300</v>
      </c>
      <c r="Q230" s="19">
        <f t="shared" si="69"/>
        <v>280</v>
      </c>
    </row>
    <row r="231" spans="1:17" ht="26.25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17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17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5300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f>4800+200</f>
        <v>5000</v>
      </c>
      <c r="N233" s="36">
        <v>3654</v>
      </c>
      <c r="O233" s="36"/>
      <c r="P233" s="36">
        <v>300</v>
      </c>
      <c r="Q233" s="36">
        <v>280</v>
      </c>
    </row>
    <row r="234" spans="1:17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17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17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17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17" ht="39" x14ac:dyDescent="0.25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600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600</v>
      </c>
      <c r="N238" s="36">
        <v>1305</v>
      </c>
      <c r="O238" s="36"/>
      <c r="P238" s="36"/>
      <c r="Q238" s="36"/>
    </row>
    <row r="239" spans="1:17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20976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20976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17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20976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20976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12500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12500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12500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12500</v>
      </c>
      <c r="N242" s="36">
        <v>9143</v>
      </c>
      <c r="O242" s="36"/>
      <c r="P242" s="36"/>
      <c r="Q242" s="36"/>
    </row>
    <row r="243" spans="1:18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394480</v>
      </c>
      <c r="G247" s="19">
        <f t="shared" si="74"/>
        <v>375619</v>
      </c>
      <c r="H247" s="19">
        <f t="shared" si="74"/>
        <v>2238</v>
      </c>
      <c r="I247" s="19">
        <f t="shared" si="74"/>
        <v>2407</v>
      </c>
      <c r="J247" s="19">
        <f t="shared" si="74"/>
        <v>0</v>
      </c>
      <c r="K247" s="19">
        <f t="shared" si="74"/>
        <v>1000</v>
      </c>
      <c r="L247" s="19">
        <f t="shared" si="74"/>
        <v>1273</v>
      </c>
      <c r="M247" s="19">
        <f t="shared" si="74"/>
        <v>383715</v>
      </c>
      <c r="N247" s="19">
        <f t="shared" si="74"/>
        <v>365541</v>
      </c>
      <c r="O247" s="19">
        <f t="shared" si="74"/>
        <v>0</v>
      </c>
      <c r="P247" s="19">
        <f t="shared" si="74"/>
        <v>7527</v>
      </c>
      <c r="Q247" s="19">
        <f t="shared" si="74"/>
        <v>6398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90840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90035</v>
      </c>
      <c r="N248" s="19">
        <f t="shared" si="75"/>
        <v>80545</v>
      </c>
      <c r="O248" s="19">
        <f t="shared" si="75"/>
        <v>0</v>
      </c>
      <c r="P248" s="19">
        <f t="shared" si="75"/>
        <v>805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1513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1433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73600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f>73200+50</f>
        <v>73250</v>
      </c>
      <c r="N250" s="36">
        <v>65188</v>
      </c>
      <c r="O250" s="36"/>
      <c r="P250" s="36">
        <v>350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10627</v>
      </c>
      <c r="G251" s="37">
        <f t="shared" si="76"/>
        <v>9465</v>
      </c>
      <c r="H251" s="37"/>
      <c r="I251" s="36"/>
      <c r="J251" s="36"/>
      <c r="K251" s="36"/>
      <c r="L251" s="36"/>
      <c r="M251" s="36">
        <f>11064-400-300</f>
        <v>10364</v>
      </c>
      <c r="N251" s="36">
        <v>9410</v>
      </c>
      <c r="O251" s="36"/>
      <c r="P251" s="36">
        <f>85+178</f>
        <v>263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2208</v>
      </c>
      <c r="G252" s="37">
        <f t="shared" si="76"/>
        <v>2113</v>
      </c>
      <c r="H252" s="37"/>
      <c r="I252" s="36"/>
      <c r="J252" s="36"/>
      <c r="K252" s="36"/>
      <c r="L252" s="36"/>
      <c r="M252" s="36">
        <f>3000-1092+300</f>
        <v>2208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2892</v>
      </c>
      <c r="G253" s="37">
        <f t="shared" si="76"/>
        <v>2612</v>
      </c>
      <c r="H253" s="37"/>
      <c r="I253" s="36"/>
      <c r="J253" s="36"/>
      <c r="K253" s="36"/>
      <c r="L253" s="36"/>
      <c r="M253" s="36">
        <f>1131+2500-851</f>
        <v>2780</v>
      </c>
      <c r="N253" s="36">
        <v>2591</v>
      </c>
      <c r="O253" s="36"/>
      <c r="P253" s="36">
        <v>112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650</v>
      </c>
      <c r="G256" s="19">
        <f t="shared" si="77"/>
        <v>571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150</v>
      </c>
      <c r="N256" s="19">
        <f t="shared" si="77"/>
        <v>120</v>
      </c>
      <c r="O256" s="19">
        <f t="shared" si="77"/>
        <v>0</v>
      </c>
      <c r="P256" s="19">
        <f t="shared" si="77"/>
        <v>500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650</v>
      </c>
      <c r="G257" s="37">
        <f t="shared" ref="G257" si="78">SUM(I257:Q257)-K257-M257-P257</f>
        <v>571</v>
      </c>
      <c r="H257" s="37"/>
      <c r="I257" s="36"/>
      <c r="J257" s="36"/>
      <c r="K257" s="36"/>
      <c r="L257" s="36"/>
      <c r="M257" s="36">
        <v>150</v>
      </c>
      <c r="N257" s="36">
        <v>120</v>
      </c>
      <c r="O257" s="36"/>
      <c r="P257" s="36">
        <v>500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8511</v>
      </c>
      <c r="G262" s="19">
        <f t="shared" si="79"/>
        <v>6375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6300</v>
      </c>
      <c r="N262" s="19">
        <f t="shared" si="79"/>
        <v>4811</v>
      </c>
      <c r="O262" s="19">
        <f t="shared" si="79"/>
        <v>0</v>
      </c>
      <c r="P262" s="19">
        <f t="shared" si="79"/>
        <v>2211</v>
      </c>
      <c r="Q262" s="19">
        <f t="shared" si="79"/>
        <v>1564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3606</v>
      </c>
      <c r="G264" s="37">
        <f t="shared" ref="G264:G269" si="80">SUM(I264:Q264)-K264-M264-P264</f>
        <v>2262</v>
      </c>
      <c r="H264" s="37"/>
      <c r="I264" s="36"/>
      <c r="J264" s="36"/>
      <c r="K264" s="36"/>
      <c r="L264" s="36"/>
      <c r="M264" s="36">
        <f>3000+540</f>
        <v>3540</v>
      </c>
      <c r="N264" s="36">
        <v>2192</v>
      </c>
      <c r="O264" s="36"/>
      <c r="P264" s="36">
        <v>66</v>
      </c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3060</v>
      </c>
      <c r="G265" s="37">
        <f t="shared" si="80"/>
        <v>2522</v>
      </c>
      <c r="H265" s="37"/>
      <c r="I265" s="36"/>
      <c r="J265" s="36"/>
      <c r="K265" s="36"/>
      <c r="L265" s="36"/>
      <c r="M265" s="36">
        <v>2500</v>
      </c>
      <c r="N265" s="36">
        <v>2374</v>
      </c>
      <c r="O265" s="36"/>
      <c r="P265" s="36">
        <f>200+360</f>
        <v>560</v>
      </c>
      <c r="Q265" s="36">
        <v>148</v>
      </c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260</v>
      </c>
      <c r="G266" s="37">
        <f t="shared" si="80"/>
        <v>259</v>
      </c>
      <c r="H266" s="37"/>
      <c r="I266" s="36"/>
      <c r="J266" s="36"/>
      <c r="K266" s="36"/>
      <c r="L266" s="36"/>
      <c r="M266" s="36">
        <v>260</v>
      </c>
      <c r="N266" s="36">
        <v>245</v>
      </c>
      <c r="O266" s="36"/>
      <c r="P266" s="36"/>
      <c r="Q266" s="36">
        <v>14</v>
      </c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1125</v>
      </c>
      <c r="G267" s="37">
        <f t="shared" si="80"/>
        <v>1132</v>
      </c>
      <c r="H267" s="37"/>
      <c r="I267" s="36"/>
      <c r="J267" s="36"/>
      <c r="K267" s="36"/>
      <c r="L267" s="36"/>
      <c r="M267" s="36"/>
      <c r="N267" s="36"/>
      <c r="O267" s="36"/>
      <c r="P267" s="36">
        <v>1125</v>
      </c>
      <c r="Q267" s="36">
        <v>1132</v>
      </c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>
        <f t="shared" si="67"/>
        <v>0</v>
      </c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>
        <f t="shared" si="80"/>
        <v>114</v>
      </c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>
        <v>114</v>
      </c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 t="s">
        <v>198</v>
      </c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 t="s">
        <v>199</v>
      </c>
      <c r="H271" s="476"/>
      <c r="I271" s="544" t="s">
        <v>200</v>
      </c>
      <c r="J271" s="545"/>
      <c r="K271" s="545"/>
      <c r="L271" s="545"/>
      <c r="M271" s="545"/>
      <c r="N271" s="545"/>
      <c r="O271" s="544" t="s">
        <v>7</v>
      </c>
      <c r="P271" s="476"/>
      <c r="Q271" s="544" t="s">
        <v>8</v>
      </c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 t="s">
        <v>201</v>
      </c>
      <c r="J272" s="476" t="s">
        <v>10</v>
      </c>
      <c r="K272" s="476"/>
      <c r="L272" s="476" t="s">
        <v>11</v>
      </c>
      <c r="M272" s="476"/>
      <c r="N272" s="476" t="s">
        <v>12</v>
      </c>
      <c r="O272" s="545"/>
      <c r="P272" s="477"/>
      <c r="Q272" s="545"/>
    </row>
    <row r="273" spans="1:20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 t="s">
        <v>22</v>
      </c>
      <c r="H273" s="475"/>
      <c r="I273" s="475" t="s">
        <v>23</v>
      </c>
      <c r="J273" s="475" t="s">
        <v>24</v>
      </c>
      <c r="K273" s="475"/>
      <c r="L273" s="475" t="s">
        <v>25</v>
      </c>
      <c r="M273" s="475"/>
      <c r="N273" s="475" t="s">
        <v>26</v>
      </c>
      <c r="O273" s="475" t="s">
        <v>27</v>
      </c>
      <c r="P273" s="475"/>
      <c r="Q273" s="475" t="s">
        <v>28</v>
      </c>
    </row>
    <row r="274" spans="1:20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260</v>
      </c>
      <c r="G274" s="37">
        <f t="shared" ref="G274" si="81">SUM(I274:Q274)-K274-M274-P274</f>
        <v>86</v>
      </c>
      <c r="H274" s="37"/>
      <c r="I274" s="36"/>
      <c r="J274" s="36"/>
      <c r="K274" s="36"/>
      <c r="L274" s="36"/>
      <c r="M274" s="36"/>
      <c r="N274" s="36"/>
      <c r="O274" s="36"/>
      <c r="P274" s="36">
        <v>260</v>
      </c>
      <c r="Q274" s="36">
        <v>86</v>
      </c>
    </row>
    <row r="275" spans="1:20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2">SUM(F276:F282)</f>
        <v>3007</v>
      </c>
      <c r="G275" s="19">
        <f t="shared" si="82"/>
        <v>3707</v>
      </c>
      <c r="H275" s="19">
        <f t="shared" si="82"/>
        <v>0</v>
      </c>
      <c r="I275" s="19">
        <f t="shared" si="82"/>
        <v>2280</v>
      </c>
      <c r="J275" s="19">
        <f t="shared" si="82"/>
        <v>0</v>
      </c>
      <c r="K275" s="19">
        <f t="shared" si="82"/>
        <v>0</v>
      </c>
      <c r="L275" s="19">
        <f t="shared" si="82"/>
        <v>0</v>
      </c>
      <c r="M275" s="19">
        <f t="shared" si="82"/>
        <v>1280</v>
      </c>
      <c r="N275" s="19">
        <f t="shared" si="82"/>
        <v>977</v>
      </c>
      <c r="O275" s="19">
        <f t="shared" si="82"/>
        <v>0</v>
      </c>
      <c r="P275" s="19">
        <f t="shared" si="82"/>
        <v>1727</v>
      </c>
      <c r="Q275" s="19">
        <f t="shared" si="82"/>
        <v>450</v>
      </c>
    </row>
    <row r="276" spans="1:20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0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0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1480</v>
      </c>
      <c r="G278" s="37">
        <f t="shared" ref="G278" si="83">SUM(I278:Q278)-K278-M278-P278</f>
        <v>1086</v>
      </c>
      <c r="H278" s="37"/>
      <c r="I278" s="36"/>
      <c r="J278" s="36"/>
      <c r="K278" s="36"/>
      <c r="L278" s="36"/>
      <c r="M278" s="36">
        <f>1000+280</f>
        <v>1280</v>
      </c>
      <c r="N278" s="36">
        <v>977</v>
      </c>
      <c r="O278" s="36"/>
      <c r="P278" s="36">
        <v>200</v>
      </c>
      <c r="Q278" s="36">
        <v>109</v>
      </c>
      <c r="R278" s="47"/>
      <c r="T278" s="47"/>
    </row>
    <row r="279" spans="1:20" hidden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0" ht="26.25" hidden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0" ht="26.25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300</v>
      </c>
      <c r="G281" s="37">
        <f t="shared" ref="G281:G282" si="84">SUM(I281:Q281)-K281-M281-P281</f>
        <v>51</v>
      </c>
      <c r="H281" s="37"/>
      <c r="I281" s="36"/>
      <c r="J281" s="36"/>
      <c r="K281" s="36"/>
      <c r="L281" s="36"/>
      <c r="M281" s="36"/>
      <c r="N281" s="36"/>
      <c r="O281" s="36"/>
      <c r="P281" s="36">
        <f>150+150</f>
        <v>300</v>
      </c>
      <c r="Q281" s="36">
        <v>51</v>
      </c>
    </row>
    <row r="282" spans="1:20" x14ac:dyDescent="0.2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1227</v>
      </c>
      <c r="G282" s="37">
        <f t="shared" si="84"/>
        <v>2570</v>
      </c>
      <c r="H282" s="37"/>
      <c r="I282" s="36">
        <v>2280</v>
      </c>
      <c r="J282" s="36"/>
      <c r="K282" s="36"/>
      <c r="L282" s="36"/>
      <c r="M282" s="36"/>
      <c r="N282" s="36"/>
      <c r="O282" s="36"/>
      <c r="P282" s="36">
        <f>400-150-178+1059+96</f>
        <v>1227</v>
      </c>
      <c r="Q282" s="36">
        <v>290</v>
      </c>
      <c r="R282" s="12">
        <v>1059</v>
      </c>
      <c r="S282" s="12" t="s">
        <v>504</v>
      </c>
    </row>
    <row r="283" spans="1:20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5">F284+F285</f>
        <v>12430</v>
      </c>
      <c r="G283" s="19">
        <f t="shared" si="85"/>
        <v>8828</v>
      </c>
      <c r="H283" s="19">
        <f t="shared" si="85"/>
        <v>0</v>
      </c>
      <c r="I283" s="19">
        <f t="shared" si="85"/>
        <v>0</v>
      </c>
      <c r="J283" s="19">
        <f t="shared" si="85"/>
        <v>0</v>
      </c>
      <c r="K283" s="19">
        <f t="shared" si="85"/>
        <v>0</v>
      </c>
      <c r="L283" s="19">
        <f t="shared" si="85"/>
        <v>0</v>
      </c>
      <c r="M283" s="19">
        <f t="shared" si="85"/>
        <v>12346</v>
      </c>
      <c r="N283" s="19">
        <f t="shared" si="85"/>
        <v>8173</v>
      </c>
      <c r="O283" s="19">
        <f t="shared" si="85"/>
        <v>0</v>
      </c>
      <c r="P283" s="19">
        <f t="shared" si="85"/>
        <v>84</v>
      </c>
      <c r="Q283" s="19">
        <f t="shared" si="85"/>
        <v>655</v>
      </c>
    </row>
    <row r="284" spans="1:20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720</v>
      </c>
      <c r="G284" s="37">
        <f t="shared" ref="G284:G285" si="86">SUM(I284:Q284)-K284-M284-P284</f>
        <v>100</v>
      </c>
      <c r="H284" s="37"/>
      <c r="I284" s="36"/>
      <c r="J284" s="36"/>
      <c r="K284" s="36"/>
      <c r="L284" s="36"/>
      <c r="M284" s="36">
        <v>720</v>
      </c>
      <c r="N284" s="36">
        <v>100</v>
      </c>
      <c r="O284" s="36"/>
      <c r="P284" s="36"/>
      <c r="Q284" s="36"/>
    </row>
    <row r="285" spans="1:20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11710</v>
      </c>
      <c r="G285" s="37">
        <f t="shared" si="86"/>
        <v>8728</v>
      </c>
      <c r="H285" s="37"/>
      <c r="I285" s="36"/>
      <c r="J285" s="36"/>
      <c r="K285" s="36"/>
      <c r="L285" s="36"/>
      <c r="M285" s="36">
        <f>11147-580+1059</f>
        <v>11626</v>
      </c>
      <c r="N285" s="36">
        <f>8055+18</f>
        <v>8073</v>
      </c>
      <c r="O285" s="36"/>
      <c r="P285" s="36">
        <v>84</v>
      </c>
      <c r="Q285" s="36">
        <v>655</v>
      </c>
      <c r="R285" s="12" t="s">
        <v>505</v>
      </c>
    </row>
    <row r="286" spans="1:20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279042</v>
      </c>
      <c r="G286" s="19">
        <f>SUM(G287:G313)</f>
        <v>275140</v>
      </c>
      <c r="H286" s="19">
        <f t="shared" ref="H286:Q286" si="87">SUM(H287:H313)</f>
        <v>2238</v>
      </c>
      <c r="I286" s="19">
        <f t="shared" si="87"/>
        <v>127</v>
      </c>
      <c r="J286" s="19">
        <f t="shared" si="87"/>
        <v>0</v>
      </c>
      <c r="K286" s="19">
        <f t="shared" si="87"/>
        <v>1000</v>
      </c>
      <c r="L286" s="19">
        <f t="shared" si="87"/>
        <v>1273</v>
      </c>
      <c r="M286" s="19">
        <f>M287+M289+M290+M293+M311+M312+M313</f>
        <v>273604</v>
      </c>
      <c r="N286" s="19">
        <f t="shared" si="87"/>
        <v>270915</v>
      </c>
      <c r="O286" s="19">
        <f t="shared" si="87"/>
        <v>0</v>
      </c>
      <c r="P286" s="19">
        <f>P287+P289+P290+P293+P311+P312+P313</f>
        <v>2200</v>
      </c>
      <c r="Q286" s="19">
        <f t="shared" si="87"/>
        <v>2825</v>
      </c>
      <c r="R286" s="44">
        <f>H286+K286+M286+P286</f>
        <v>279042</v>
      </c>
    </row>
    <row r="287" spans="1:20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4200</v>
      </c>
      <c r="G287" s="37">
        <f t="shared" ref="G287" si="88">SUM(I287:Q287)-K287-M287-P287</f>
        <v>3119</v>
      </c>
      <c r="H287" s="37"/>
      <c r="I287" s="36"/>
      <c r="J287" s="36"/>
      <c r="K287" s="36"/>
      <c r="L287" s="36"/>
      <c r="M287" s="36">
        <v>4200</v>
      </c>
      <c r="N287" s="36">
        <v>3119</v>
      </c>
      <c r="O287" s="36"/>
      <c r="P287" s="36"/>
      <c r="Q287" s="36"/>
      <c r="R287" s="12" t="s">
        <v>506</v>
      </c>
    </row>
    <row r="288" spans="1:20" hidden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200</v>
      </c>
      <c r="G289" s="37">
        <f t="shared" ref="G289:G290" si="89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v>200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1950</v>
      </c>
      <c r="G290" s="37">
        <f t="shared" si="89"/>
        <v>1580</v>
      </c>
      <c r="H290" s="37"/>
      <c r="I290" s="38"/>
      <c r="J290" s="38"/>
      <c r="K290" s="38"/>
      <c r="L290" s="38"/>
      <c r="M290" s="38">
        <f>2000-50</f>
        <v>1950</v>
      </c>
      <c r="N290" s="38">
        <f>1534+39</f>
        <v>1573</v>
      </c>
      <c r="O290" s="38"/>
      <c r="P290" s="38"/>
      <c r="Q290" s="38">
        <v>7</v>
      </c>
    </row>
    <row r="291" spans="1:19" ht="26.25" hidden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90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90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250607</v>
      </c>
      <c r="G293" s="37">
        <f t="shared" ref="G293:G313" si="91">SUM(I293:Q293)-K293-M293-P293</f>
        <v>252600</v>
      </c>
      <c r="H293" s="37"/>
      <c r="I293" s="36">
        <v>127</v>
      </c>
      <c r="J293" s="36"/>
      <c r="K293" s="36"/>
      <c r="L293" s="36"/>
      <c r="M293" s="48">
        <f>94103+2685+42117+11786+25692+37400+19065+15859</f>
        <v>248707</v>
      </c>
      <c r="N293" s="36">
        <v>250683</v>
      </c>
      <c r="O293" s="36"/>
      <c r="P293" s="48">
        <v>1900</v>
      </c>
      <c r="Q293" s="36">
        <v>1790</v>
      </c>
      <c r="R293" s="44">
        <f>M294+M299+M300+M303+M309+M310</f>
        <v>248707</v>
      </c>
      <c r="S293" s="44">
        <f>R293+P293</f>
        <v>250607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113168</v>
      </c>
      <c r="G294" s="37"/>
      <c r="H294" s="37"/>
      <c r="I294" s="36"/>
      <c r="J294" s="36"/>
      <c r="K294" s="36"/>
      <c r="L294" s="36"/>
      <c r="M294" s="48">
        <f>M295+M296+M297+M298</f>
        <v>113168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69695</v>
      </c>
      <c r="G295" s="37"/>
      <c r="H295" s="37"/>
      <c r="I295" s="36"/>
      <c r="J295" s="36"/>
      <c r="K295" s="36"/>
      <c r="L295" s="36"/>
      <c r="M295" s="38">
        <f>50630+19065</f>
        <v>69695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15745</v>
      </c>
      <c r="G296" s="37"/>
      <c r="H296" s="37"/>
      <c r="I296" s="36"/>
      <c r="J296" s="36"/>
      <c r="K296" s="36"/>
      <c r="L296" s="36"/>
      <c r="M296" s="38">
        <v>15745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57976</v>
      </c>
      <c r="G300" s="54"/>
      <c r="H300" s="54"/>
      <c r="I300" s="48"/>
      <c r="J300" s="48"/>
      <c r="K300" s="48"/>
      <c r="L300" s="48"/>
      <c r="M300" s="48">
        <f>M301+M302</f>
        <v>57976</v>
      </c>
      <c r="N300" s="48"/>
      <c r="O300" s="48"/>
      <c r="P300" s="48"/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36195</v>
      </c>
      <c r="G301" s="37"/>
      <c r="H301" s="37"/>
      <c r="I301" s="36"/>
      <c r="J301" s="36"/>
      <c r="K301" s="36"/>
      <c r="L301" s="36"/>
      <c r="M301" s="38">
        <f>36195</f>
        <v>36195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21781</v>
      </c>
      <c r="G302" s="37"/>
      <c r="H302" s="37"/>
      <c r="I302" s="36"/>
      <c r="J302" s="36"/>
      <c r="K302" s="36"/>
      <c r="L302" s="36"/>
      <c r="M302" s="38">
        <f>5922+15859</f>
        <v>21781</v>
      </c>
      <c r="N302" s="36"/>
      <c r="O302" s="36"/>
      <c r="P302" s="36">
        <v>1900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37400</v>
      </c>
      <c r="G310" s="54"/>
      <c r="H310" s="54"/>
      <c r="I310" s="48"/>
      <c r="J310" s="48"/>
      <c r="K310" s="48"/>
      <c r="L310" s="48"/>
      <c r="M310" s="48">
        <v>37400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9387</v>
      </c>
      <c r="G311" s="37">
        <f t="shared" si="91"/>
        <v>9570</v>
      </c>
      <c r="H311" s="37"/>
      <c r="I311" s="36"/>
      <c r="J311" s="36"/>
      <c r="K311" s="36"/>
      <c r="L311" s="36"/>
      <c r="M311" s="36">
        <v>9387</v>
      </c>
      <c r="N311" s="36">
        <v>9570</v>
      </c>
      <c r="O311" s="36"/>
      <c r="P311" s="36"/>
      <c r="Q311" s="36"/>
    </row>
    <row r="312" spans="1:17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3900</v>
      </c>
      <c r="G312" s="37">
        <f t="shared" si="91"/>
        <v>2940</v>
      </c>
      <c r="H312" s="37"/>
      <c r="I312" s="36"/>
      <c r="J312" s="36"/>
      <c r="K312" s="36"/>
      <c r="L312" s="36"/>
      <c r="M312" s="36">
        <v>3900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6">
        <f>H313+K313+M313+P313</f>
        <v>8798</v>
      </c>
      <c r="G313" s="37">
        <f t="shared" si="91"/>
        <v>5184</v>
      </c>
      <c r="H313" s="37">
        <f>1038+1200</f>
        <v>2238</v>
      </c>
      <c r="I313" s="36"/>
      <c r="J313" s="36"/>
      <c r="K313" s="36">
        <v>1000</v>
      </c>
      <c r="L313" s="36">
        <v>1273</v>
      </c>
      <c r="M313" s="36">
        <f>4700+400+360</f>
        <v>5460</v>
      </c>
      <c r="N313" s="36">
        <f>3076-46</f>
        <v>3030</v>
      </c>
      <c r="O313" s="36"/>
      <c r="P313" s="352">
        <v>100</v>
      </c>
      <c r="Q313" s="36">
        <v>881</v>
      </c>
    </row>
    <row r="314" spans="1:17" ht="39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90"/>
        <v>0</v>
      </c>
      <c r="H314" s="19"/>
      <c r="I314" s="19">
        <f t="shared" ref="I314:Q314" si="93">I315+I323+I325+I327+I331</f>
        <v>0</v>
      </c>
      <c r="J314" s="19">
        <f t="shared" si="93"/>
        <v>0</v>
      </c>
      <c r="K314" s="19"/>
      <c r="L314" s="19">
        <f t="shared" si="93"/>
        <v>0</v>
      </c>
      <c r="M314" s="19"/>
      <c r="N314" s="19">
        <f t="shared" si="93"/>
        <v>0</v>
      </c>
      <c r="O314" s="19">
        <f t="shared" si="93"/>
        <v>0</v>
      </c>
      <c r="P314" s="19"/>
      <c r="Q314" s="19">
        <f t="shared" si="93"/>
        <v>0</v>
      </c>
    </row>
    <row r="315" spans="1:17" ht="26.25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90"/>
        <v>0</v>
      </c>
      <c r="H315" s="19"/>
      <c r="I315" s="19">
        <f t="shared" ref="I315:Q315" si="94">SUM(I316:I318)</f>
        <v>0</v>
      </c>
      <c r="J315" s="19">
        <f t="shared" si="94"/>
        <v>0</v>
      </c>
      <c r="K315" s="19"/>
      <c r="L315" s="19">
        <f t="shared" si="94"/>
        <v>0</v>
      </c>
      <c r="M315" s="19"/>
      <c r="N315" s="19">
        <f t="shared" si="94"/>
        <v>0</v>
      </c>
      <c r="O315" s="19">
        <f t="shared" si="94"/>
        <v>0</v>
      </c>
      <c r="P315" s="19"/>
      <c r="Q315" s="19">
        <f t="shared" si="94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90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90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90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26.25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90"/>
        <v>0</v>
      </c>
      <c r="H323" s="19"/>
      <c r="I323" s="19">
        <f t="shared" ref="I323:Q323" si="95">I324</f>
        <v>0</v>
      </c>
      <c r="J323" s="19">
        <f t="shared" si="95"/>
        <v>0</v>
      </c>
      <c r="K323" s="19"/>
      <c r="L323" s="19">
        <f t="shared" si="95"/>
        <v>0</v>
      </c>
      <c r="M323" s="19"/>
      <c r="N323" s="19">
        <f t="shared" si="95"/>
        <v>0</v>
      </c>
      <c r="O323" s="19">
        <f t="shared" si="95"/>
        <v>0</v>
      </c>
      <c r="P323" s="19"/>
      <c r="Q323" s="19">
        <f t="shared" si="95"/>
        <v>0</v>
      </c>
    </row>
    <row r="324" spans="1:17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90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90"/>
        <v>0</v>
      </c>
      <c r="H325" s="19"/>
      <c r="I325" s="19">
        <f t="shared" ref="I325:Q325" si="96">I326</f>
        <v>0</v>
      </c>
      <c r="J325" s="19">
        <f t="shared" si="96"/>
        <v>0</v>
      </c>
      <c r="K325" s="19"/>
      <c r="L325" s="19">
        <f t="shared" si="96"/>
        <v>0</v>
      </c>
      <c r="M325" s="19"/>
      <c r="N325" s="19">
        <f t="shared" si="96"/>
        <v>0</v>
      </c>
      <c r="O325" s="19">
        <f t="shared" si="96"/>
        <v>0</v>
      </c>
      <c r="P325" s="19"/>
      <c r="Q325" s="19">
        <f t="shared" si="96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90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90"/>
        <v>0</v>
      </c>
      <c r="H327" s="19"/>
      <c r="I327" s="19">
        <f t="shared" ref="I327:Q327" si="97">SUM(I328:I330)</f>
        <v>0</v>
      </c>
      <c r="J327" s="19">
        <f t="shared" si="97"/>
        <v>0</v>
      </c>
      <c r="K327" s="19"/>
      <c r="L327" s="19">
        <f t="shared" si="97"/>
        <v>0</v>
      </c>
      <c r="M327" s="19"/>
      <c r="N327" s="19">
        <f t="shared" si="97"/>
        <v>0</v>
      </c>
      <c r="O327" s="19">
        <f t="shared" si="97"/>
        <v>0</v>
      </c>
      <c r="P327" s="19"/>
      <c r="Q327" s="19">
        <f t="shared" si="97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90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90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90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26.25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90"/>
        <v>0</v>
      </c>
      <c r="H331" s="19"/>
      <c r="I331" s="19">
        <f t="shared" ref="I331:Q331" si="98">I332</f>
        <v>0</v>
      </c>
      <c r="J331" s="19">
        <f t="shared" si="98"/>
        <v>0</v>
      </c>
      <c r="K331" s="19"/>
      <c r="L331" s="19">
        <f t="shared" si="98"/>
        <v>0</v>
      </c>
      <c r="M331" s="19"/>
      <c r="N331" s="19">
        <f t="shared" si="98"/>
        <v>0</v>
      </c>
      <c r="O331" s="19">
        <f t="shared" si="98"/>
        <v>0</v>
      </c>
      <c r="P331" s="19"/>
      <c r="Q331" s="19">
        <f t="shared" si="98"/>
        <v>0</v>
      </c>
    </row>
    <row r="332" spans="1:17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90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39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99">F334+F344+F355+F357</f>
        <v>681</v>
      </c>
      <c r="G333" s="19">
        <f t="shared" si="99"/>
        <v>251</v>
      </c>
      <c r="H333" s="19">
        <f t="shared" si="99"/>
        <v>0</v>
      </c>
      <c r="I333" s="19">
        <f t="shared" si="99"/>
        <v>0</v>
      </c>
      <c r="J333" s="19">
        <f t="shared" si="99"/>
        <v>0</v>
      </c>
      <c r="K333" s="19">
        <f t="shared" si="99"/>
        <v>0</v>
      </c>
      <c r="L333" s="19">
        <f t="shared" si="99"/>
        <v>0</v>
      </c>
      <c r="M333" s="19">
        <f t="shared" si="99"/>
        <v>0</v>
      </c>
      <c r="N333" s="19">
        <f t="shared" si="99"/>
        <v>0</v>
      </c>
      <c r="O333" s="19">
        <f t="shared" si="99"/>
        <v>0</v>
      </c>
      <c r="P333" s="19">
        <f t="shared" si="99"/>
        <v>681</v>
      </c>
      <c r="Q333" s="19">
        <f t="shared" si="99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0">SUM(F335:F343)</f>
        <v>681</v>
      </c>
      <c r="G334" s="19">
        <f t="shared" si="100"/>
        <v>251</v>
      </c>
      <c r="H334" s="19">
        <f t="shared" si="100"/>
        <v>0</v>
      </c>
      <c r="I334" s="19">
        <f t="shared" si="100"/>
        <v>0</v>
      </c>
      <c r="J334" s="19">
        <f t="shared" si="100"/>
        <v>0</v>
      </c>
      <c r="K334" s="19">
        <f t="shared" si="100"/>
        <v>0</v>
      </c>
      <c r="L334" s="19">
        <f t="shared" si="100"/>
        <v>0</v>
      </c>
      <c r="M334" s="19">
        <f t="shared" si="100"/>
        <v>0</v>
      </c>
      <c r="N334" s="19">
        <f t="shared" si="100"/>
        <v>0</v>
      </c>
      <c r="O334" s="19">
        <f t="shared" si="100"/>
        <v>0</v>
      </c>
      <c r="P334" s="19">
        <f t="shared" si="100"/>
        <v>681</v>
      </c>
      <c r="Q334" s="19">
        <f t="shared" si="100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90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90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90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90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681</v>
      </c>
      <c r="G339" s="37">
        <f t="shared" ref="G339" si="101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681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90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90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90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90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90"/>
        <v>0</v>
      </c>
      <c r="H344" s="19"/>
      <c r="I344" s="19">
        <f t="shared" ref="I344:Q344" si="102">SUM(I345:I354)</f>
        <v>0</v>
      </c>
      <c r="J344" s="19">
        <f t="shared" si="102"/>
        <v>0</v>
      </c>
      <c r="K344" s="19"/>
      <c r="L344" s="19">
        <f t="shared" si="102"/>
        <v>0</v>
      </c>
      <c r="M344" s="19"/>
      <c r="N344" s="19">
        <f t="shared" si="102"/>
        <v>0</v>
      </c>
      <c r="O344" s="19">
        <f t="shared" si="102"/>
        <v>0</v>
      </c>
      <c r="P344" s="19"/>
      <c r="Q344" s="19">
        <f t="shared" si="102"/>
        <v>0</v>
      </c>
    </row>
    <row r="345" spans="1:17" ht="39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90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90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90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90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90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90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90"/>
        <v>0</v>
      </c>
      <c r="H355" s="19"/>
      <c r="I355" s="19">
        <f t="shared" ref="I355:Q355" si="103">I356</f>
        <v>0</v>
      </c>
      <c r="J355" s="19">
        <f t="shared" si="103"/>
        <v>0</v>
      </c>
      <c r="K355" s="19"/>
      <c r="L355" s="19">
        <f t="shared" si="103"/>
        <v>0</v>
      </c>
      <c r="M355" s="19"/>
      <c r="N355" s="19">
        <f t="shared" si="103"/>
        <v>0</v>
      </c>
      <c r="O355" s="19">
        <f t="shared" si="103"/>
        <v>0</v>
      </c>
      <c r="P355" s="19"/>
      <c r="Q355" s="19">
        <f t="shared" si="103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90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26.25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90"/>
        <v>0</v>
      </c>
      <c r="H357" s="19"/>
      <c r="I357" s="19">
        <f t="shared" ref="I357:Q357" si="104">SUM(I358:I360)</f>
        <v>0</v>
      </c>
      <c r="J357" s="19">
        <f t="shared" si="104"/>
        <v>0</v>
      </c>
      <c r="K357" s="19"/>
      <c r="L357" s="19">
        <f t="shared" si="104"/>
        <v>0</v>
      </c>
      <c r="M357" s="19"/>
      <c r="N357" s="19">
        <f t="shared" si="104"/>
        <v>0</v>
      </c>
      <c r="O357" s="19">
        <f t="shared" si="104"/>
        <v>0</v>
      </c>
      <c r="P357" s="19"/>
      <c r="Q357" s="19">
        <f t="shared" si="104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90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90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90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90"/>
        <v>0</v>
      </c>
      <c r="H361" s="19"/>
      <c r="I361" s="19">
        <f t="shared" ref="I361:Q361" si="105">I362+I365+I368+I371</f>
        <v>0</v>
      </c>
      <c r="J361" s="19">
        <f t="shared" si="105"/>
        <v>0</v>
      </c>
      <c r="K361" s="19"/>
      <c r="L361" s="19">
        <f t="shared" si="105"/>
        <v>0</v>
      </c>
      <c r="M361" s="19"/>
      <c r="N361" s="19">
        <f t="shared" si="105"/>
        <v>0</v>
      </c>
      <c r="O361" s="19">
        <f t="shared" si="105"/>
        <v>0</v>
      </c>
      <c r="P361" s="19"/>
      <c r="Q361" s="19">
        <f t="shared" si="105"/>
        <v>0</v>
      </c>
    </row>
    <row r="362" spans="1:17" ht="51.7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90"/>
        <v>0</v>
      </c>
      <c r="H362" s="19"/>
      <c r="I362" s="19">
        <f t="shared" ref="I362:Q362" si="106">I363+I364</f>
        <v>0</v>
      </c>
      <c r="J362" s="19">
        <f t="shared" si="106"/>
        <v>0</v>
      </c>
      <c r="K362" s="19"/>
      <c r="L362" s="19">
        <f t="shared" si="106"/>
        <v>0</v>
      </c>
      <c r="M362" s="19"/>
      <c r="N362" s="19">
        <f t="shared" si="106"/>
        <v>0</v>
      </c>
      <c r="O362" s="19">
        <f t="shared" si="106"/>
        <v>0</v>
      </c>
      <c r="P362" s="19"/>
      <c r="Q362" s="19">
        <f t="shared" si="106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90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90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39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90"/>
        <v>0</v>
      </c>
      <c r="H365" s="19"/>
      <c r="I365" s="19">
        <f t="shared" ref="I365:Q365" si="107">I366+I367</f>
        <v>0</v>
      </c>
      <c r="J365" s="19">
        <f t="shared" si="107"/>
        <v>0</v>
      </c>
      <c r="K365" s="19"/>
      <c r="L365" s="19">
        <f t="shared" si="107"/>
        <v>0</v>
      </c>
      <c r="M365" s="19"/>
      <c r="N365" s="19">
        <f t="shared" si="107"/>
        <v>0</v>
      </c>
      <c r="O365" s="19">
        <f t="shared" si="107"/>
        <v>0</v>
      </c>
      <c r="P365" s="19"/>
      <c r="Q365" s="19">
        <f t="shared" si="107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90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90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39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90"/>
        <v>0</v>
      </c>
      <c r="H368" s="19"/>
      <c r="I368" s="19">
        <f t="shared" ref="I368:Q368" si="108">I369+I370</f>
        <v>0</v>
      </c>
      <c r="J368" s="19">
        <f t="shared" si="108"/>
        <v>0</v>
      </c>
      <c r="K368" s="19"/>
      <c r="L368" s="19">
        <f t="shared" si="108"/>
        <v>0</v>
      </c>
      <c r="M368" s="19"/>
      <c r="N368" s="19">
        <f t="shared" si="108"/>
        <v>0</v>
      </c>
      <c r="O368" s="19">
        <f t="shared" si="108"/>
        <v>0</v>
      </c>
      <c r="P368" s="19"/>
      <c r="Q368" s="19">
        <f t="shared" si="108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90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90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90"/>
        <v>0</v>
      </c>
      <c r="H371" s="19"/>
      <c r="I371" s="19">
        <f t="shared" ref="I371:Q371" si="109">I372+I373</f>
        <v>0</v>
      </c>
      <c r="J371" s="19">
        <f t="shared" si="109"/>
        <v>0</v>
      </c>
      <c r="K371" s="19"/>
      <c r="L371" s="19">
        <f t="shared" si="109"/>
        <v>0</v>
      </c>
      <c r="M371" s="19"/>
      <c r="N371" s="19">
        <f t="shared" si="109"/>
        <v>0</v>
      </c>
      <c r="O371" s="19">
        <f t="shared" si="109"/>
        <v>0</v>
      </c>
      <c r="P371" s="19"/>
      <c r="Q371" s="19">
        <f t="shared" si="109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90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90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0">F379+F382+F385+F388+F391</f>
        <v>7710</v>
      </c>
      <c r="G374" s="19">
        <f t="shared" si="110"/>
        <v>7410</v>
      </c>
      <c r="H374" s="37">
        <f t="shared" si="110"/>
        <v>0</v>
      </c>
      <c r="I374" s="19">
        <f t="shared" si="110"/>
        <v>0</v>
      </c>
      <c r="J374" s="19">
        <f t="shared" si="110"/>
        <v>0</v>
      </c>
      <c r="K374" s="19">
        <f t="shared" si="110"/>
        <v>0</v>
      </c>
      <c r="L374" s="19">
        <f t="shared" si="110"/>
        <v>0</v>
      </c>
      <c r="M374" s="19">
        <f t="shared" si="110"/>
        <v>7710</v>
      </c>
      <c r="N374" s="19">
        <f t="shared" si="110"/>
        <v>7410</v>
      </c>
      <c r="O374" s="19">
        <f t="shared" si="110"/>
        <v>0</v>
      </c>
      <c r="P374" s="19">
        <f t="shared" si="110"/>
        <v>0</v>
      </c>
      <c r="Q374" s="19">
        <f t="shared" si="110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90"/>
        <v>0</v>
      </c>
      <c r="H379" s="19"/>
      <c r="I379" s="19">
        <f t="shared" ref="I379:Q379" si="111">I380+I381</f>
        <v>0</v>
      </c>
      <c r="J379" s="19">
        <f t="shared" si="111"/>
        <v>0</v>
      </c>
      <c r="K379" s="19"/>
      <c r="L379" s="19">
        <f t="shared" si="111"/>
        <v>0</v>
      </c>
      <c r="M379" s="19"/>
      <c r="N379" s="19">
        <f t="shared" si="111"/>
        <v>0</v>
      </c>
      <c r="O379" s="19">
        <f t="shared" si="111"/>
        <v>0</v>
      </c>
      <c r="P379" s="19"/>
      <c r="Q379" s="19">
        <f t="shared" si="111"/>
        <v>0</v>
      </c>
    </row>
    <row r="380" spans="1:17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90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90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26.25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90"/>
        <v>0</v>
      </c>
      <c r="H382" s="19"/>
      <c r="I382" s="19">
        <f t="shared" ref="I382:Q382" si="112">I383+I384</f>
        <v>0</v>
      </c>
      <c r="J382" s="19">
        <f t="shared" si="112"/>
        <v>0</v>
      </c>
      <c r="K382" s="19"/>
      <c r="L382" s="19">
        <f t="shared" si="112"/>
        <v>0</v>
      </c>
      <c r="M382" s="19"/>
      <c r="N382" s="19">
        <f t="shared" si="112"/>
        <v>0</v>
      </c>
      <c r="O382" s="19">
        <f t="shared" si="112"/>
        <v>0</v>
      </c>
      <c r="P382" s="19"/>
      <c r="Q382" s="19">
        <f t="shared" si="112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90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90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26.25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3">SUM(I385:Q385)</f>
        <v>0</v>
      </c>
      <c r="H385" s="19"/>
      <c r="I385" s="19">
        <f t="shared" ref="I385:Q385" si="114">I386+I387</f>
        <v>0</v>
      </c>
      <c r="J385" s="19">
        <f t="shared" si="114"/>
        <v>0</v>
      </c>
      <c r="K385" s="19"/>
      <c r="L385" s="19">
        <f t="shared" si="114"/>
        <v>0</v>
      </c>
      <c r="M385" s="19"/>
      <c r="N385" s="19">
        <f t="shared" si="114"/>
        <v>0</v>
      </c>
      <c r="O385" s="19">
        <f t="shared" si="114"/>
        <v>0</v>
      </c>
      <c r="P385" s="19"/>
      <c r="Q385" s="19">
        <f t="shared" si="114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3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3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39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3"/>
        <v>0</v>
      </c>
      <c r="H388" s="19"/>
      <c r="I388" s="19">
        <f t="shared" ref="I388:Q388" si="115">I389+I390</f>
        <v>0</v>
      </c>
      <c r="J388" s="19">
        <f t="shared" si="115"/>
        <v>0</v>
      </c>
      <c r="K388" s="19"/>
      <c r="L388" s="19">
        <f t="shared" si="115"/>
        <v>0</v>
      </c>
      <c r="M388" s="19"/>
      <c r="N388" s="19">
        <f t="shared" si="115"/>
        <v>0</v>
      </c>
      <c r="O388" s="19">
        <f t="shared" si="115"/>
        <v>0</v>
      </c>
      <c r="P388" s="19"/>
      <c r="Q388" s="19">
        <f t="shared" si="115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3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26.25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3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6">F392+F393</f>
        <v>7710</v>
      </c>
      <c r="G391" s="19">
        <f t="shared" si="116"/>
        <v>7410</v>
      </c>
      <c r="H391" s="19">
        <f t="shared" si="116"/>
        <v>0</v>
      </c>
      <c r="I391" s="19">
        <f t="shared" si="116"/>
        <v>0</v>
      </c>
      <c r="J391" s="19">
        <f t="shared" si="116"/>
        <v>0</v>
      </c>
      <c r="K391" s="19">
        <f t="shared" si="116"/>
        <v>0</v>
      </c>
      <c r="L391" s="19">
        <f t="shared" si="116"/>
        <v>0</v>
      </c>
      <c r="M391" s="19">
        <f t="shared" si="116"/>
        <v>7710</v>
      </c>
      <c r="N391" s="19">
        <f t="shared" si="116"/>
        <v>7410</v>
      </c>
      <c r="O391" s="19">
        <f t="shared" si="116"/>
        <v>0</v>
      </c>
      <c r="P391" s="19">
        <f t="shared" si="116"/>
        <v>0</v>
      </c>
      <c r="Q391" s="19">
        <f t="shared" si="116"/>
        <v>0</v>
      </c>
    </row>
    <row r="392" spans="1:17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7710</v>
      </c>
      <c r="G392" s="37">
        <f t="shared" ref="G392" si="117">SUM(I392:Q392)-K392-M392-P392</f>
        <v>7410</v>
      </c>
      <c r="H392" s="37"/>
      <c r="I392" s="36"/>
      <c r="J392" s="36"/>
      <c r="K392" s="36"/>
      <c r="L392" s="36"/>
      <c r="M392" s="36">
        <v>7710</v>
      </c>
      <c r="N392" s="36">
        <v>7410</v>
      </c>
      <c r="O392" s="36"/>
      <c r="P392" s="36"/>
      <c r="Q392" s="36"/>
    </row>
    <row r="393" spans="1:17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3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3"/>
        <v>0</v>
      </c>
      <c r="H394" s="19"/>
      <c r="I394" s="19">
        <f t="shared" ref="I394:Q394" si="118">I395+I399</f>
        <v>0</v>
      </c>
      <c r="J394" s="19">
        <f t="shared" si="118"/>
        <v>0</v>
      </c>
      <c r="K394" s="19"/>
      <c r="L394" s="19">
        <f t="shared" si="118"/>
        <v>0</v>
      </c>
      <c r="M394" s="19"/>
      <c r="N394" s="19">
        <f t="shared" si="118"/>
        <v>0</v>
      </c>
      <c r="O394" s="19">
        <f t="shared" si="118"/>
        <v>0</v>
      </c>
      <c r="P394" s="19"/>
      <c r="Q394" s="19">
        <f t="shared" si="118"/>
        <v>0</v>
      </c>
    </row>
    <row r="395" spans="1:17" ht="51.7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3"/>
        <v>0</v>
      </c>
      <c r="H395" s="19"/>
      <c r="I395" s="19">
        <f t="shared" ref="I395:Q395" si="119">SUM(I396:I398)</f>
        <v>0</v>
      </c>
      <c r="J395" s="19">
        <f t="shared" si="119"/>
        <v>0</v>
      </c>
      <c r="K395" s="19"/>
      <c r="L395" s="19">
        <f t="shared" si="119"/>
        <v>0</v>
      </c>
      <c r="M395" s="19"/>
      <c r="N395" s="19">
        <f t="shared" si="119"/>
        <v>0</v>
      </c>
      <c r="O395" s="19">
        <f t="shared" si="119"/>
        <v>0</v>
      </c>
      <c r="P395" s="19"/>
      <c r="Q395" s="19">
        <f t="shared" si="119"/>
        <v>0</v>
      </c>
    </row>
    <row r="396" spans="1:17" ht="26.25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3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3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39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3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3"/>
        <v>0</v>
      </c>
      <c r="H399" s="19"/>
      <c r="I399" s="19">
        <f t="shared" ref="I399:Q399" si="120">SUM(I404:I412)</f>
        <v>0</v>
      </c>
      <c r="J399" s="19">
        <f t="shared" si="120"/>
        <v>0</v>
      </c>
      <c r="K399" s="19"/>
      <c r="L399" s="19">
        <f t="shared" si="120"/>
        <v>0</v>
      </c>
      <c r="M399" s="19"/>
      <c r="N399" s="19">
        <f t="shared" si="120"/>
        <v>0</v>
      </c>
      <c r="O399" s="19">
        <f t="shared" si="120"/>
        <v>0</v>
      </c>
      <c r="P399" s="19"/>
      <c r="Q399" s="19">
        <f t="shared" si="120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3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3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3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3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3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3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3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3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3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26.25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1">F414+F417+F421+F423+F426+F432</f>
        <v>135</v>
      </c>
      <c r="G413" s="19">
        <f t="shared" si="121"/>
        <v>108</v>
      </c>
      <c r="H413" s="19">
        <f t="shared" si="121"/>
        <v>0</v>
      </c>
      <c r="I413" s="19">
        <f t="shared" si="121"/>
        <v>0</v>
      </c>
      <c r="J413" s="19">
        <f t="shared" si="121"/>
        <v>0</v>
      </c>
      <c r="K413" s="19">
        <f t="shared" si="121"/>
        <v>0</v>
      </c>
      <c r="L413" s="19">
        <f t="shared" si="121"/>
        <v>0</v>
      </c>
      <c r="M413" s="19">
        <f t="shared" si="121"/>
        <v>0</v>
      </c>
      <c r="N413" s="19">
        <f t="shared" si="121"/>
        <v>8</v>
      </c>
      <c r="O413" s="19">
        <f t="shared" si="121"/>
        <v>0</v>
      </c>
      <c r="P413" s="19">
        <f t="shared" si="121"/>
        <v>135</v>
      </c>
      <c r="Q413" s="19">
        <f t="shared" si="121"/>
        <v>100</v>
      </c>
    </row>
    <row r="414" spans="1:17" ht="26.25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2">F415+F416</f>
        <v>35</v>
      </c>
      <c r="G414" s="19">
        <f t="shared" si="122"/>
        <v>35</v>
      </c>
      <c r="H414" s="19">
        <f t="shared" si="122"/>
        <v>0</v>
      </c>
      <c r="I414" s="19">
        <f t="shared" si="122"/>
        <v>0</v>
      </c>
      <c r="J414" s="19">
        <f t="shared" si="122"/>
        <v>0</v>
      </c>
      <c r="K414" s="19">
        <f t="shared" si="122"/>
        <v>0</v>
      </c>
      <c r="L414" s="19">
        <f t="shared" si="122"/>
        <v>0</v>
      </c>
      <c r="M414" s="19">
        <f t="shared" si="122"/>
        <v>0</v>
      </c>
      <c r="N414" s="19">
        <f t="shared" si="122"/>
        <v>0</v>
      </c>
      <c r="O414" s="19">
        <f t="shared" si="122"/>
        <v>0</v>
      </c>
      <c r="P414" s="19">
        <f t="shared" si="122"/>
        <v>35</v>
      </c>
      <c r="Q414" s="19">
        <f t="shared" si="122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3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3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17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4">SUM(F418:F420)</f>
        <v>80</v>
      </c>
      <c r="G417" s="19">
        <f t="shared" si="124"/>
        <v>58</v>
      </c>
      <c r="H417" s="19">
        <f t="shared" si="124"/>
        <v>0</v>
      </c>
      <c r="I417" s="19">
        <f t="shared" si="124"/>
        <v>0</v>
      </c>
      <c r="J417" s="19">
        <f t="shared" si="124"/>
        <v>0</v>
      </c>
      <c r="K417" s="19">
        <f t="shared" si="124"/>
        <v>0</v>
      </c>
      <c r="L417" s="19">
        <f t="shared" si="124"/>
        <v>0</v>
      </c>
      <c r="M417" s="19">
        <f t="shared" si="124"/>
        <v>0</v>
      </c>
      <c r="N417" s="19">
        <f t="shared" si="124"/>
        <v>8</v>
      </c>
      <c r="O417" s="19">
        <f t="shared" si="124"/>
        <v>0</v>
      </c>
      <c r="P417" s="19">
        <f t="shared" si="124"/>
        <v>80</v>
      </c>
      <c r="Q417" s="19">
        <f t="shared" si="124"/>
        <v>50</v>
      </c>
    </row>
    <row r="418" spans="1:17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20</v>
      </c>
      <c r="G418" s="37">
        <f t="shared" ref="G418:G419" si="125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20</v>
      </c>
      <c r="Q418" s="36">
        <v>9</v>
      </c>
    </row>
    <row r="419" spans="1:17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60</v>
      </c>
      <c r="G419" s="37">
        <f t="shared" si="125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60</v>
      </c>
      <c r="Q419" s="36">
        <v>41</v>
      </c>
    </row>
    <row r="420" spans="1:17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0</v>
      </c>
      <c r="G420" s="37">
        <f t="shared" si="113"/>
        <v>0</v>
      </c>
      <c r="H420" s="37"/>
      <c r="I420" s="36"/>
      <c r="J420" s="36"/>
      <c r="K420" s="36"/>
      <c r="L420" s="36"/>
      <c r="M420" s="36"/>
      <c r="N420" s="36"/>
      <c r="O420" s="36"/>
      <c r="P420" s="36"/>
      <c r="Q420" s="36"/>
    </row>
    <row r="421" spans="1:17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6">F422</f>
        <v>20</v>
      </c>
      <c r="G421" s="19">
        <f t="shared" si="126"/>
        <v>15</v>
      </c>
      <c r="H421" s="19">
        <f t="shared" si="126"/>
        <v>0</v>
      </c>
      <c r="I421" s="19">
        <f t="shared" si="126"/>
        <v>0</v>
      </c>
      <c r="J421" s="19">
        <f t="shared" si="126"/>
        <v>0</v>
      </c>
      <c r="K421" s="19">
        <f t="shared" si="126"/>
        <v>0</v>
      </c>
      <c r="L421" s="19">
        <f t="shared" si="126"/>
        <v>0</v>
      </c>
      <c r="M421" s="19">
        <f t="shared" si="126"/>
        <v>0</v>
      </c>
      <c r="N421" s="19">
        <f t="shared" si="126"/>
        <v>0</v>
      </c>
      <c r="O421" s="19">
        <f t="shared" si="126"/>
        <v>0</v>
      </c>
      <c r="P421" s="19">
        <f t="shared" si="126"/>
        <v>20</v>
      </c>
      <c r="Q421" s="19">
        <f t="shared" si="126"/>
        <v>15</v>
      </c>
    </row>
    <row r="422" spans="1:17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</v>
      </c>
      <c r="G422" s="37">
        <f t="shared" ref="G422" si="127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</v>
      </c>
      <c r="Q422" s="36">
        <v>15</v>
      </c>
    </row>
    <row r="423" spans="1:17" ht="64.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3"/>
        <v>0</v>
      </c>
      <c r="H423" s="19"/>
      <c r="I423" s="19">
        <f t="shared" ref="I423:Q423" si="128">I424+I425</f>
        <v>0</v>
      </c>
      <c r="J423" s="19">
        <f t="shared" si="128"/>
        <v>0</v>
      </c>
      <c r="K423" s="19"/>
      <c r="L423" s="19">
        <f t="shared" si="128"/>
        <v>0</v>
      </c>
      <c r="M423" s="19"/>
      <c r="N423" s="19">
        <f t="shared" si="128"/>
        <v>0</v>
      </c>
      <c r="O423" s="19">
        <f t="shared" si="128"/>
        <v>0</v>
      </c>
      <c r="P423" s="19"/>
      <c r="Q423" s="19">
        <f t="shared" si="128"/>
        <v>0</v>
      </c>
    </row>
    <row r="424" spans="1:17" ht="26.25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3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17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3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17" ht="39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3"/>
        <v>0</v>
      </c>
      <c r="H426" s="19"/>
      <c r="I426" s="19">
        <f t="shared" ref="I426:Q426" si="129">I427</f>
        <v>0</v>
      </c>
      <c r="J426" s="19">
        <f t="shared" si="129"/>
        <v>0</v>
      </c>
      <c r="K426" s="19"/>
      <c r="L426" s="19">
        <f t="shared" si="129"/>
        <v>0</v>
      </c>
      <c r="M426" s="19"/>
      <c r="N426" s="19">
        <f t="shared" si="129"/>
        <v>0</v>
      </c>
      <c r="O426" s="19">
        <f t="shared" si="129"/>
        <v>0</v>
      </c>
      <c r="P426" s="19"/>
      <c r="Q426" s="19">
        <f t="shared" si="129"/>
        <v>0</v>
      </c>
    </row>
    <row r="427" spans="1:17" ht="26.25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3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17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17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17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17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17" ht="51.75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3"/>
        <v>0</v>
      </c>
      <c r="H432" s="19"/>
      <c r="I432" s="19">
        <f t="shared" ref="I432:Q432" si="130">I433</f>
        <v>0</v>
      </c>
      <c r="J432" s="19">
        <f t="shared" si="130"/>
        <v>0</v>
      </c>
      <c r="K432" s="19"/>
      <c r="L432" s="19">
        <f t="shared" si="130"/>
        <v>0</v>
      </c>
      <c r="M432" s="19"/>
      <c r="N432" s="19">
        <f t="shared" si="130"/>
        <v>0</v>
      </c>
      <c r="O432" s="19">
        <f t="shared" si="130"/>
        <v>0</v>
      </c>
      <c r="P432" s="19"/>
      <c r="Q432" s="19">
        <f t="shared" si="130"/>
        <v>0</v>
      </c>
    </row>
    <row r="433" spans="1:22" ht="39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3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39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1">F435+F458+F471+F474+F482</f>
        <v>25493</v>
      </c>
      <c r="G434" s="19">
        <f t="shared" si="131"/>
        <v>17163</v>
      </c>
      <c r="H434" s="19">
        <f t="shared" si="131"/>
        <v>20000</v>
      </c>
      <c r="I434" s="19">
        <f t="shared" si="131"/>
        <v>15250</v>
      </c>
      <c r="J434" s="19">
        <f t="shared" si="131"/>
        <v>0</v>
      </c>
      <c r="K434" s="19">
        <f t="shared" si="131"/>
        <v>0</v>
      </c>
      <c r="L434" s="19">
        <f t="shared" si="131"/>
        <v>0</v>
      </c>
      <c r="M434" s="19">
        <f t="shared" si="131"/>
        <v>0</v>
      </c>
      <c r="N434" s="19">
        <f t="shared" si="131"/>
        <v>0</v>
      </c>
      <c r="O434" s="19">
        <f t="shared" si="131"/>
        <v>0</v>
      </c>
      <c r="P434" s="19">
        <f t="shared" si="131"/>
        <v>5493</v>
      </c>
      <c r="Q434" s="19">
        <f t="shared" si="131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2">F436+F441+F452+F454+F456</f>
        <v>25493</v>
      </c>
      <c r="G435" s="19">
        <f t="shared" si="132"/>
        <v>17163</v>
      </c>
      <c r="H435" s="19">
        <f t="shared" si="132"/>
        <v>20000</v>
      </c>
      <c r="I435" s="19">
        <f t="shared" si="132"/>
        <v>15250</v>
      </c>
      <c r="J435" s="19">
        <f t="shared" si="132"/>
        <v>0</v>
      </c>
      <c r="K435" s="19">
        <f t="shared" si="132"/>
        <v>0</v>
      </c>
      <c r="L435" s="19">
        <f t="shared" si="132"/>
        <v>0</v>
      </c>
      <c r="M435" s="19">
        <f t="shared" si="132"/>
        <v>0</v>
      </c>
      <c r="N435" s="19">
        <f t="shared" si="132"/>
        <v>0</v>
      </c>
      <c r="O435" s="19">
        <f t="shared" si="132"/>
        <v>0</v>
      </c>
      <c r="P435" s="19">
        <f t="shared" si="132"/>
        <v>5493</v>
      </c>
      <c r="Q435" s="19">
        <f t="shared" si="132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3">SUM(F437:F440)</f>
        <v>2124</v>
      </c>
      <c r="G436" s="19">
        <f t="shared" si="133"/>
        <v>1450</v>
      </c>
      <c r="H436" s="19">
        <f t="shared" si="133"/>
        <v>2000</v>
      </c>
      <c r="I436" s="19">
        <f t="shared" si="133"/>
        <v>1450</v>
      </c>
      <c r="J436" s="19">
        <f t="shared" si="133"/>
        <v>0</v>
      </c>
      <c r="K436" s="19">
        <f t="shared" si="133"/>
        <v>0</v>
      </c>
      <c r="L436" s="19">
        <f t="shared" si="133"/>
        <v>0</v>
      </c>
      <c r="M436" s="19">
        <f t="shared" si="133"/>
        <v>0</v>
      </c>
      <c r="N436" s="19">
        <f t="shared" si="133"/>
        <v>0</v>
      </c>
      <c r="O436" s="19">
        <f t="shared" si="133"/>
        <v>0</v>
      </c>
      <c r="P436" s="19">
        <f t="shared" si="133"/>
        <v>124</v>
      </c>
      <c r="Q436" s="19">
        <f t="shared" si="133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3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3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6.25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2124</v>
      </c>
      <c r="G439" s="37">
        <f t="shared" ref="G439" si="134">SUM(I439:Q439)-K439-M439-P439</f>
        <v>1450</v>
      </c>
      <c r="H439" s="37">
        <v>2000</v>
      </c>
      <c r="I439" s="36">
        <v>1450</v>
      </c>
      <c r="J439" s="36"/>
      <c r="K439" s="36"/>
      <c r="L439" s="36"/>
      <c r="M439" s="36"/>
      <c r="N439" s="36"/>
      <c r="O439" s="36"/>
      <c r="P439" s="36">
        <v>124</v>
      </c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3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5">SUM(F442:F451)</f>
        <v>23269</v>
      </c>
      <c r="G441" s="19">
        <f t="shared" si="135"/>
        <v>15613</v>
      </c>
      <c r="H441" s="19">
        <f t="shared" si="135"/>
        <v>18000</v>
      </c>
      <c r="I441" s="19">
        <f t="shared" si="135"/>
        <v>13800</v>
      </c>
      <c r="J441" s="19">
        <f t="shared" si="135"/>
        <v>0</v>
      </c>
      <c r="K441" s="19">
        <f t="shared" si="135"/>
        <v>0</v>
      </c>
      <c r="L441" s="19">
        <f t="shared" si="135"/>
        <v>0</v>
      </c>
      <c r="M441" s="19">
        <f t="shared" si="135"/>
        <v>0</v>
      </c>
      <c r="N441" s="19">
        <f t="shared" si="135"/>
        <v>0</v>
      </c>
      <c r="O441" s="19">
        <f t="shared" si="135"/>
        <v>0</v>
      </c>
      <c r="P441" s="19">
        <f t="shared" si="135"/>
        <v>5269</v>
      </c>
      <c r="Q441" s="19">
        <f t="shared" si="135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3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3848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>
        <f>3960-112</f>
        <v>3848</v>
      </c>
      <c r="Q443" s="36"/>
    </row>
    <row r="444" spans="1:22" x14ac:dyDescent="0.2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1124</v>
      </c>
      <c r="G444" s="37">
        <f t="shared" ref="G444" si="136">SUM(I444:Q444)-K444-M444-P444</f>
        <v>1258</v>
      </c>
      <c r="H444" s="37"/>
      <c r="I444" s="36"/>
      <c r="J444" s="36"/>
      <c r="K444" s="36"/>
      <c r="L444" s="36"/>
      <c r="M444" s="36"/>
      <c r="N444" s="36"/>
      <c r="O444" s="36"/>
      <c r="P444" s="36">
        <f>2000-221-559-96</f>
        <v>1124</v>
      </c>
      <c r="Q444" s="36">
        <v>1258</v>
      </c>
      <c r="R444" s="12">
        <v>809</v>
      </c>
      <c r="S444" s="12">
        <v>1124</v>
      </c>
      <c r="T444" s="12">
        <f>S444-R444</f>
        <v>315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3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3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18297</v>
      </c>
      <c r="G447" s="37">
        <f t="shared" ref="G447" si="137">SUM(I447:Q447)-K447-M447-P447</f>
        <v>14355</v>
      </c>
      <c r="H447" s="37">
        <f>20000-2000</f>
        <v>18000</v>
      </c>
      <c r="I447" s="36">
        <v>13800</v>
      </c>
      <c r="J447" s="36"/>
      <c r="K447" s="36"/>
      <c r="L447" s="36"/>
      <c r="M447" s="36"/>
      <c r="N447" s="36"/>
      <c r="O447" s="36"/>
      <c r="P447" s="38">
        <f>1000-500-360+157</f>
        <v>297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3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3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3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3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3"/>
        <v>0</v>
      </c>
      <c r="H452" s="19"/>
      <c r="I452" s="19">
        <f t="shared" ref="I452:Q452" si="138">I453</f>
        <v>0</v>
      </c>
      <c r="J452" s="19">
        <f t="shared" si="138"/>
        <v>0</v>
      </c>
      <c r="K452" s="19"/>
      <c r="L452" s="19">
        <f t="shared" si="138"/>
        <v>0</v>
      </c>
      <c r="M452" s="19"/>
      <c r="N452" s="19">
        <f t="shared" si="138"/>
        <v>0</v>
      </c>
      <c r="O452" s="19">
        <f t="shared" si="138"/>
        <v>0</v>
      </c>
      <c r="P452" s="19"/>
      <c r="Q452" s="19">
        <f t="shared" si="138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3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3"/>
        <v>0</v>
      </c>
      <c r="H454" s="19"/>
      <c r="I454" s="19">
        <f t="shared" ref="I454:Q454" si="139">I455</f>
        <v>0</v>
      </c>
      <c r="J454" s="19">
        <f t="shared" si="139"/>
        <v>0</v>
      </c>
      <c r="K454" s="19"/>
      <c r="L454" s="19">
        <f t="shared" si="139"/>
        <v>0</v>
      </c>
      <c r="M454" s="19"/>
      <c r="N454" s="19">
        <f t="shared" si="139"/>
        <v>0</v>
      </c>
      <c r="O454" s="19">
        <f t="shared" si="139"/>
        <v>0</v>
      </c>
      <c r="P454" s="19"/>
      <c r="Q454" s="19">
        <f t="shared" si="139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3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0">F457</f>
        <v>100</v>
      </c>
      <c r="G456" s="19">
        <f t="shared" si="140"/>
        <v>100</v>
      </c>
      <c r="H456" s="19">
        <f t="shared" si="140"/>
        <v>0</v>
      </c>
      <c r="I456" s="19">
        <f t="shared" si="140"/>
        <v>0</v>
      </c>
      <c r="J456" s="19">
        <f t="shared" si="140"/>
        <v>0</v>
      </c>
      <c r="K456" s="19">
        <f t="shared" si="140"/>
        <v>0</v>
      </c>
      <c r="L456" s="19">
        <f t="shared" si="140"/>
        <v>0</v>
      </c>
      <c r="M456" s="19">
        <f t="shared" si="140"/>
        <v>0</v>
      </c>
      <c r="N456" s="19">
        <f t="shared" si="140"/>
        <v>0</v>
      </c>
      <c r="O456" s="19">
        <f t="shared" si="140"/>
        <v>0</v>
      </c>
      <c r="P456" s="19">
        <f t="shared" si="140"/>
        <v>100</v>
      </c>
      <c r="Q456" s="19">
        <f t="shared" si="140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100</v>
      </c>
      <c r="G457" s="37">
        <f t="shared" si="113"/>
        <v>100</v>
      </c>
      <c r="H457" s="37"/>
      <c r="I457" s="36"/>
      <c r="J457" s="36"/>
      <c r="K457" s="36"/>
      <c r="L457" s="36"/>
      <c r="M457" s="36"/>
      <c r="N457" s="36"/>
      <c r="O457" s="36"/>
      <c r="P457" s="36">
        <v>100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1">SUM(I458:Q458)</f>
        <v>0</v>
      </c>
      <c r="H458" s="19"/>
      <c r="I458" s="19">
        <f t="shared" ref="I458:Q458" si="142">I459+I461+I469</f>
        <v>0</v>
      </c>
      <c r="J458" s="19">
        <f t="shared" si="142"/>
        <v>0</v>
      </c>
      <c r="K458" s="19"/>
      <c r="L458" s="19">
        <f t="shared" si="142"/>
        <v>0</v>
      </c>
      <c r="M458" s="19"/>
      <c r="N458" s="19">
        <f t="shared" si="142"/>
        <v>0</v>
      </c>
      <c r="O458" s="19">
        <f t="shared" si="142"/>
        <v>0</v>
      </c>
      <c r="P458" s="19"/>
      <c r="Q458" s="19">
        <f t="shared" si="142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1"/>
        <v>0</v>
      </c>
      <c r="H459" s="19"/>
      <c r="I459" s="19">
        <f t="shared" ref="I459:Q459" si="143">I460</f>
        <v>0</v>
      </c>
      <c r="J459" s="19">
        <f t="shared" si="143"/>
        <v>0</v>
      </c>
      <c r="K459" s="19"/>
      <c r="L459" s="19">
        <f t="shared" si="143"/>
        <v>0</v>
      </c>
      <c r="M459" s="19"/>
      <c r="N459" s="19">
        <f t="shared" si="143"/>
        <v>0</v>
      </c>
      <c r="O459" s="19">
        <f t="shared" si="143"/>
        <v>0</v>
      </c>
      <c r="P459" s="19"/>
      <c r="Q459" s="19">
        <f t="shared" si="143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1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1"/>
        <v>0</v>
      </c>
      <c r="H461" s="19"/>
      <c r="I461" s="19">
        <f t="shared" ref="I461:Q461" si="144">SUM(I462:I468)</f>
        <v>0</v>
      </c>
      <c r="J461" s="19">
        <f t="shared" si="144"/>
        <v>0</v>
      </c>
      <c r="K461" s="19"/>
      <c r="L461" s="19">
        <f t="shared" si="144"/>
        <v>0</v>
      </c>
      <c r="M461" s="19"/>
      <c r="N461" s="19">
        <f t="shared" si="144"/>
        <v>0</v>
      </c>
      <c r="O461" s="19">
        <f t="shared" si="144"/>
        <v>0</v>
      </c>
      <c r="P461" s="19"/>
      <c r="Q461" s="19">
        <f t="shared" si="144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1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1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1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1"/>
        <v>0</v>
      </c>
      <c r="H469" s="19"/>
      <c r="I469" s="19">
        <f t="shared" ref="I469:Q469" si="145">I470</f>
        <v>0</v>
      </c>
      <c r="J469" s="19">
        <f t="shared" si="145"/>
        <v>0</v>
      </c>
      <c r="K469" s="19"/>
      <c r="L469" s="19">
        <f t="shared" si="145"/>
        <v>0</v>
      </c>
      <c r="M469" s="19"/>
      <c r="N469" s="19">
        <f t="shared" si="145"/>
        <v>0</v>
      </c>
      <c r="O469" s="19">
        <f t="shared" si="145"/>
        <v>0</v>
      </c>
      <c r="P469" s="19"/>
      <c r="Q469" s="19">
        <f t="shared" si="145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1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1"/>
        <v>0</v>
      </c>
      <c r="H471" s="19"/>
      <c r="I471" s="19">
        <f t="shared" ref="I471:Q472" si="146">I472</f>
        <v>0</v>
      </c>
      <c r="J471" s="19">
        <f t="shared" si="146"/>
        <v>0</v>
      </c>
      <c r="K471" s="19"/>
      <c r="L471" s="19">
        <f t="shared" si="146"/>
        <v>0</v>
      </c>
      <c r="M471" s="19"/>
      <c r="N471" s="19">
        <f t="shared" si="146"/>
        <v>0</v>
      </c>
      <c r="O471" s="19">
        <f t="shared" si="146"/>
        <v>0</v>
      </c>
      <c r="P471" s="19"/>
      <c r="Q471" s="19">
        <f t="shared" si="146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1"/>
        <v>0</v>
      </c>
      <c r="H472" s="19"/>
      <c r="I472" s="19">
        <f t="shared" si="146"/>
        <v>0</v>
      </c>
      <c r="J472" s="19">
        <f t="shared" si="146"/>
        <v>0</v>
      </c>
      <c r="K472" s="19"/>
      <c r="L472" s="19">
        <f t="shared" si="146"/>
        <v>0</v>
      </c>
      <c r="M472" s="19"/>
      <c r="N472" s="19">
        <f t="shared" si="146"/>
        <v>0</v>
      </c>
      <c r="O472" s="19">
        <f t="shared" si="146"/>
        <v>0</v>
      </c>
      <c r="P472" s="19"/>
      <c r="Q472" s="19">
        <f t="shared" si="146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1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1"/>
        <v>0</v>
      </c>
      <c r="H474" s="19"/>
      <c r="I474" s="19">
        <f t="shared" ref="I474:Q474" si="147">I475+I477+I479</f>
        <v>0</v>
      </c>
      <c r="J474" s="19">
        <f t="shared" si="147"/>
        <v>0</v>
      </c>
      <c r="K474" s="19"/>
      <c r="L474" s="19">
        <f t="shared" si="147"/>
        <v>0</v>
      </c>
      <c r="M474" s="19"/>
      <c r="N474" s="19">
        <f t="shared" si="147"/>
        <v>0</v>
      </c>
      <c r="O474" s="19">
        <f t="shared" si="147"/>
        <v>0</v>
      </c>
      <c r="P474" s="19"/>
      <c r="Q474" s="19">
        <f t="shared" si="147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1"/>
        <v>0</v>
      </c>
      <c r="H475" s="19"/>
      <c r="I475" s="19">
        <f t="shared" ref="I475:Q475" si="148">I476</f>
        <v>0</v>
      </c>
      <c r="J475" s="19">
        <f t="shared" si="148"/>
        <v>0</v>
      </c>
      <c r="K475" s="19"/>
      <c r="L475" s="19">
        <f t="shared" si="148"/>
        <v>0</v>
      </c>
      <c r="M475" s="19"/>
      <c r="N475" s="19">
        <f t="shared" si="148"/>
        <v>0</v>
      </c>
      <c r="O475" s="19">
        <f t="shared" si="148"/>
        <v>0</v>
      </c>
      <c r="P475" s="19"/>
      <c r="Q475" s="19">
        <f t="shared" si="148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1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1"/>
        <v>0</v>
      </c>
      <c r="H477" s="19"/>
      <c r="I477" s="19">
        <f t="shared" ref="I477:Q477" si="149">I478</f>
        <v>0</v>
      </c>
      <c r="J477" s="19">
        <f t="shared" si="149"/>
        <v>0</v>
      </c>
      <c r="K477" s="19"/>
      <c r="L477" s="19">
        <f t="shared" si="149"/>
        <v>0</v>
      </c>
      <c r="M477" s="19"/>
      <c r="N477" s="19">
        <f t="shared" si="149"/>
        <v>0</v>
      </c>
      <c r="O477" s="19">
        <f t="shared" si="149"/>
        <v>0</v>
      </c>
      <c r="P477" s="19"/>
      <c r="Q477" s="19">
        <f t="shared" si="149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1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1"/>
        <v>0</v>
      </c>
      <c r="H479" s="19"/>
      <c r="I479" s="19">
        <f t="shared" ref="I479:Q479" si="150">I480+I481</f>
        <v>0</v>
      </c>
      <c r="J479" s="19">
        <f t="shared" si="150"/>
        <v>0</v>
      </c>
      <c r="K479" s="19"/>
      <c r="L479" s="19">
        <f t="shared" si="150"/>
        <v>0</v>
      </c>
      <c r="M479" s="19"/>
      <c r="N479" s="19">
        <f t="shared" si="150"/>
        <v>0</v>
      </c>
      <c r="O479" s="19">
        <f t="shared" si="150"/>
        <v>0</v>
      </c>
      <c r="P479" s="19"/>
      <c r="Q479" s="19">
        <f t="shared" si="150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1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1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64.5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1"/>
        <v>0</v>
      </c>
      <c r="H482" s="19"/>
      <c r="I482" s="19">
        <f t="shared" ref="I482:Q483" si="151">I483</f>
        <v>0</v>
      </c>
      <c r="J482" s="19">
        <f t="shared" si="151"/>
        <v>0</v>
      </c>
      <c r="K482" s="19"/>
      <c r="L482" s="19">
        <f t="shared" si="151"/>
        <v>0</v>
      </c>
      <c r="M482" s="19"/>
      <c r="N482" s="19">
        <f t="shared" si="151"/>
        <v>0</v>
      </c>
      <c r="O482" s="19">
        <f t="shared" si="151"/>
        <v>0</v>
      </c>
      <c r="P482" s="19"/>
      <c r="Q482" s="19">
        <f t="shared" si="151"/>
        <v>0</v>
      </c>
    </row>
    <row r="483" spans="1:17" ht="64.5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1"/>
        <v>0</v>
      </c>
      <c r="H483" s="19"/>
      <c r="I483" s="19">
        <f t="shared" si="151"/>
        <v>0</v>
      </c>
      <c r="J483" s="19">
        <f t="shared" si="151"/>
        <v>0</v>
      </c>
      <c r="K483" s="19"/>
      <c r="L483" s="19">
        <f t="shared" si="151"/>
        <v>0</v>
      </c>
      <c r="M483" s="19"/>
      <c r="N483" s="19">
        <f t="shared" si="151"/>
        <v>0</v>
      </c>
      <c r="O483" s="19">
        <f t="shared" si="151"/>
        <v>0</v>
      </c>
      <c r="P483" s="19"/>
      <c r="Q483" s="19">
        <f t="shared" si="151"/>
        <v>0</v>
      </c>
    </row>
    <row r="484" spans="1:17" ht="39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1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39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1"/>
        <v>0</v>
      </c>
      <c r="H485" s="19"/>
      <c r="I485" s="19">
        <f t="shared" ref="I485:Q485" si="152">I486+I515</f>
        <v>0</v>
      </c>
      <c r="J485" s="19">
        <f t="shared" si="152"/>
        <v>0</v>
      </c>
      <c r="K485" s="19"/>
      <c r="L485" s="19">
        <f t="shared" si="152"/>
        <v>0</v>
      </c>
      <c r="M485" s="19"/>
      <c r="N485" s="19">
        <f t="shared" si="152"/>
        <v>0</v>
      </c>
      <c r="O485" s="19">
        <f t="shared" si="152"/>
        <v>0</v>
      </c>
      <c r="P485" s="19"/>
      <c r="Q485" s="19">
        <f t="shared" si="152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1"/>
        <v>0</v>
      </c>
      <c r="H486" s="19"/>
      <c r="I486" s="19">
        <f t="shared" ref="I486:Q486" si="153">I487+I501+I509+I511+I513</f>
        <v>0</v>
      </c>
      <c r="J486" s="19">
        <f t="shared" si="153"/>
        <v>0</v>
      </c>
      <c r="K486" s="19"/>
      <c r="L486" s="19">
        <f t="shared" si="153"/>
        <v>0</v>
      </c>
      <c r="M486" s="19"/>
      <c r="N486" s="19">
        <f t="shared" si="153"/>
        <v>0</v>
      </c>
      <c r="O486" s="19">
        <f t="shared" si="153"/>
        <v>0</v>
      </c>
      <c r="P486" s="19"/>
      <c r="Q486" s="19">
        <f t="shared" si="153"/>
        <v>0</v>
      </c>
    </row>
    <row r="487" spans="1:17" ht="26.25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1"/>
        <v>0</v>
      </c>
      <c r="H487" s="19"/>
      <c r="I487" s="19">
        <f t="shared" ref="I487:Q487" si="154">SUM(I488:I500)</f>
        <v>0</v>
      </c>
      <c r="J487" s="19">
        <f t="shared" si="154"/>
        <v>0</v>
      </c>
      <c r="K487" s="19"/>
      <c r="L487" s="19">
        <f t="shared" si="154"/>
        <v>0</v>
      </c>
      <c r="M487" s="19"/>
      <c r="N487" s="19">
        <f t="shared" si="154"/>
        <v>0</v>
      </c>
      <c r="O487" s="19">
        <f t="shared" si="154"/>
        <v>0</v>
      </c>
      <c r="P487" s="19"/>
      <c r="Q487" s="19">
        <f t="shared" si="154"/>
        <v>0</v>
      </c>
    </row>
    <row r="488" spans="1:17" ht="26.25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1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1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26.25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1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1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1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1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1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1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1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26.25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1"/>
        <v>0</v>
      </c>
      <c r="H501" s="19"/>
      <c r="I501" s="19">
        <f t="shared" ref="I501:Q501" si="155">SUM(I502:I508)</f>
        <v>0</v>
      </c>
      <c r="J501" s="19">
        <f t="shared" si="155"/>
        <v>0</v>
      </c>
      <c r="K501" s="19"/>
      <c r="L501" s="19">
        <f t="shared" si="155"/>
        <v>0</v>
      </c>
      <c r="M501" s="19"/>
      <c r="N501" s="19">
        <f t="shared" si="155"/>
        <v>0</v>
      </c>
      <c r="O501" s="19">
        <f t="shared" si="155"/>
        <v>0</v>
      </c>
      <c r="P501" s="19"/>
      <c r="Q501" s="19">
        <f t="shared" si="155"/>
        <v>0</v>
      </c>
    </row>
    <row r="502" spans="1:17" ht="39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1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1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1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1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1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1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1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1"/>
        <v>0</v>
      </c>
      <c r="H509" s="19"/>
      <c r="I509" s="19">
        <f t="shared" ref="I509:Q509" si="156">I510</f>
        <v>0</v>
      </c>
      <c r="J509" s="19">
        <f t="shared" si="156"/>
        <v>0</v>
      </c>
      <c r="K509" s="19"/>
      <c r="L509" s="19">
        <f t="shared" si="156"/>
        <v>0</v>
      </c>
      <c r="M509" s="19"/>
      <c r="N509" s="19">
        <f t="shared" si="156"/>
        <v>0</v>
      </c>
      <c r="O509" s="19">
        <f t="shared" si="156"/>
        <v>0</v>
      </c>
      <c r="P509" s="19"/>
      <c r="Q509" s="19">
        <f t="shared" si="156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1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26.25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1"/>
        <v>0</v>
      </c>
      <c r="H511" s="19"/>
      <c r="I511" s="19">
        <f t="shared" ref="I511:Q513" si="157">I512</f>
        <v>0</v>
      </c>
      <c r="J511" s="19">
        <f t="shared" si="157"/>
        <v>0</v>
      </c>
      <c r="K511" s="19"/>
      <c r="L511" s="19">
        <f t="shared" si="157"/>
        <v>0</v>
      </c>
      <c r="M511" s="19"/>
      <c r="N511" s="19">
        <f t="shared" si="157"/>
        <v>0</v>
      </c>
      <c r="O511" s="19">
        <f t="shared" si="157"/>
        <v>0</v>
      </c>
      <c r="P511" s="19"/>
      <c r="Q511" s="19">
        <f t="shared" si="157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1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1"/>
        <v>0</v>
      </c>
      <c r="H513" s="19"/>
      <c r="I513" s="19">
        <f t="shared" si="157"/>
        <v>0</v>
      </c>
      <c r="J513" s="19">
        <f t="shared" si="157"/>
        <v>0</v>
      </c>
      <c r="K513" s="19"/>
      <c r="L513" s="19">
        <f t="shared" si="157"/>
        <v>0</v>
      </c>
      <c r="M513" s="19"/>
      <c r="N513" s="19">
        <f t="shared" si="157"/>
        <v>0</v>
      </c>
      <c r="O513" s="19">
        <f t="shared" si="157"/>
        <v>0</v>
      </c>
      <c r="P513" s="19"/>
      <c r="Q513" s="19">
        <f t="shared" si="157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1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1"/>
        <v>0</v>
      </c>
      <c r="H515" s="19"/>
      <c r="I515" s="19">
        <f t="shared" ref="I515:Q515" si="158">I516+I530+I539</f>
        <v>0</v>
      </c>
      <c r="J515" s="19">
        <f t="shared" si="158"/>
        <v>0</v>
      </c>
      <c r="K515" s="19"/>
      <c r="L515" s="19">
        <f t="shared" si="158"/>
        <v>0</v>
      </c>
      <c r="M515" s="19"/>
      <c r="N515" s="19">
        <f t="shared" si="158"/>
        <v>0</v>
      </c>
      <c r="O515" s="19">
        <f t="shared" si="158"/>
        <v>0</v>
      </c>
      <c r="P515" s="19"/>
      <c r="Q515" s="19">
        <f t="shared" si="158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1"/>
        <v>0</v>
      </c>
      <c r="H516" s="19"/>
      <c r="I516" s="19">
        <f t="shared" ref="I516:Q516" si="159">SUM(I517:I529)</f>
        <v>0</v>
      </c>
      <c r="J516" s="19">
        <f t="shared" si="159"/>
        <v>0</v>
      </c>
      <c r="K516" s="19"/>
      <c r="L516" s="19">
        <f t="shared" si="159"/>
        <v>0</v>
      </c>
      <c r="M516" s="19"/>
      <c r="N516" s="19">
        <f t="shared" si="159"/>
        <v>0</v>
      </c>
      <c r="O516" s="19">
        <f t="shared" si="159"/>
        <v>0</v>
      </c>
      <c r="P516" s="19"/>
      <c r="Q516" s="19">
        <f t="shared" si="159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1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1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1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1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26.25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1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1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1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26.25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1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1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26.25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1"/>
        <v>0</v>
      </c>
      <c r="H530" s="19"/>
      <c r="I530" s="19">
        <f t="shared" ref="I530:Q530" si="160">SUM(I531:I538)</f>
        <v>0</v>
      </c>
      <c r="J530" s="19">
        <f t="shared" si="160"/>
        <v>0</v>
      </c>
      <c r="K530" s="19"/>
      <c r="L530" s="19">
        <f t="shared" si="160"/>
        <v>0</v>
      </c>
      <c r="M530" s="19"/>
      <c r="N530" s="19">
        <f t="shared" si="160"/>
        <v>0</v>
      </c>
      <c r="O530" s="19">
        <f t="shared" si="160"/>
        <v>0</v>
      </c>
      <c r="P530" s="19"/>
      <c r="Q530" s="19">
        <f t="shared" si="160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1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1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1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1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1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1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1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1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64.5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1"/>
        <v>0</v>
      </c>
      <c r="H539" s="19"/>
      <c r="I539" s="19">
        <f t="shared" ref="I539:Q539" si="162">I540</f>
        <v>0</v>
      </c>
      <c r="J539" s="19">
        <f t="shared" si="162"/>
        <v>0</v>
      </c>
      <c r="K539" s="19"/>
      <c r="L539" s="19">
        <f t="shared" si="162"/>
        <v>0</v>
      </c>
      <c r="M539" s="19"/>
      <c r="N539" s="19">
        <f t="shared" si="162"/>
        <v>0</v>
      </c>
      <c r="O539" s="19">
        <f t="shared" si="162"/>
        <v>0</v>
      </c>
      <c r="P539" s="19"/>
      <c r="Q539" s="19">
        <f t="shared" si="162"/>
        <v>0</v>
      </c>
    </row>
    <row r="540" spans="1:17" ht="39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1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3">E219+E485</f>
        <v>1500538</v>
      </c>
      <c r="F541" s="19">
        <f t="shared" si="163"/>
        <v>1484200</v>
      </c>
      <c r="G541" s="19">
        <f t="shared" si="163"/>
        <v>1428216</v>
      </c>
      <c r="H541" s="19">
        <f t="shared" si="163"/>
        <v>22238</v>
      </c>
      <c r="I541" s="19">
        <f t="shared" si="163"/>
        <v>17657</v>
      </c>
      <c r="J541" s="19">
        <f t="shared" si="163"/>
        <v>0</v>
      </c>
      <c r="K541" s="19">
        <f t="shared" si="163"/>
        <v>1000</v>
      </c>
      <c r="L541" s="19">
        <f t="shared" si="163"/>
        <v>1273</v>
      </c>
      <c r="M541" s="19">
        <f t="shared" si="163"/>
        <v>1443921</v>
      </c>
      <c r="N541" s="19">
        <f t="shared" si="163"/>
        <v>1398024</v>
      </c>
      <c r="O541" s="19">
        <f t="shared" si="163"/>
        <v>0</v>
      </c>
      <c r="P541" s="19">
        <f t="shared" si="163"/>
        <v>17041</v>
      </c>
      <c r="Q541" s="19">
        <f t="shared" si="163"/>
        <v>11162</v>
      </c>
    </row>
  </sheetData>
  <mergeCells count="186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F74:F154 E104:E127 G120:M121 G104:Q119 E467:Q490 E379:Q399 E353:Q374 E323:Q348 E404:Q427 E522:Q541 E219:Q233 E238:Q269 E274:Q318 E132:E154 G132:Q154 G122:Q127 G74:Q99 E74:E99 E6:Q10 E207:Q211 E185:Q202 E159:Q180 E47:Q69 E15:Q42 E432:Q462">
      <formula1>0</formula1>
      <formula2>999999999</formula2>
    </dataValidation>
  </dataValidations>
  <pageMargins left="0.16" right="0.21" top="0.72" bottom="0.75" header="0.24" footer="0.56999999999999995"/>
  <pageSetup paperSize="9" orientation="portrait" verticalDpi="4294967295" r:id="rId1"/>
  <headerFooter>
    <oddHeader>&amp;CФИНАНСИЈСКИ ПЛАН ОПШТЕ БОЛНИЦЕ ПИРОТ ЗА 2022. ГОДИНУ</oddHeader>
    <oddFooter>&amp;R&amp;P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99FF"/>
  </sheetPr>
  <dimension ref="A1:X549"/>
  <sheetViews>
    <sheetView topLeftCell="A213" workbookViewId="0">
      <selection activeCell="A253" sqref="A1:XFD1048576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10.42578125" style="12" customWidth="1"/>
    <col min="7" max="7" width="1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7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2" width="0" style="12" hidden="1" customWidth="1"/>
    <col min="23" max="23" width="4.85546875" style="12" customWidth="1"/>
    <col min="24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1642374</v>
      </c>
      <c r="G6" s="19">
        <f t="shared" ref="G6:Q6" si="0">G7+G133</f>
        <v>3030978</v>
      </c>
      <c r="H6" s="19">
        <f t="shared" si="0"/>
        <v>26000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1602374</v>
      </c>
      <c r="N6" s="19">
        <f t="shared" si="0"/>
        <v>1398192</v>
      </c>
      <c r="O6" s="19">
        <f t="shared" si="0"/>
        <v>0</v>
      </c>
      <c r="P6" s="19">
        <f t="shared" si="0"/>
        <v>13000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1642174</v>
      </c>
      <c r="G7" s="19">
        <f>G8+G60+G74+G86+G115+G122+G126</f>
        <v>3030794</v>
      </c>
      <c r="H7" s="19">
        <f t="shared" ref="H7:Q7" si="1">H8+H60+H74+H86+H115+H122+H126</f>
        <v>26000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1602374</v>
      </c>
      <c r="N7" s="19">
        <f t="shared" si="1"/>
        <v>1398192</v>
      </c>
      <c r="O7" s="19">
        <f t="shared" si="1"/>
        <v>0</v>
      </c>
      <c r="P7" s="19">
        <f t="shared" si="1"/>
        <v>12800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15300</v>
      </c>
      <c r="G86" s="19">
        <f t="shared" ref="G86:Q86" si="21">G87+G94+G99+G110+G113</f>
        <v>14780</v>
      </c>
      <c r="H86" s="19">
        <f>H87+H94+H99+H110+H113</f>
        <v>1000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f>M87+M94+M120</f>
        <v>1500</v>
      </c>
      <c r="N86" s="19">
        <f t="shared" si="21"/>
        <v>1130</v>
      </c>
      <c r="O86" s="19">
        <f t="shared" si="21"/>
        <v>0</v>
      </c>
      <c r="P86" s="19">
        <f>P87+P94+P99+P110+P113+P120</f>
        <v>12800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1500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1500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1500</v>
      </c>
      <c r="G91" s="37">
        <f>SUM(I91:Q91)-K91-M91-P91</f>
        <v>1130</v>
      </c>
      <c r="H91" s="37"/>
      <c r="I91" s="38"/>
      <c r="J91" s="38"/>
      <c r="K91" s="38"/>
      <c r="L91" s="38"/>
      <c r="M91" s="38">
        <v>1500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1000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12700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1000</v>
      </c>
      <c r="I97" s="36">
        <v>1165</v>
      </c>
      <c r="J97" s="36"/>
      <c r="K97" s="36"/>
      <c r="L97" s="36"/>
      <c r="M97" s="36"/>
      <c r="N97" s="36"/>
      <c r="O97" s="36"/>
      <c r="P97" s="36">
        <v>7700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22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22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22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22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22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22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22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22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2997936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22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22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1600874</v>
      </c>
      <c r="G122" s="19">
        <f t="shared" ref="G122:Q122" si="33">G123</f>
        <v>2997936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1600874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22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1600874</v>
      </c>
      <c r="G123" s="19">
        <f t="shared" ref="G123:Q123" si="34">G124+G125</f>
        <v>2997936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1600874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22" ht="28.5" x14ac:dyDescent="0.4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1600874</v>
      </c>
      <c r="G124" s="37">
        <f>SUM(I124:Q124)</f>
        <v>2997936</v>
      </c>
      <c r="H124" s="37"/>
      <c r="I124" s="36"/>
      <c r="J124" s="36"/>
      <c r="K124" s="36"/>
      <c r="L124" s="36"/>
      <c r="M124" s="36">
        <f>1597834+3040</f>
        <v>1600874</v>
      </c>
      <c r="N124" s="36">
        <v>1397062</v>
      </c>
      <c r="O124" s="36"/>
      <c r="P124" s="36"/>
      <c r="Q124" s="72"/>
      <c r="V124" s="388" t="s">
        <v>538</v>
      </c>
    </row>
    <row r="125" spans="1:22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22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26000</v>
      </c>
      <c r="G126" s="19">
        <f t="shared" ref="G126:Q126" si="36">G127</f>
        <v>18078</v>
      </c>
      <c r="H126" s="19">
        <f>H127</f>
        <v>25000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22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26000</v>
      </c>
      <c r="G127" s="19">
        <f t="shared" ref="G127:Q127" si="37">G132</f>
        <v>18078</v>
      </c>
      <c r="H127" s="19">
        <f t="shared" si="37"/>
        <v>25000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22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22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22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22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22" ht="26.25" x14ac:dyDescent="0.4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26000</v>
      </c>
      <c r="G132" s="389">
        <f>SUM(I132:Q132)-K132-M132-P132</f>
        <v>18078</v>
      </c>
      <c r="H132" s="389">
        <v>25000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  <c r="V132" s="388" t="s">
        <v>538</v>
      </c>
    </row>
    <row r="133" spans="1:22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22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>K135+K137+K139</f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22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22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22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22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22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22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22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22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22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22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1642374</v>
      </c>
      <c r="G210" s="42">
        <f t="shared" si="61"/>
        <v>3030978</v>
      </c>
      <c r="H210" s="42">
        <f t="shared" si="61"/>
        <v>26000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1602374</v>
      </c>
      <c r="N210" s="42">
        <f t="shared" si="61"/>
        <v>1398192</v>
      </c>
      <c r="O210" s="42">
        <f t="shared" si="61"/>
        <v>0</v>
      </c>
      <c r="P210" s="42">
        <f t="shared" si="61"/>
        <v>13000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1642110</v>
      </c>
      <c r="G219" s="19">
        <f t="shared" si="62"/>
        <v>1138166</v>
      </c>
      <c r="H219" s="19">
        <f t="shared" si="62"/>
        <v>26000</v>
      </c>
      <c r="I219" s="19">
        <f t="shared" si="62"/>
        <v>1577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1602374</v>
      </c>
      <c r="N219" s="19">
        <f t="shared" si="62"/>
        <v>1125638</v>
      </c>
      <c r="O219" s="19">
        <f t="shared" si="62"/>
        <v>0</v>
      </c>
      <c r="P219" s="19">
        <f t="shared" si="62"/>
        <v>12736</v>
      </c>
      <c r="Q219" s="19">
        <f t="shared" si="62"/>
        <v>9668</v>
      </c>
      <c r="R219" s="44">
        <f>H219+K219+M219+P219</f>
        <v>1642110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1614409</v>
      </c>
      <c r="G220" s="19">
        <f t="shared" ref="G220:Q220" si="63">G221+G247+G314+G333+G361+G374+G394+G413</f>
        <v>1134903</v>
      </c>
      <c r="H220" s="19">
        <f t="shared" si="63"/>
        <v>1000</v>
      </c>
      <c r="I220" s="19">
        <f t="shared" si="63"/>
        <v>127</v>
      </c>
      <c r="J220" s="19">
        <f t="shared" si="63"/>
        <v>0</v>
      </c>
      <c r="K220" s="19">
        <f t="shared" si="63"/>
        <v>0</v>
      </c>
      <c r="L220" s="19">
        <f t="shared" si="63"/>
        <v>1273</v>
      </c>
      <c r="M220" s="19">
        <f t="shared" si="63"/>
        <v>1602374</v>
      </c>
      <c r="N220" s="19">
        <f t="shared" si="63"/>
        <v>1125638</v>
      </c>
      <c r="O220" s="19">
        <f t="shared" si="63"/>
        <v>0</v>
      </c>
      <c r="P220" s="19">
        <f t="shared" si="63"/>
        <v>11035</v>
      </c>
      <c r="Q220" s="19">
        <f t="shared" si="63"/>
        <v>7855</v>
      </c>
      <c r="R220" s="44">
        <f>F220+F434</f>
        <v>1642110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1216506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1212877</v>
      </c>
      <c r="N221" s="19">
        <f t="shared" si="64"/>
        <v>1025065</v>
      </c>
      <c r="O221" s="19">
        <f t="shared" si="64"/>
        <v>0</v>
      </c>
      <c r="P221" s="19">
        <f t="shared" si="64"/>
        <v>3629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1010985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1008061</v>
      </c>
      <c r="N222" s="19">
        <f t="shared" si="65"/>
        <v>849796</v>
      </c>
      <c r="O222" s="19">
        <f t="shared" si="65"/>
        <v>0</v>
      </c>
      <c r="P222" s="19">
        <f t="shared" si="65"/>
        <v>2924</v>
      </c>
      <c r="Q222" s="19">
        <f t="shared" si="65"/>
        <v>1989</v>
      </c>
    </row>
    <row r="223" spans="1:18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1010985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1008061</v>
      </c>
      <c r="N223" s="36">
        <f>851785-1989</f>
        <v>849796</v>
      </c>
      <c r="O223" s="36"/>
      <c r="P223" s="36">
        <v>2924</v>
      </c>
      <c r="Q223" s="36">
        <v>1989</v>
      </c>
      <c r="R223" s="44">
        <f>M223+P223</f>
        <v>1010985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153194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152721</v>
      </c>
      <c r="N224" s="19">
        <f t="shared" si="66"/>
        <v>141535</v>
      </c>
      <c r="O224" s="19">
        <f t="shared" si="66"/>
        <v>0</v>
      </c>
      <c r="P224" s="19">
        <f t="shared" si="66"/>
        <v>473</v>
      </c>
      <c r="Q224" s="19">
        <f t="shared" si="66"/>
        <v>331</v>
      </c>
    </row>
    <row r="225" spans="1:22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101128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100806</v>
      </c>
      <c r="N225" s="36">
        <f>97986-229</f>
        <v>97757</v>
      </c>
      <c r="O225" s="36"/>
      <c r="P225" s="36">
        <v>322</v>
      </c>
      <c r="Q225" s="36">
        <v>229</v>
      </c>
    </row>
    <row r="226" spans="1:22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52066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51915</v>
      </c>
      <c r="N226" s="36">
        <f>43880-102</f>
        <v>43778</v>
      </c>
      <c r="O226" s="36"/>
      <c r="P226" s="36">
        <v>151</v>
      </c>
      <c r="Q226" s="36">
        <v>102</v>
      </c>
    </row>
    <row r="227" spans="1:22" ht="15" hidden="1" customHeight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22" ht="15" hidden="1" customHeight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22" ht="15" hidden="1" customHeight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22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9632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9400</v>
      </c>
      <c r="N230" s="19">
        <f t="shared" si="69"/>
        <v>4959</v>
      </c>
      <c r="O230" s="19">
        <f t="shared" si="69"/>
        <v>0</v>
      </c>
      <c r="P230" s="19">
        <f t="shared" si="69"/>
        <v>232</v>
      </c>
      <c r="Q230" s="19">
        <f t="shared" si="69"/>
        <v>280</v>
      </c>
    </row>
    <row r="231" spans="1:22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22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22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8432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v>8200</v>
      </c>
      <c r="N233" s="36">
        <v>3654</v>
      </c>
      <c r="O233" s="36"/>
      <c r="P233" s="36">
        <v>232</v>
      </c>
      <c r="Q233" s="36">
        <v>280</v>
      </c>
    </row>
    <row r="234" spans="1:22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22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22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22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22" ht="54" x14ac:dyDescent="0.4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1200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1200</v>
      </c>
      <c r="N238" s="36">
        <v>1305</v>
      </c>
      <c r="O238" s="36"/>
      <c r="P238" s="36"/>
      <c r="Q238" s="36"/>
      <c r="V238" s="388" t="s">
        <v>538</v>
      </c>
    </row>
    <row r="239" spans="1:22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28788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28788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22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28788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28788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13907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13907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13907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13907</v>
      </c>
      <c r="N242" s="36">
        <v>9143</v>
      </c>
      <c r="O242" s="36"/>
      <c r="P242" s="36"/>
      <c r="Q242" s="36"/>
    </row>
    <row r="243" spans="1:18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386923</v>
      </c>
      <c r="G247" s="19">
        <f t="shared" si="74"/>
        <v>99459</v>
      </c>
      <c r="H247" s="19">
        <f t="shared" si="74"/>
        <v>1000</v>
      </c>
      <c r="I247" s="19">
        <f t="shared" si="74"/>
        <v>127</v>
      </c>
      <c r="J247" s="19">
        <f t="shared" si="74"/>
        <v>0</v>
      </c>
      <c r="K247" s="19">
        <f t="shared" si="74"/>
        <v>0</v>
      </c>
      <c r="L247" s="19">
        <f t="shared" si="74"/>
        <v>1273</v>
      </c>
      <c r="M247" s="19">
        <f t="shared" si="74"/>
        <v>379417</v>
      </c>
      <c r="N247" s="19">
        <f t="shared" si="74"/>
        <v>93155</v>
      </c>
      <c r="O247" s="19">
        <f t="shared" si="74"/>
        <v>0</v>
      </c>
      <c r="P247" s="19">
        <f t="shared" si="74"/>
        <v>6506</v>
      </c>
      <c r="Q247" s="19">
        <f t="shared" si="74"/>
        <v>4904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116678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115548</v>
      </c>
      <c r="N248" s="19">
        <f t="shared" si="75"/>
        <v>80545</v>
      </c>
      <c r="O248" s="19">
        <f t="shared" si="75"/>
        <v>0</v>
      </c>
      <c r="P248" s="19">
        <f t="shared" si="75"/>
        <v>1130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1580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1500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98556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v>98306</v>
      </c>
      <c r="N250" s="36">
        <v>65188</v>
      </c>
      <c r="O250" s="36"/>
      <c r="P250" s="36">
        <v>250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11326</v>
      </c>
      <c r="G251" s="37">
        <f t="shared" si="76"/>
        <v>9465</v>
      </c>
      <c r="H251" s="37"/>
      <c r="I251" s="36"/>
      <c r="J251" s="36"/>
      <c r="K251" s="36"/>
      <c r="L251" s="36"/>
      <c r="M251" s="36">
        <f>11500-360-414</f>
        <v>10726</v>
      </c>
      <c r="N251" s="36">
        <v>9410</v>
      </c>
      <c r="O251" s="36"/>
      <c r="P251" s="36">
        <v>600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2016</v>
      </c>
      <c r="G252" s="37">
        <f t="shared" si="76"/>
        <v>2113</v>
      </c>
      <c r="H252" s="37"/>
      <c r="I252" s="36"/>
      <c r="J252" s="36"/>
      <c r="K252" s="36"/>
      <c r="L252" s="36"/>
      <c r="M252" s="36">
        <v>2016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3200</v>
      </c>
      <c r="G253" s="37">
        <f t="shared" si="76"/>
        <v>2612</v>
      </c>
      <c r="H253" s="37"/>
      <c r="I253" s="36"/>
      <c r="J253" s="36"/>
      <c r="K253" s="36"/>
      <c r="L253" s="36"/>
      <c r="M253" s="36">
        <v>3000</v>
      </c>
      <c r="N253" s="36">
        <v>2591</v>
      </c>
      <c r="O253" s="36"/>
      <c r="P253" s="36">
        <v>200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624</v>
      </c>
      <c r="G256" s="19">
        <f t="shared" si="77"/>
        <v>451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184</v>
      </c>
      <c r="N256" s="19">
        <f t="shared" si="77"/>
        <v>0</v>
      </c>
      <c r="O256" s="19">
        <f t="shared" si="77"/>
        <v>0</v>
      </c>
      <c r="P256" s="19">
        <f t="shared" si="77"/>
        <v>440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624</v>
      </c>
      <c r="G257" s="37">
        <f t="shared" ref="G257" si="78">SUM(I257:Q257)-K257-M257-P257</f>
        <v>451</v>
      </c>
      <c r="H257" s="37"/>
      <c r="I257" s="36"/>
      <c r="J257" s="36"/>
      <c r="K257" s="36"/>
      <c r="L257" s="36"/>
      <c r="M257" s="36">
        <v>184</v>
      </c>
      <c r="N257" s="36"/>
      <c r="O257" s="36"/>
      <c r="P257" s="36">
        <v>440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9869</v>
      </c>
      <c r="G262" s="19">
        <f t="shared" si="79"/>
        <v>70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7274</v>
      </c>
      <c r="N262" s="19">
        <f t="shared" si="79"/>
        <v>0</v>
      </c>
      <c r="O262" s="19">
        <f t="shared" si="79"/>
        <v>0</v>
      </c>
      <c r="P262" s="19">
        <f t="shared" si="79"/>
        <v>2595</v>
      </c>
      <c r="Q262" s="19">
        <f t="shared" si="79"/>
        <v>70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3852</v>
      </c>
      <c r="G264" s="37">
        <f t="shared" ref="G264" si="80">SUM(I264:Q264)-K264-M264-P264</f>
        <v>70</v>
      </c>
      <c r="H264" s="37"/>
      <c r="I264" s="36"/>
      <c r="J264" s="36"/>
      <c r="K264" s="36"/>
      <c r="L264" s="36"/>
      <c r="M264" s="36">
        <f>3900-48</f>
        <v>3852</v>
      </c>
      <c r="N264" s="36"/>
      <c r="O264" s="36"/>
      <c r="P264" s="36"/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3772</v>
      </c>
      <c r="G265" s="37"/>
      <c r="H265" s="37"/>
      <c r="I265" s="36"/>
      <c r="J265" s="36"/>
      <c r="K265" s="36"/>
      <c r="L265" s="36"/>
      <c r="M265" s="36">
        <f>2800+522</f>
        <v>3322</v>
      </c>
      <c r="N265" s="36"/>
      <c r="O265" s="36"/>
      <c r="P265" s="36">
        <f>900-522+72</f>
        <v>450</v>
      </c>
      <c r="Q265" s="36"/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100</v>
      </c>
      <c r="G266" s="37"/>
      <c r="H266" s="37"/>
      <c r="I266" s="36"/>
      <c r="J266" s="36"/>
      <c r="K266" s="36"/>
      <c r="L266" s="36"/>
      <c r="M266" s="36">
        <v>100</v>
      </c>
      <c r="N266" s="36"/>
      <c r="O266" s="36"/>
      <c r="P266" s="36"/>
      <c r="Q266" s="36"/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1667</v>
      </c>
      <c r="G267" s="37"/>
      <c r="H267" s="37"/>
      <c r="I267" s="36"/>
      <c r="J267" s="36"/>
      <c r="K267" s="36"/>
      <c r="L267" s="36"/>
      <c r="M267" s="36"/>
      <c r="N267" s="36"/>
      <c r="O267" s="36"/>
      <c r="P267" s="36">
        <v>1667</v>
      </c>
      <c r="Q267" s="36"/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/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/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/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/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/>
      <c r="H271" s="476"/>
      <c r="I271" s="544"/>
      <c r="J271" s="545"/>
      <c r="K271" s="545"/>
      <c r="L271" s="545"/>
      <c r="M271" s="545"/>
      <c r="N271" s="545"/>
      <c r="O271" s="544"/>
      <c r="P271" s="476"/>
      <c r="Q271" s="544"/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/>
      <c r="J272" s="476"/>
      <c r="K272" s="476"/>
      <c r="L272" s="476"/>
      <c r="M272" s="476"/>
      <c r="N272" s="476"/>
      <c r="O272" s="545"/>
      <c r="P272" s="477"/>
      <c r="Q272" s="545"/>
    </row>
    <row r="273" spans="1:22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</row>
    <row r="274" spans="1:22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278</v>
      </c>
      <c r="G274" s="37"/>
      <c r="H274" s="37"/>
      <c r="I274" s="36"/>
      <c r="J274" s="36"/>
      <c r="K274" s="36"/>
      <c r="L274" s="36"/>
      <c r="M274" s="36"/>
      <c r="N274" s="36"/>
      <c r="O274" s="36"/>
      <c r="P274" s="36">
        <v>278</v>
      </c>
      <c r="Q274" s="36"/>
    </row>
    <row r="275" spans="1:22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1">SUM(F276:F282)</f>
        <v>3107</v>
      </c>
      <c r="G275" s="19">
        <f t="shared" si="81"/>
        <v>450</v>
      </c>
      <c r="H275" s="19">
        <f t="shared" si="81"/>
        <v>0</v>
      </c>
      <c r="I275" s="19">
        <f t="shared" si="81"/>
        <v>0</v>
      </c>
      <c r="J275" s="19">
        <f t="shared" si="81"/>
        <v>0</v>
      </c>
      <c r="K275" s="19">
        <f t="shared" si="81"/>
        <v>0</v>
      </c>
      <c r="L275" s="19">
        <f t="shared" si="81"/>
        <v>0</v>
      </c>
      <c r="M275" s="19">
        <f t="shared" si="81"/>
        <v>2993</v>
      </c>
      <c r="N275" s="19">
        <f t="shared" si="81"/>
        <v>0</v>
      </c>
      <c r="O275" s="19">
        <f t="shared" si="81"/>
        <v>0</v>
      </c>
      <c r="P275" s="19">
        <f t="shared" si="81"/>
        <v>114</v>
      </c>
      <c r="Q275" s="19">
        <f t="shared" si="81"/>
        <v>450</v>
      </c>
    </row>
    <row r="276" spans="1:22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2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2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1400</v>
      </c>
      <c r="G278" s="37">
        <f t="shared" ref="G278" si="82">SUM(I278:Q278)-K278-M278-P278</f>
        <v>109</v>
      </c>
      <c r="H278" s="37"/>
      <c r="I278" s="36"/>
      <c r="J278" s="36"/>
      <c r="K278" s="36"/>
      <c r="L278" s="36"/>
      <c r="M278" s="36">
        <v>1400</v>
      </c>
      <c r="N278" s="36"/>
      <c r="O278" s="36"/>
      <c r="P278" s="36"/>
      <c r="Q278" s="36">
        <v>109</v>
      </c>
      <c r="R278" s="47"/>
      <c r="T278" s="47"/>
    </row>
    <row r="279" spans="1:22" ht="15" hidden="1" customHeight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2" ht="26.25" hidden="1" customHeight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2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342</v>
      </c>
      <c r="G281" s="37">
        <f t="shared" ref="G281:G282" si="83">SUM(I281:Q281)-K281-M281-P281</f>
        <v>51</v>
      </c>
      <c r="H281" s="37"/>
      <c r="I281" s="36"/>
      <c r="J281" s="36"/>
      <c r="K281" s="36"/>
      <c r="L281" s="36"/>
      <c r="M281" s="36">
        <f>300-72</f>
        <v>228</v>
      </c>
      <c r="N281" s="36"/>
      <c r="O281" s="36"/>
      <c r="P281" s="36">
        <v>114</v>
      </c>
      <c r="Q281" s="36">
        <v>51</v>
      </c>
    </row>
    <row r="282" spans="1:22" ht="23.25" x14ac:dyDescent="0.3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1365</v>
      </c>
      <c r="G282" s="37">
        <f t="shared" si="83"/>
        <v>290</v>
      </c>
      <c r="H282" s="37"/>
      <c r="I282" s="36"/>
      <c r="J282" s="36"/>
      <c r="K282" s="36"/>
      <c r="L282" s="36"/>
      <c r="M282" s="36">
        <f>1600+108-60-283</f>
        <v>1365</v>
      </c>
      <c r="N282" s="36"/>
      <c r="O282" s="36"/>
      <c r="P282" s="36">
        <f>212-212</f>
        <v>0</v>
      </c>
      <c r="Q282" s="36">
        <v>290</v>
      </c>
      <c r="R282" s="12">
        <v>1059</v>
      </c>
      <c r="S282" s="12" t="s">
        <v>504</v>
      </c>
      <c r="V282" s="393" t="s">
        <v>540</v>
      </c>
    </row>
    <row r="283" spans="1:22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4">F284+F285</f>
        <v>15260</v>
      </c>
      <c r="G283" s="19">
        <f t="shared" si="84"/>
        <v>755</v>
      </c>
      <c r="H283" s="19">
        <f t="shared" si="84"/>
        <v>0</v>
      </c>
      <c r="I283" s="19">
        <f t="shared" si="84"/>
        <v>0</v>
      </c>
      <c r="J283" s="19">
        <f t="shared" si="84"/>
        <v>0</v>
      </c>
      <c r="K283" s="19">
        <f t="shared" si="84"/>
        <v>0</v>
      </c>
      <c r="L283" s="19">
        <f t="shared" si="84"/>
        <v>0</v>
      </c>
      <c r="M283" s="19">
        <f t="shared" si="84"/>
        <v>15260</v>
      </c>
      <c r="N283" s="19">
        <f t="shared" si="84"/>
        <v>100</v>
      </c>
      <c r="O283" s="19">
        <f t="shared" si="84"/>
        <v>0</v>
      </c>
      <c r="P283" s="19">
        <f t="shared" si="84"/>
        <v>0</v>
      </c>
      <c r="Q283" s="19">
        <f t="shared" si="84"/>
        <v>655</v>
      </c>
    </row>
    <row r="284" spans="1:22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5600</v>
      </c>
      <c r="G284" s="37">
        <f t="shared" ref="G284:G285" si="85">SUM(I284:Q284)-K284-M284-P284</f>
        <v>100</v>
      </c>
      <c r="H284" s="37"/>
      <c r="I284" s="36"/>
      <c r="J284" s="36"/>
      <c r="K284" s="36"/>
      <c r="L284" s="36"/>
      <c r="M284" s="36">
        <f>5000+600</f>
        <v>5600</v>
      </c>
      <c r="N284" s="36">
        <v>100</v>
      </c>
      <c r="O284" s="36"/>
      <c r="P284" s="36"/>
      <c r="Q284" s="36"/>
    </row>
    <row r="285" spans="1:22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9660</v>
      </c>
      <c r="G285" s="37">
        <f t="shared" si="85"/>
        <v>655</v>
      </c>
      <c r="H285" s="37"/>
      <c r="I285" s="36"/>
      <c r="J285" s="36"/>
      <c r="K285" s="36"/>
      <c r="L285" s="36"/>
      <c r="M285" s="36">
        <f>10500-362-24-108-346</f>
        <v>9660</v>
      </c>
      <c r="N285" s="36"/>
      <c r="O285" s="36"/>
      <c r="P285" s="36"/>
      <c r="Q285" s="36">
        <v>655</v>
      </c>
      <c r="R285" s="12" t="s">
        <v>505</v>
      </c>
    </row>
    <row r="286" spans="1:22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241385</v>
      </c>
      <c r="G286" s="19">
        <f>SUM(G287:G313)</f>
        <v>16735</v>
      </c>
      <c r="H286" s="19">
        <f t="shared" ref="H286:Q286" si="86">SUM(H287:H313)</f>
        <v>1000</v>
      </c>
      <c r="I286" s="19">
        <f t="shared" si="86"/>
        <v>127</v>
      </c>
      <c r="J286" s="19">
        <f t="shared" si="86"/>
        <v>0</v>
      </c>
      <c r="K286" s="19">
        <f t="shared" si="86"/>
        <v>0</v>
      </c>
      <c r="L286" s="19">
        <f t="shared" si="86"/>
        <v>1273</v>
      </c>
      <c r="M286" s="19">
        <f>M287+M289+M290+M293+M311+M312+M313</f>
        <v>238158</v>
      </c>
      <c r="N286" s="19">
        <f t="shared" si="86"/>
        <v>12510</v>
      </c>
      <c r="O286" s="19">
        <f t="shared" si="86"/>
        <v>0</v>
      </c>
      <c r="P286" s="19">
        <f>P287+P289+P290+P293+P311+P312+P313</f>
        <v>2227</v>
      </c>
      <c r="Q286" s="19">
        <f t="shared" si="86"/>
        <v>2825</v>
      </c>
      <c r="R286" s="44">
        <f>H286+K286+M286+P286</f>
        <v>241385</v>
      </c>
    </row>
    <row r="287" spans="1:22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4287</v>
      </c>
      <c r="G287" s="37">
        <f t="shared" ref="G287" si="87">SUM(I287:Q287)-K287-M287-P287</f>
        <v>0</v>
      </c>
      <c r="H287" s="37"/>
      <c r="I287" s="36"/>
      <c r="J287" s="36"/>
      <c r="K287" s="36"/>
      <c r="L287" s="36"/>
      <c r="M287" s="36">
        <f>4500-520-12</f>
        <v>3968</v>
      </c>
      <c r="N287" s="36"/>
      <c r="O287" s="36"/>
      <c r="P287" s="36">
        <f>510-191</f>
        <v>319</v>
      </c>
      <c r="Q287" s="36"/>
      <c r="R287" s="12" t="s">
        <v>506</v>
      </c>
    </row>
    <row r="288" spans="1:22" ht="15" hidden="1" customHeight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24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122</v>
      </c>
      <c r="G289" s="37">
        <f t="shared" ref="G289:G290" si="88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f>110+12</f>
        <v>122</v>
      </c>
      <c r="Q289" s="36">
        <v>147</v>
      </c>
    </row>
    <row r="290" spans="1:24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2040</v>
      </c>
      <c r="G290" s="37">
        <f t="shared" si="88"/>
        <v>7</v>
      </c>
      <c r="H290" s="37"/>
      <c r="I290" s="38"/>
      <c r="J290" s="38"/>
      <c r="K290" s="38"/>
      <c r="L290" s="38"/>
      <c r="M290" s="38">
        <v>2040</v>
      </c>
      <c r="N290" s="38"/>
      <c r="O290" s="38"/>
      <c r="P290" s="38"/>
      <c r="Q290" s="38">
        <v>7</v>
      </c>
    </row>
    <row r="291" spans="1:24" ht="26.25" hidden="1" customHeight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89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24" ht="26.25" hidden="1" customHeight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89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24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212846</v>
      </c>
      <c r="G293" s="37">
        <f t="shared" ref="G293:G313" si="90">SUM(I293:Q293)-K293-M293-P293</f>
        <v>1917</v>
      </c>
      <c r="H293" s="37"/>
      <c r="I293" s="36">
        <v>127</v>
      </c>
      <c r="J293" s="36"/>
      <c r="K293" s="36"/>
      <c r="L293" s="36"/>
      <c r="M293" s="48">
        <f>M294+M299+M300+M303+M309+M310</f>
        <v>211586</v>
      </c>
      <c r="N293" s="48">
        <f t="shared" ref="N293:P293" si="91">N294+N299+N300+N303+N309+N310</f>
        <v>0</v>
      </c>
      <c r="O293" s="48">
        <f t="shared" si="91"/>
        <v>0</v>
      </c>
      <c r="P293" s="48">
        <f t="shared" si="91"/>
        <v>1260</v>
      </c>
      <c r="Q293" s="36">
        <v>1790</v>
      </c>
      <c r="R293" s="44">
        <f>M294+M299+M300+M303+M309+M310</f>
        <v>211586</v>
      </c>
      <c r="S293" s="44">
        <f>R293+P293</f>
        <v>212846</v>
      </c>
    </row>
    <row r="294" spans="1:24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107652</v>
      </c>
      <c r="G294" s="37"/>
      <c r="H294" s="37"/>
      <c r="I294" s="36"/>
      <c r="J294" s="36"/>
      <c r="K294" s="36"/>
      <c r="L294" s="36"/>
      <c r="M294" s="48">
        <f>M295+M296+M297+M298</f>
        <v>107652</v>
      </c>
      <c r="N294" s="36"/>
      <c r="O294" s="36"/>
      <c r="P294" s="36"/>
      <c r="Q294" s="36"/>
    </row>
    <row r="295" spans="1:24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65179</v>
      </c>
      <c r="G295" s="37"/>
      <c r="H295" s="37"/>
      <c r="I295" s="36"/>
      <c r="J295" s="36"/>
      <c r="K295" s="36"/>
      <c r="L295" s="36"/>
      <c r="M295" s="38">
        <f>46590+18589</f>
        <v>65179</v>
      </c>
      <c r="N295" s="36"/>
      <c r="O295" s="36"/>
      <c r="P295" s="36"/>
      <c r="Q295" s="36"/>
    </row>
    <row r="296" spans="1:24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14745</v>
      </c>
      <c r="G296" s="37"/>
      <c r="H296" s="37"/>
      <c r="I296" s="36"/>
      <c r="J296" s="36"/>
      <c r="K296" s="36"/>
      <c r="L296" s="36"/>
      <c r="M296" s="38">
        <v>14745</v>
      </c>
      <c r="N296" s="36"/>
      <c r="O296" s="36"/>
      <c r="P296" s="36"/>
      <c r="Q296" s="36"/>
    </row>
    <row r="297" spans="1:24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24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24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24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53971</v>
      </c>
      <c r="G300" s="54"/>
      <c r="H300" s="54"/>
      <c r="I300" s="48"/>
      <c r="J300" s="48"/>
      <c r="K300" s="48"/>
      <c r="L300" s="48"/>
      <c r="M300" s="48">
        <f>M301+M302</f>
        <v>53971</v>
      </c>
      <c r="N300" s="48">
        <f t="shared" ref="N300:P300" si="93">N301+N302</f>
        <v>0</v>
      </c>
      <c r="O300" s="48">
        <f t="shared" si="93"/>
        <v>0</v>
      </c>
      <c r="P300" s="48">
        <f t="shared" si="93"/>
        <v>1260</v>
      </c>
      <c r="Q300" s="48"/>
    </row>
    <row r="301" spans="1:24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51519</v>
      </c>
      <c r="G301" s="37"/>
      <c r="H301" s="37"/>
      <c r="I301" s="36"/>
      <c r="J301" s="36"/>
      <c r="K301" s="36"/>
      <c r="L301" s="36"/>
      <c r="M301" s="38">
        <f>36195+15324</f>
        <v>51519</v>
      </c>
      <c r="N301" s="36"/>
      <c r="O301" s="36"/>
      <c r="P301" s="36"/>
      <c r="Q301" s="36"/>
    </row>
    <row r="302" spans="1:24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2452</v>
      </c>
      <c r="G302" s="37"/>
      <c r="H302" s="37"/>
      <c r="I302" s="36"/>
      <c r="J302" s="36"/>
      <c r="K302" s="36"/>
      <c r="L302" s="36"/>
      <c r="M302" s="38">
        <f>2212+240</f>
        <v>2452</v>
      </c>
      <c r="N302" s="36"/>
      <c r="O302" s="36"/>
      <c r="P302" s="36">
        <f>1400-140</f>
        <v>1260</v>
      </c>
      <c r="Q302" s="36"/>
      <c r="X302" s="12" t="s">
        <v>556</v>
      </c>
    </row>
    <row r="303" spans="1:24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14586</v>
      </c>
      <c r="G303" s="54"/>
      <c r="H303" s="54"/>
      <c r="I303" s="48"/>
      <c r="J303" s="48"/>
      <c r="K303" s="48"/>
      <c r="L303" s="48"/>
      <c r="M303" s="48">
        <f>M304+M305+M306</f>
        <v>14586</v>
      </c>
      <c r="N303" s="48"/>
      <c r="O303" s="48"/>
      <c r="P303" s="48"/>
      <c r="Q303" s="48"/>
    </row>
    <row r="304" spans="1:24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8361</v>
      </c>
      <c r="G304" s="37"/>
      <c r="H304" s="37"/>
      <c r="I304" s="36"/>
      <c r="J304" s="36"/>
      <c r="K304" s="36"/>
      <c r="L304" s="36"/>
      <c r="M304" s="38">
        <f>5321+3040</f>
        <v>8361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3362</v>
      </c>
      <c r="G305" s="37"/>
      <c r="H305" s="37"/>
      <c r="I305" s="36"/>
      <c r="J305" s="36"/>
      <c r="K305" s="36"/>
      <c r="L305" s="36"/>
      <c r="M305" s="38">
        <f>5402-2040</f>
        <v>3362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2863</v>
      </c>
      <c r="G306" s="37"/>
      <c r="H306" s="37"/>
      <c r="I306" s="36"/>
      <c r="J306" s="36"/>
      <c r="K306" s="36"/>
      <c r="L306" s="36"/>
      <c r="M306" s="38">
        <f>M307+M308</f>
        <v>2863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1038</v>
      </c>
      <c r="G307" s="58"/>
      <c r="H307" s="58"/>
      <c r="I307" s="57"/>
      <c r="J307" s="57"/>
      <c r="K307" s="57"/>
      <c r="L307" s="57"/>
      <c r="M307" s="57">
        <f>438+600</f>
        <v>1038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1825</v>
      </c>
      <c r="G308" s="58"/>
      <c r="H308" s="58"/>
      <c r="I308" s="57"/>
      <c r="J308" s="57"/>
      <c r="K308" s="57"/>
      <c r="L308" s="57"/>
      <c r="M308" s="57">
        <f>625+1200</f>
        <v>1825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7000</v>
      </c>
      <c r="G310" s="54"/>
      <c r="H310" s="54"/>
      <c r="I310" s="48"/>
      <c r="J310" s="48"/>
      <c r="K310" s="48"/>
      <c r="L310" s="48"/>
      <c r="M310" s="48">
        <v>7000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12200</v>
      </c>
      <c r="G311" s="37">
        <f t="shared" si="90"/>
        <v>9570</v>
      </c>
      <c r="H311" s="37"/>
      <c r="I311" s="36"/>
      <c r="J311" s="36"/>
      <c r="K311" s="36"/>
      <c r="L311" s="36"/>
      <c r="M311" s="36">
        <v>12200</v>
      </c>
      <c r="N311" s="36">
        <v>9570</v>
      </c>
      <c r="O311" s="36"/>
      <c r="P311" s="36"/>
      <c r="Q311" s="36"/>
    </row>
    <row r="312" spans="1:17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4233</v>
      </c>
      <c r="G312" s="37">
        <f t="shared" si="90"/>
        <v>2940</v>
      </c>
      <c r="H312" s="37"/>
      <c r="I312" s="36"/>
      <c r="J312" s="36"/>
      <c r="K312" s="36"/>
      <c r="L312" s="36"/>
      <c r="M312" s="36">
        <f>2500+2160-427</f>
        <v>4233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8">
        <f>H313+K313+M313+P313</f>
        <v>5657</v>
      </c>
      <c r="G313" s="389">
        <f t="shared" si="90"/>
        <v>2154</v>
      </c>
      <c r="H313" s="389">
        <v>1000</v>
      </c>
      <c r="I313" s="38"/>
      <c r="J313" s="38"/>
      <c r="K313" s="38"/>
      <c r="L313" s="38">
        <v>1273</v>
      </c>
      <c r="M313" s="38">
        <f>4485-1230-90+84-60+942</f>
        <v>4131</v>
      </c>
      <c r="N313" s="38"/>
      <c r="O313" s="38"/>
      <c r="P313" s="38">
        <f>492+4+30</f>
        <v>526</v>
      </c>
      <c r="Q313" s="36">
        <v>881</v>
      </c>
    </row>
    <row r="314" spans="1:17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89"/>
        <v>0</v>
      </c>
      <c r="H314" s="19"/>
      <c r="I314" s="19">
        <f t="shared" ref="I314:Q314" si="94">I315+I323+I325+I327+I331</f>
        <v>0</v>
      </c>
      <c r="J314" s="19">
        <f t="shared" si="94"/>
        <v>0</v>
      </c>
      <c r="K314" s="19"/>
      <c r="L314" s="19">
        <f t="shared" si="94"/>
        <v>0</v>
      </c>
      <c r="M314" s="19"/>
      <c r="N314" s="19">
        <f t="shared" si="94"/>
        <v>0</v>
      </c>
      <c r="O314" s="19">
        <f t="shared" si="94"/>
        <v>0</v>
      </c>
      <c r="P314" s="19"/>
      <c r="Q314" s="19">
        <f t="shared" si="94"/>
        <v>0</v>
      </c>
    </row>
    <row r="315" spans="1:17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89"/>
        <v>0</v>
      </c>
      <c r="H315" s="19"/>
      <c r="I315" s="19">
        <f t="shared" ref="I315:Q315" si="95">SUM(I316:I318)</f>
        <v>0</v>
      </c>
      <c r="J315" s="19">
        <f t="shared" si="95"/>
        <v>0</v>
      </c>
      <c r="K315" s="19"/>
      <c r="L315" s="19">
        <f t="shared" si="95"/>
        <v>0</v>
      </c>
      <c r="M315" s="19"/>
      <c r="N315" s="19">
        <f t="shared" si="95"/>
        <v>0</v>
      </c>
      <c r="O315" s="19">
        <f t="shared" si="95"/>
        <v>0</v>
      </c>
      <c r="P315" s="19"/>
      <c r="Q315" s="19">
        <f t="shared" si="95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89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89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89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89"/>
        <v>0</v>
      </c>
      <c r="H323" s="19"/>
      <c r="I323" s="19">
        <f t="shared" ref="I323:Q323" si="96">I324</f>
        <v>0</v>
      </c>
      <c r="J323" s="19">
        <f t="shared" si="96"/>
        <v>0</v>
      </c>
      <c r="K323" s="19"/>
      <c r="L323" s="19">
        <f t="shared" si="96"/>
        <v>0</v>
      </c>
      <c r="M323" s="19"/>
      <c r="N323" s="19">
        <f t="shared" si="96"/>
        <v>0</v>
      </c>
      <c r="O323" s="19">
        <f t="shared" si="96"/>
        <v>0</v>
      </c>
      <c r="P323" s="19"/>
      <c r="Q323" s="19">
        <f t="shared" si="96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89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89"/>
        <v>0</v>
      </c>
      <c r="H325" s="19"/>
      <c r="I325" s="19">
        <f t="shared" ref="I325:Q325" si="97">I326</f>
        <v>0</v>
      </c>
      <c r="J325" s="19">
        <f t="shared" si="97"/>
        <v>0</v>
      </c>
      <c r="K325" s="19"/>
      <c r="L325" s="19">
        <f t="shared" si="97"/>
        <v>0</v>
      </c>
      <c r="M325" s="19"/>
      <c r="N325" s="19">
        <f t="shared" si="97"/>
        <v>0</v>
      </c>
      <c r="O325" s="19">
        <f t="shared" si="97"/>
        <v>0</v>
      </c>
      <c r="P325" s="19"/>
      <c r="Q325" s="19">
        <f t="shared" si="97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89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89"/>
        <v>0</v>
      </c>
      <c r="H327" s="19"/>
      <c r="I327" s="19">
        <f t="shared" ref="I327:Q327" si="98">SUM(I328:I330)</f>
        <v>0</v>
      </c>
      <c r="J327" s="19">
        <f t="shared" si="98"/>
        <v>0</v>
      </c>
      <c r="K327" s="19"/>
      <c r="L327" s="19">
        <f t="shared" si="98"/>
        <v>0</v>
      </c>
      <c r="M327" s="19"/>
      <c r="N327" s="19">
        <f t="shared" si="98"/>
        <v>0</v>
      </c>
      <c r="O327" s="19">
        <f t="shared" si="98"/>
        <v>0</v>
      </c>
      <c r="P327" s="19"/>
      <c r="Q327" s="19">
        <f t="shared" si="98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89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89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89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89"/>
        <v>0</v>
      </c>
      <c r="H331" s="19"/>
      <c r="I331" s="19">
        <f t="shared" ref="I331:Q331" si="99">I332</f>
        <v>0</v>
      </c>
      <c r="J331" s="19">
        <f t="shared" si="99"/>
        <v>0</v>
      </c>
      <c r="K331" s="19"/>
      <c r="L331" s="19">
        <f t="shared" si="99"/>
        <v>0</v>
      </c>
      <c r="M331" s="19"/>
      <c r="N331" s="19">
        <f t="shared" si="99"/>
        <v>0</v>
      </c>
      <c r="O331" s="19">
        <f t="shared" si="99"/>
        <v>0</v>
      </c>
      <c r="P331" s="19"/>
      <c r="Q331" s="19">
        <f t="shared" si="99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89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100">F334+F344+F355+F357</f>
        <v>600</v>
      </c>
      <c r="G333" s="19">
        <f t="shared" si="100"/>
        <v>251</v>
      </c>
      <c r="H333" s="19">
        <f t="shared" si="100"/>
        <v>0</v>
      </c>
      <c r="I333" s="19">
        <f t="shared" si="100"/>
        <v>0</v>
      </c>
      <c r="J333" s="19">
        <f t="shared" si="100"/>
        <v>0</v>
      </c>
      <c r="K333" s="19">
        <f t="shared" si="100"/>
        <v>0</v>
      </c>
      <c r="L333" s="19">
        <f t="shared" si="100"/>
        <v>0</v>
      </c>
      <c r="M333" s="19">
        <f t="shared" si="100"/>
        <v>0</v>
      </c>
      <c r="N333" s="19">
        <f t="shared" si="100"/>
        <v>0</v>
      </c>
      <c r="O333" s="19">
        <f t="shared" si="100"/>
        <v>0</v>
      </c>
      <c r="P333" s="19">
        <f t="shared" si="100"/>
        <v>600</v>
      </c>
      <c r="Q333" s="19">
        <f t="shared" si="100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1">SUM(F335:F343)</f>
        <v>600</v>
      </c>
      <c r="G334" s="19">
        <f t="shared" si="101"/>
        <v>251</v>
      </c>
      <c r="H334" s="19">
        <f t="shared" si="101"/>
        <v>0</v>
      </c>
      <c r="I334" s="19">
        <f t="shared" si="101"/>
        <v>0</v>
      </c>
      <c r="J334" s="19">
        <f t="shared" si="101"/>
        <v>0</v>
      </c>
      <c r="K334" s="19">
        <f t="shared" si="101"/>
        <v>0</v>
      </c>
      <c r="L334" s="19">
        <f t="shared" si="101"/>
        <v>0</v>
      </c>
      <c r="M334" s="19">
        <f t="shared" si="101"/>
        <v>0</v>
      </c>
      <c r="N334" s="19">
        <f t="shared" si="101"/>
        <v>0</v>
      </c>
      <c r="O334" s="19">
        <f t="shared" si="101"/>
        <v>0</v>
      </c>
      <c r="P334" s="19">
        <f t="shared" si="101"/>
        <v>600</v>
      </c>
      <c r="Q334" s="19">
        <f t="shared" si="101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89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89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89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89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600</v>
      </c>
      <c r="G339" s="37">
        <f t="shared" ref="G339" si="102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600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89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89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89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89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89"/>
        <v>0</v>
      </c>
      <c r="H344" s="19"/>
      <c r="I344" s="19">
        <f t="shared" ref="I344:Q344" si="103">SUM(I345:I354)</f>
        <v>0</v>
      </c>
      <c r="J344" s="19">
        <f t="shared" si="103"/>
        <v>0</v>
      </c>
      <c r="K344" s="19"/>
      <c r="L344" s="19">
        <f t="shared" si="103"/>
        <v>0</v>
      </c>
      <c r="M344" s="19"/>
      <c r="N344" s="19">
        <f t="shared" si="103"/>
        <v>0</v>
      </c>
      <c r="O344" s="19">
        <f t="shared" si="103"/>
        <v>0</v>
      </c>
      <c r="P344" s="19"/>
      <c r="Q344" s="19">
        <f t="shared" si="103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89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89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89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89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89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89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89"/>
        <v>0</v>
      </c>
      <c r="H355" s="19"/>
      <c r="I355" s="19">
        <f t="shared" ref="I355:Q355" si="104">I356</f>
        <v>0</v>
      </c>
      <c r="J355" s="19">
        <f t="shared" si="104"/>
        <v>0</v>
      </c>
      <c r="K355" s="19"/>
      <c r="L355" s="19">
        <f t="shared" si="104"/>
        <v>0</v>
      </c>
      <c r="M355" s="19"/>
      <c r="N355" s="19">
        <f t="shared" si="104"/>
        <v>0</v>
      </c>
      <c r="O355" s="19">
        <f t="shared" si="104"/>
        <v>0</v>
      </c>
      <c r="P355" s="19"/>
      <c r="Q355" s="19">
        <f t="shared" si="104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89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89"/>
        <v>0</v>
      </c>
      <c r="H357" s="19"/>
      <c r="I357" s="19">
        <f t="shared" ref="I357:Q357" si="105">SUM(I358:I360)</f>
        <v>0</v>
      </c>
      <c r="J357" s="19">
        <f t="shared" si="105"/>
        <v>0</v>
      </c>
      <c r="K357" s="19"/>
      <c r="L357" s="19">
        <f t="shared" si="105"/>
        <v>0</v>
      </c>
      <c r="M357" s="19"/>
      <c r="N357" s="19">
        <f t="shared" si="105"/>
        <v>0</v>
      </c>
      <c r="O357" s="19">
        <f t="shared" si="105"/>
        <v>0</v>
      </c>
      <c r="P357" s="19"/>
      <c r="Q357" s="19">
        <f t="shared" si="105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89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89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89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89"/>
        <v>0</v>
      </c>
      <c r="H361" s="19"/>
      <c r="I361" s="19">
        <f t="shared" ref="I361:Q361" si="106">I362+I365+I368+I371</f>
        <v>0</v>
      </c>
      <c r="J361" s="19">
        <f t="shared" si="106"/>
        <v>0</v>
      </c>
      <c r="K361" s="19"/>
      <c r="L361" s="19">
        <f t="shared" si="106"/>
        <v>0</v>
      </c>
      <c r="M361" s="19"/>
      <c r="N361" s="19">
        <f t="shared" si="106"/>
        <v>0</v>
      </c>
      <c r="O361" s="19">
        <f t="shared" si="106"/>
        <v>0</v>
      </c>
      <c r="P361" s="19"/>
      <c r="Q361" s="19">
        <f t="shared" si="106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89"/>
        <v>0</v>
      </c>
      <c r="H362" s="19"/>
      <c r="I362" s="19">
        <f t="shared" ref="I362:Q362" si="107">I363+I364</f>
        <v>0</v>
      </c>
      <c r="J362" s="19">
        <f t="shared" si="107"/>
        <v>0</v>
      </c>
      <c r="K362" s="19"/>
      <c r="L362" s="19">
        <f t="shared" si="107"/>
        <v>0</v>
      </c>
      <c r="M362" s="19"/>
      <c r="N362" s="19">
        <f t="shared" si="107"/>
        <v>0</v>
      </c>
      <c r="O362" s="19">
        <f t="shared" si="107"/>
        <v>0</v>
      </c>
      <c r="P362" s="19"/>
      <c r="Q362" s="19">
        <f t="shared" si="107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89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89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89"/>
        <v>0</v>
      </c>
      <c r="H365" s="19"/>
      <c r="I365" s="19">
        <f t="shared" ref="I365:Q365" si="108">I366+I367</f>
        <v>0</v>
      </c>
      <c r="J365" s="19">
        <f t="shared" si="108"/>
        <v>0</v>
      </c>
      <c r="K365" s="19"/>
      <c r="L365" s="19">
        <f t="shared" si="108"/>
        <v>0</v>
      </c>
      <c r="M365" s="19"/>
      <c r="N365" s="19">
        <f t="shared" si="108"/>
        <v>0</v>
      </c>
      <c r="O365" s="19">
        <f t="shared" si="108"/>
        <v>0</v>
      </c>
      <c r="P365" s="19"/>
      <c r="Q365" s="19">
        <f t="shared" si="108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89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89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89"/>
        <v>0</v>
      </c>
      <c r="H368" s="19"/>
      <c r="I368" s="19">
        <f t="shared" ref="I368:Q368" si="109">I369+I370</f>
        <v>0</v>
      </c>
      <c r="J368" s="19">
        <f t="shared" si="109"/>
        <v>0</v>
      </c>
      <c r="K368" s="19"/>
      <c r="L368" s="19">
        <f t="shared" si="109"/>
        <v>0</v>
      </c>
      <c r="M368" s="19"/>
      <c r="N368" s="19">
        <f t="shared" si="109"/>
        <v>0</v>
      </c>
      <c r="O368" s="19">
        <f t="shared" si="109"/>
        <v>0</v>
      </c>
      <c r="P368" s="19"/>
      <c r="Q368" s="19">
        <f t="shared" si="109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89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89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89"/>
        <v>0</v>
      </c>
      <c r="H371" s="19"/>
      <c r="I371" s="19">
        <f t="shared" ref="I371:Q371" si="110">I372+I373</f>
        <v>0</v>
      </c>
      <c r="J371" s="19">
        <f t="shared" si="110"/>
        <v>0</v>
      </c>
      <c r="K371" s="19"/>
      <c r="L371" s="19">
        <f t="shared" si="110"/>
        <v>0</v>
      </c>
      <c r="M371" s="19"/>
      <c r="N371" s="19">
        <f t="shared" si="110"/>
        <v>0</v>
      </c>
      <c r="O371" s="19">
        <f t="shared" si="110"/>
        <v>0</v>
      </c>
      <c r="P371" s="19"/>
      <c r="Q371" s="19">
        <f t="shared" si="110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89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89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1">F379+F382+F385+F388+F391</f>
        <v>10080</v>
      </c>
      <c r="G374" s="19">
        <f t="shared" si="111"/>
        <v>7410</v>
      </c>
      <c r="H374" s="37">
        <f t="shared" si="111"/>
        <v>0</v>
      </c>
      <c r="I374" s="19">
        <f t="shared" si="111"/>
        <v>0</v>
      </c>
      <c r="J374" s="19">
        <f t="shared" si="111"/>
        <v>0</v>
      </c>
      <c r="K374" s="19">
        <f t="shared" si="111"/>
        <v>0</v>
      </c>
      <c r="L374" s="19">
        <f t="shared" si="111"/>
        <v>0</v>
      </c>
      <c r="M374" s="19">
        <f t="shared" si="111"/>
        <v>10080</v>
      </c>
      <c r="N374" s="19">
        <f t="shared" si="111"/>
        <v>7410</v>
      </c>
      <c r="O374" s="19">
        <f t="shared" si="111"/>
        <v>0</v>
      </c>
      <c r="P374" s="19">
        <f t="shared" si="111"/>
        <v>0</v>
      </c>
      <c r="Q374" s="19">
        <f t="shared" si="111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89"/>
        <v>0</v>
      </c>
      <c r="H379" s="19"/>
      <c r="I379" s="19">
        <f t="shared" ref="I379:Q379" si="112">I380+I381</f>
        <v>0</v>
      </c>
      <c r="J379" s="19">
        <f t="shared" si="112"/>
        <v>0</v>
      </c>
      <c r="K379" s="19"/>
      <c r="L379" s="19">
        <f t="shared" si="112"/>
        <v>0</v>
      </c>
      <c r="M379" s="19"/>
      <c r="N379" s="19">
        <f t="shared" si="112"/>
        <v>0</v>
      </c>
      <c r="O379" s="19">
        <f t="shared" si="112"/>
        <v>0</v>
      </c>
      <c r="P379" s="19"/>
      <c r="Q379" s="19">
        <f t="shared" si="112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89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89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89"/>
        <v>0</v>
      </c>
      <c r="H382" s="19"/>
      <c r="I382" s="19">
        <f t="shared" ref="I382:Q382" si="113">I383+I384</f>
        <v>0</v>
      </c>
      <c r="J382" s="19">
        <f t="shared" si="113"/>
        <v>0</v>
      </c>
      <c r="K382" s="19"/>
      <c r="L382" s="19">
        <f t="shared" si="113"/>
        <v>0</v>
      </c>
      <c r="M382" s="19"/>
      <c r="N382" s="19">
        <f t="shared" si="113"/>
        <v>0</v>
      </c>
      <c r="O382" s="19">
        <f t="shared" si="113"/>
        <v>0</v>
      </c>
      <c r="P382" s="19"/>
      <c r="Q382" s="19">
        <f t="shared" si="113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89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89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4">SUM(I385:Q385)</f>
        <v>0</v>
      </c>
      <c r="H385" s="19"/>
      <c r="I385" s="19">
        <f t="shared" ref="I385:Q385" si="115">I386+I387</f>
        <v>0</v>
      </c>
      <c r="J385" s="19">
        <f t="shared" si="115"/>
        <v>0</v>
      </c>
      <c r="K385" s="19"/>
      <c r="L385" s="19">
        <f t="shared" si="115"/>
        <v>0</v>
      </c>
      <c r="M385" s="19"/>
      <c r="N385" s="19">
        <f t="shared" si="115"/>
        <v>0</v>
      </c>
      <c r="O385" s="19">
        <f t="shared" si="115"/>
        <v>0</v>
      </c>
      <c r="P385" s="19"/>
      <c r="Q385" s="19">
        <f t="shared" si="115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4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4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4"/>
        <v>0</v>
      </c>
      <c r="H388" s="19"/>
      <c r="I388" s="19">
        <f t="shared" ref="I388:Q388" si="116">I389+I390</f>
        <v>0</v>
      </c>
      <c r="J388" s="19">
        <f t="shared" si="116"/>
        <v>0</v>
      </c>
      <c r="K388" s="19"/>
      <c r="L388" s="19">
        <f t="shared" si="116"/>
        <v>0</v>
      </c>
      <c r="M388" s="19"/>
      <c r="N388" s="19">
        <f t="shared" si="116"/>
        <v>0</v>
      </c>
      <c r="O388" s="19">
        <f t="shared" si="116"/>
        <v>0</v>
      </c>
      <c r="P388" s="19"/>
      <c r="Q388" s="19">
        <f t="shared" si="116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4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4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7">F392+F393</f>
        <v>10080</v>
      </c>
      <c r="G391" s="19">
        <f t="shared" si="117"/>
        <v>7410</v>
      </c>
      <c r="H391" s="19">
        <f t="shared" si="117"/>
        <v>0</v>
      </c>
      <c r="I391" s="19">
        <f t="shared" si="117"/>
        <v>0</v>
      </c>
      <c r="J391" s="19">
        <f t="shared" si="117"/>
        <v>0</v>
      </c>
      <c r="K391" s="19">
        <f t="shared" si="117"/>
        <v>0</v>
      </c>
      <c r="L391" s="19">
        <f t="shared" si="117"/>
        <v>0</v>
      </c>
      <c r="M391" s="19">
        <f t="shared" si="117"/>
        <v>10080</v>
      </c>
      <c r="N391" s="19">
        <f t="shared" si="117"/>
        <v>7410</v>
      </c>
      <c r="O391" s="19">
        <f t="shared" si="117"/>
        <v>0</v>
      </c>
      <c r="P391" s="19">
        <f t="shared" si="117"/>
        <v>0</v>
      </c>
      <c r="Q391" s="19">
        <f t="shared" si="117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10080</v>
      </c>
      <c r="G392" s="37">
        <f t="shared" ref="G392" si="118">SUM(I392:Q392)-K392-M392-P392</f>
        <v>7410</v>
      </c>
      <c r="H392" s="37"/>
      <c r="I392" s="36"/>
      <c r="J392" s="36"/>
      <c r="K392" s="36"/>
      <c r="L392" s="36"/>
      <c r="M392" s="36">
        <v>10080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4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4"/>
        <v>0</v>
      </c>
      <c r="H394" s="19"/>
      <c r="I394" s="19">
        <f t="shared" ref="I394:Q394" si="119">I395+I399</f>
        <v>0</v>
      </c>
      <c r="J394" s="19">
        <f t="shared" si="119"/>
        <v>0</v>
      </c>
      <c r="K394" s="19"/>
      <c r="L394" s="19">
        <f t="shared" si="119"/>
        <v>0</v>
      </c>
      <c r="M394" s="19"/>
      <c r="N394" s="19">
        <f t="shared" si="119"/>
        <v>0</v>
      </c>
      <c r="O394" s="19">
        <f t="shared" si="119"/>
        <v>0</v>
      </c>
      <c r="P394" s="19"/>
      <c r="Q394" s="19">
        <f t="shared" si="119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4"/>
        <v>0</v>
      </c>
      <c r="H395" s="19"/>
      <c r="I395" s="19">
        <f t="shared" ref="I395:Q395" si="120">SUM(I396:I398)</f>
        <v>0</v>
      </c>
      <c r="J395" s="19">
        <f t="shared" si="120"/>
        <v>0</v>
      </c>
      <c r="K395" s="19"/>
      <c r="L395" s="19">
        <f t="shared" si="120"/>
        <v>0</v>
      </c>
      <c r="M395" s="19"/>
      <c r="N395" s="19">
        <f t="shared" si="120"/>
        <v>0</v>
      </c>
      <c r="O395" s="19">
        <f t="shared" si="120"/>
        <v>0</v>
      </c>
      <c r="P395" s="19"/>
      <c r="Q395" s="19">
        <f t="shared" si="120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4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4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4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4"/>
        <v>0</v>
      </c>
      <c r="H399" s="19"/>
      <c r="I399" s="19">
        <f t="shared" ref="I399:Q399" si="121">SUM(I404:I412)</f>
        <v>0</v>
      </c>
      <c r="J399" s="19">
        <f t="shared" si="121"/>
        <v>0</v>
      </c>
      <c r="K399" s="19"/>
      <c r="L399" s="19">
        <f t="shared" si="121"/>
        <v>0</v>
      </c>
      <c r="M399" s="19"/>
      <c r="N399" s="19">
        <f t="shared" si="121"/>
        <v>0</v>
      </c>
      <c r="O399" s="19">
        <f t="shared" si="121"/>
        <v>0</v>
      </c>
      <c r="P399" s="19"/>
      <c r="Q399" s="19">
        <f t="shared" si="121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4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4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4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4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4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4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4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4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4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2">F414+F417+F421+F423+F426+F432</f>
        <v>300</v>
      </c>
      <c r="G413" s="19">
        <f t="shared" si="122"/>
        <v>118</v>
      </c>
      <c r="H413" s="19">
        <f t="shared" si="122"/>
        <v>0</v>
      </c>
      <c r="I413" s="19">
        <f t="shared" si="122"/>
        <v>0</v>
      </c>
      <c r="J413" s="19">
        <f t="shared" si="122"/>
        <v>0</v>
      </c>
      <c r="K413" s="19">
        <f t="shared" si="122"/>
        <v>0</v>
      </c>
      <c r="L413" s="19">
        <f t="shared" si="122"/>
        <v>0</v>
      </c>
      <c r="M413" s="19">
        <f t="shared" si="122"/>
        <v>0</v>
      </c>
      <c r="N413" s="19">
        <f t="shared" si="122"/>
        <v>8</v>
      </c>
      <c r="O413" s="19">
        <f t="shared" si="122"/>
        <v>0</v>
      </c>
      <c r="P413" s="19">
        <f t="shared" si="122"/>
        <v>300</v>
      </c>
      <c r="Q413" s="19">
        <f t="shared" si="122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3">F415+F416</f>
        <v>35</v>
      </c>
      <c r="G414" s="19">
        <f t="shared" si="123"/>
        <v>35</v>
      </c>
      <c r="H414" s="19">
        <f t="shared" si="123"/>
        <v>0</v>
      </c>
      <c r="I414" s="19">
        <f t="shared" si="123"/>
        <v>0</v>
      </c>
      <c r="J414" s="19">
        <f t="shared" si="123"/>
        <v>0</v>
      </c>
      <c r="K414" s="19">
        <f t="shared" si="123"/>
        <v>0</v>
      </c>
      <c r="L414" s="19">
        <f t="shared" si="123"/>
        <v>0</v>
      </c>
      <c r="M414" s="19">
        <f t="shared" si="123"/>
        <v>0</v>
      </c>
      <c r="N414" s="19">
        <f t="shared" si="123"/>
        <v>0</v>
      </c>
      <c r="O414" s="19">
        <f t="shared" si="123"/>
        <v>0</v>
      </c>
      <c r="P414" s="19">
        <f t="shared" si="123"/>
        <v>35</v>
      </c>
      <c r="Q414" s="19">
        <f t="shared" si="123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4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4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22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5">SUM(F418:F420)</f>
        <v>65</v>
      </c>
      <c r="G417" s="19">
        <f t="shared" si="125"/>
        <v>68</v>
      </c>
      <c r="H417" s="19">
        <f t="shared" si="125"/>
        <v>0</v>
      </c>
      <c r="I417" s="19">
        <f t="shared" si="125"/>
        <v>0</v>
      </c>
      <c r="J417" s="19">
        <f t="shared" si="125"/>
        <v>0</v>
      </c>
      <c r="K417" s="19">
        <f t="shared" si="125"/>
        <v>0</v>
      </c>
      <c r="L417" s="19">
        <f t="shared" si="125"/>
        <v>0</v>
      </c>
      <c r="M417" s="19">
        <f t="shared" si="125"/>
        <v>0</v>
      </c>
      <c r="N417" s="19">
        <f t="shared" si="125"/>
        <v>8</v>
      </c>
      <c r="O417" s="19">
        <f t="shared" si="125"/>
        <v>0</v>
      </c>
      <c r="P417" s="19">
        <f t="shared" si="125"/>
        <v>65</v>
      </c>
      <c r="Q417" s="19">
        <f t="shared" si="125"/>
        <v>50</v>
      </c>
    </row>
    <row r="418" spans="1:22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30</v>
      </c>
      <c r="G418" s="37">
        <f t="shared" ref="G418:G419" si="126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30</v>
      </c>
      <c r="Q418" s="36">
        <v>9</v>
      </c>
    </row>
    <row r="419" spans="1:22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25</v>
      </c>
      <c r="G419" s="37">
        <f t="shared" si="126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25</v>
      </c>
      <c r="Q419" s="36">
        <v>41</v>
      </c>
      <c r="V419" s="12" t="s">
        <v>539</v>
      </c>
    </row>
    <row r="420" spans="1:22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4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22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7">F422</f>
        <v>200</v>
      </c>
      <c r="G421" s="19">
        <f t="shared" si="127"/>
        <v>15</v>
      </c>
      <c r="H421" s="19">
        <f t="shared" si="127"/>
        <v>0</v>
      </c>
      <c r="I421" s="19">
        <f t="shared" si="127"/>
        <v>0</v>
      </c>
      <c r="J421" s="19">
        <f t="shared" si="127"/>
        <v>0</v>
      </c>
      <c r="K421" s="19">
        <f t="shared" si="127"/>
        <v>0</v>
      </c>
      <c r="L421" s="19">
        <f t="shared" si="127"/>
        <v>0</v>
      </c>
      <c r="M421" s="19">
        <f t="shared" si="127"/>
        <v>0</v>
      </c>
      <c r="N421" s="19">
        <f t="shared" si="127"/>
        <v>0</v>
      </c>
      <c r="O421" s="19">
        <f t="shared" si="127"/>
        <v>0</v>
      </c>
      <c r="P421" s="19">
        <f t="shared" si="127"/>
        <v>200</v>
      </c>
      <c r="Q421" s="19">
        <f t="shared" si="127"/>
        <v>15</v>
      </c>
    </row>
    <row r="422" spans="1:22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200</v>
      </c>
      <c r="G422" s="37">
        <f t="shared" ref="G422" si="128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200</v>
      </c>
      <c r="Q422" s="36">
        <v>15</v>
      </c>
    </row>
    <row r="423" spans="1:22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4"/>
        <v>0</v>
      </c>
      <c r="H423" s="19"/>
      <c r="I423" s="19">
        <f t="shared" ref="I423:Q423" si="129">I424+I425</f>
        <v>0</v>
      </c>
      <c r="J423" s="19">
        <f t="shared" si="129"/>
        <v>0</v>
      </c>
      <c r="K423" s="19"/>
      <c r="L423" s="19">
        <f t="shared" si="129"/>
        <v>0</v>
      </c>
      <c r="M423" s="19"/>
      <c r="N423" s="19">
        <f t="shared" si="129"/>
        <v>0</v>
      </c>
      <c r="O423" s="19">
        <f t="shared" si="129"/>
        <v>0</v>
      </c>
      <c r="P423" s="19"/>
      <c r="Q423" s="19">
        <f t="shared" si="129"/>
        <v>0</v>
      </c>
    </row>
    <row r="424" spans="1:22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4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22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4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22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4"/>
        <v>0</v>
      </c>
      <c r="H426" s="19"/>
      <c r="I426" s="19">
        <f t="shared" ref="I426:Q426" si="130">I427</f>
        <v>0</v>
      </c>
      <c r="J426" s="19">
        <f t="shared" si="130"/>
        <v>0</v>
      </c>
      <c r="K426" s="19"/>
      <c r="L426" s="19">
        <f t="shared" si="130"/>
        <v>0</v>
      </c>
      <c r="M426" s="19"/>
      <c r="N426" s="19">
        <f t="shared" si="130"/>
        <v>0</v>
      </c>
      <c r="O426" s="19">
        <f t="shared" si="130"/>
        <v>0</v>
      </c>
      <c r="P426" s="19"/>
      <c r="Q426" s="19">
        <f t="shared" si="130"/>
        <v>0</v>
      </c>
    </row>
    <row r="427" spans="1:22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4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22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22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22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22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22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4"/>
        <v>0</v>
      </c>
      <c r="H432" s="19"/>
      <c r="I432" s="19">
        <f t="shared" ref="I432:Q432" si="131">I433</f>
        <v>0</v>
      </c>
      <c r="J432" s="19">
        <f t="shared" si="131"/>
        <v>0</v>
      </c>
      <c r="K432" s="19"/>
      <c r="L432" s="19">
        <f t="shared" si="131"/>
        <v>0</v>
      </c>
      <c r="M432" s="19"/>
      <c r="N432" s="19">
        <f t="shared" si="131"/>
        <v>0</v>
      </c>
      <c r="O432" s="19">
        <f t="shared" si="131"/>
        <v>0</v>
      </c>
      <c r="P432" s="19"/>
      <c r="Q432" s="19">
        <f t="shared" si="131"/>
        <v>0</v>
      </c>
    </row>
    <row r="433" spans="1:22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4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2">F435+F458+F471+F474+F482</f>
        <v>27701</v>
      </c>
      <c r="G434" s="19">
        <f t="shared" si="132"/>
        <v>3263</v>
      </c>
      <c r="H434" s="19">
        <f t="shared" si="132"/>
        <v>25000</v>
      </c>
      <c r="I434" s="19">
        <f t="shared" si="132"/>
        <v>1450</v>
      </c>
      <c r="J434" s="19">
        <f t="shared" si="132"/>
        <v>0</v>
      </c>
      <c r="K434" s="19">
        <f t="shared" si="132"/>
        <v>1000</v>
      </c>
      <c r="L434" s="19">
        <f t="shared" si="132"/>
        <v>0</v>
      </c>
      <c r="M434" s="19">
        <f t="shared" si="132"/>
        <v>0</v>
      </c>
      <c r="N434" s="19">
        <f t="shared" si="132"/>
        <v>0</v>
      </c>
      <c r="O434" s="19">
        <f t="shared" si="132"/>
        <v>0</v>
      </c>
      <c r="P434" s="19">
        <f t="shared" si="132"/>
        <v>1701</v>
      </c>
      <c r="Q434" s="19">
        <f t="shared" si="132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3">F436+F441+F452+F454+F456</f>
        <v>27701</v>
      </c>
      <c r="G435" s="19">
        <f t="shared" si="133"/>
        <v>3263</v>
      </c>
      <c r="H435" s="19">
        <f t="shared" si="133"/>
        <v>25000</v>
      </c>
      <c r="I435" s="19">
        <f t="shared" si="133"/>
        <v>1450</v>
      </c>
      <c r="J435" s="19">
        <f t="shared" si="133"/>
        <v>0</v>
      </c>
      <c r="K435" s="19">
        <f t="shared" si="133"/>
        <v>1000</v>
      </c>
      <c r="L435" s="19">
        <f t="shared" si="133"/>
        <v>0</v>
      </c>
      <c r="M435" s="19">
        <f t="shared" si="133"/>
        <v>0</v>
      </c>
      <c r="N435" s="19">
        <f t="shared" si="133"/>
        <v>0</v>
      </c>
      <c r="O435" s="19">
        <f t="shared" si="133"/>
        <v>0</v>
      </c>
      <c r="P435" s="19">
        <f t="shared" si="133"/>
        <v>1701</v>
      </c>
      <c r="Q435" s="19">
        <f t="shared" si="133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4">SUM(F437:F440)</f>
        <v>5000</v>
      </c>
      <c r="G436" s="19">
        <f t="shared" si="134"/>
        <v>1450</v>
      </c>
      <c r="H436" s="19">
        <f t="shared" si="134"/>
        <v>5000</v>
      </c>
      <c r="I436" s="19">
        <f t="shared" si="134"/>
        <v>1450</v>
      </c>
      <c r="J436" s="19">
        <f t="shared" si="134"/>
        <v>0</v>
      </c>
      <c r="K436" s="19">
        <f t="shared" si="134"/>
        <v>0</v>
      </c>
      <c r="L436" s="19">
        <f t="shared" si="134"/>
        <v>0</v>
      </c>
      <c r="M436" s="19">
        <f t="shared" si="134"/>
        <v>0</v>
      </c>
      <c r="N436" s="19">
        <f t="shared" si="134"/>
        <v>0</v>
      </c>
      <c r="O436" s="19">
        <f t="shared" si="134"/>
        <v>0</v>
      </c>
      <c r="P436" s="19">
        <f t="shared" si="134"/>
        <v>0</v>
      </c>
      <c r="Q436" s="19">
        <f t="shared" si="134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4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4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5000</v>
      </c>
      <c r="G439" s="37">
        <f t="shared" ref="G439" si="135">SUM(I439:Q439)-K439-M439-P439</f>
        <v>1450</v>
      </c>
      <c r="H439" s="37">
        <v>5000</v>
      </c>
      <c r="I439" s="36">
        <v>1450</v>
      </c>
      <c r="J439" s="36"/>
      <c r="K439" s="36"/>
      <c r="L439" s="36"/>
      <c r="M439" s="36"/>
      <c r="N439" s="36"/>
      <c r="O439" s="36"/>
      <c r="P439" s="36"/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4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6">SUM(F442:F451)</f>
        <v>22701</v>
      </c>
      <c r="G441" s="19">
        <f t="shared" si="136"/>
        <v>1813</v>
      </c>
      <c r="H441" s="19">
        <f t="shared" si="136"/>
        <v>20000</v>
      </c>
      <c r="I441" s="19">
        <f t="shared" si="136"/>
        <v>0</v>
      </c>
      <c r="J441" s="19">
        <f t="shared" si="136"/>
        <v>0</v>
      </c>
      <c r="K441" s="19">
        <f t="shared" si="136"/>
        <v>1000</v>
      </c>
      <c r="L441" s="19">
        <f t="shared" si="136"/>
        <v>0</v>
      </c>
      <c r="M441" s="19">
        <f t="shared" si="136"/>
        <v>0</v>
      </c>
      <c r="N441" s="19">
        <f t="shared" si="136"/>
        <v>0</v>
      </c>
      <c r="O441" s="19">
        <f t="shared" si="136"/>
        <v>0</v>
      </c>
      <c r="P441" s="19">
        <f t="shared" si="136"/>
        <v>1701</v>
      </c>
      <c r="Q441" s="19">
        <f t="shared" si="136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4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0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/>
      <c r="Q443" s="36"/>
    </row>
    <row r="444" spans="1:22" ht="28.5" x14ac:dyDescent="0.4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1390</v>
      </c>
      <c r="G444" s="37">
        <f t="shared" ref="G444" si="137">SUM(I444:Q444)-K444-M444-P444</f>
        <v>1258</v>
      </c>
      <c r="H444" s="522"/>
      <c r="I444" s="36"/>
      <c r="J444" s="36"/>
      <c r="K444" s="36"/>
      <c r="L444" s="36"/>
      <c r="M444" s="36"/>
      <c r="N444" s="36"/>
      <c r="O444" s="36"/>
      <c r="P444" s="36">
        <f>918+100+372</f>
        <v>1390</v>
      </c>
      <c r="Q444" s="36">
        <v>1258</v>
      </c>
      <c r="R444" s="12">
        <v>809</v>
      </c>
      <c r="S444" s="12">
        <v>1124</v>
      </c>
      <c r="T444" s="12">
        <f>S444-R444</f>
        <v>315</v>
      </c>
      <c r="V444" s="400" t="s">
        <v>538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4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4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21311</v>
      </c>
      <c r="G447" s="37">
        <f t="shared" ref="G447" si="138">SUM(I447:Q447)-K447-M447-P447</f>
        <v>555</v>
      </c>
      <c r="H447" s="37">
        <v>20000</v>
      </c>
      <c r="I447" s="36"/>
      <c r="J447" s="36"/>
      <c r="K447" s="36">
        <v>1000</v>
      </c>
      <c r="L447" s="36"/>
      <c r="M447" s="36"/>
      <c r="N447" s="36"/>
      <c r="O447" s="36"/>
      <c r="P447" s="38">
        <v>311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4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4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4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4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4"/>
        <v>0</v>
      </c>
      <c r="H452" s="19"/>
      <c r="I452" s="19">
        <f t="shared" ref="I452:Q452" si="139">I453</f>
        <v>0</v>
      </c>
      <c r="J452" s="19">
        <f t="shared" si="139"/>
        <v>0</v>
      </c>
      <c r="K452" s="19"/>
      <c r="L452" s="19">
        <f t="shared" si="139"/>
        <v>0</v>
      </c>
      <c r="M452" s="19"/>
      <c r="N452" s="19">
        <f t="shared" si="139"/>
        <v>0</v>
      </c>
      <c r="O452" s="19">
        <f t="shared" si="139"/>
        <v>0</v>
      </c>
      <c r="P452" s="19"/>
      <c r="Q452" s="19">
        <f t="shared" si="139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4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4"/>
        <v>0</v>
      </c>
      <c r="H454" s="19"/>
      <c r="I454" s="19">
        <f t="shared" ref="I454:Q454" si="140">I455</f>
        <v>0</v>
      </c>
      <c r="J454" s="19">
        <f t="shared" si="140"/>
        <v>0</v>
      </c>
      <c r="K454" s="19"/>
      <c r="L454" s="19">
        <f t="shared" si="140"/>
        <v>0</v>
      </c>
      <c r="M454" s="19"/>
      <c r="N454" s="19">
        <f t="shared" si="140"/>
        <v>0</v>
      </c>
      <c r="O454" s="19">
        <f t="shared" si="140"/>
        <v>0</v>
      </c>
      <c r="P454" s="19"/>
      <c r="Q454" s="19">
        <f t="shared" si="140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4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1">F457</f>
        <v>0</v>
      </c>
      <c r="G456" s="19">
        <f t="shared" si="141"/>
        <v>0</v>
      </c>
      <c r="H456" s="19">
        <f t="shared" si="141"/>
        <v>0</v>
      </c>
      <c r="I456" s="19">
        <f t="shared" si="141"/>
        <v>0</v>
      </c>
      <c r="J456" s="19">
        <f t="shared" si="141"/>
        <v>0</v>
      </c>
      <c r="K456" s="19">
        <f t="shared" si="141"/>
        <v>0</v>
      </c>
      <c r="L456" s="19">
        <f t="shared" si="141"/>
        <v>0</v>
      </c>
      <c r="M456" s="19">
        <f t="shared" si="141"/>
        <v>0</v>
      </c>
      <c r="N456" s="19">
        <f t="shared" si="141"/>
        <v>0</v>
      </c>
      <c r="O456" s="19">
        <f t="shared" si="141"/>
        <v>0</v>
      </c>
      <c r="P456" s="19">
        <f t="shared" si="141"/>
        <v>0</v>
      </c>
      <c r="Q456" s="19">
        <f t="shared" si="141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0</v>
      </c>
      <c r="G457" s="37">
        <f t="shared" si="114"/>
        <v>0</v>
      </c>
      <c r="H457" s="37"/>
      <c r="I457" s="36"/>
      <c r="J457" s="36"/>
      <c r="K457" s="36"/>
      <c r="L457" s="36"/>
      <c r="M457" s="36"/>
      <c r="N457" s="36"/>
      <c r="O457" s="36"/>
      <c r="P457" s="36">
        <v>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2">SUM(I458:Q458)</f>
        <v>0</v>
      </c>
      <c r="H458" s="19"/>
      <c r="I458" s="19">
        <f t="shared" ref="I458:Q458" si="143">I459+I461+I469</f>
        <v>0</v>
      </c>
      <c r="J458" s="19">
        <f t="shared" si="143"/>
        <v>0</v>
      </c>
      <c r="K458" s="19"/>
      <c r="L458" s="19">
        <f t="shared" si="143"/>
        <v>0</v>
      </c>
      <c r="M458" s="19"/>
      <c r="N458" s="19">
        <f t="shared" si="143"/>
        <v>0</v>
      </c>
      <c r="O458" s="19">
        <f t="shared" si="143"/>
        <v>0</v>
      </c>
      <c r="P458" s="19"/>
      <c r="Q458" s="19">
        <f t="shared" si="143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2"/>
        <v>0</v>
      </c>
      <c r="H459" s="19"/>
      <c r="I459" s="19">
        <f t="shared" ref="I459:Q459" si="144">I460</f>
        <v>0</v>
      </c>
      <c r="J459" s="19">
        <f t="shared" si="144"/>
        <v>0</v>
      </c>
      <c r="K459" s="19"/>
      <c r="L459" s="19">
        <f t="shared" si="144"/>
        <v>0</v>
      </c>
      <c r="M459" s="19"/>
      <c r="N459" s="19">
        <f t="shared" si="144"/>
        <v>0</v>
      </c>
      <c r="O459" s="19">
        <f t="shared" si="144"/>
        <v>0</v>
      </c>
      <c r="P459" s="19"/>
      <c r="Q459" s="19">
        <f t="shared" si="144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2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2"/>
        <v>0</v>
      </c>
      <c r="H461" s="19"/>
      <c r="I461" s="19">
        <f t="shared" ref="I461:Q461" si="145">SUM(I462:I468)</f>
        <v>0</v>
      </c>
      <c r="J461" s="19">
        <f t="shared" si="145"/>
        <v>0</v>
      </c>
      <c r="K461" s="19"/>
      <c r="L461" s="19">
        <f t="shared" si="145"/>
        <v>0</v>
      </c>
      <c r="M461" s="19"/>
      <c r="N461" s="19">
        <f t="shared" si="145"/>
        <v>0</v>
      </c>
      <c r="O461" s="19">
        <f t="shared" si="145"/>
        <v>0</v>
      </c>
      <c r="P461" s="19"/>
      <c r="Q461" s="19">
        <f t="shared" si="145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2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2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2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2"/>
        <v>0</v>
      </c>
      <c r="H469" s="19"/>
      <c r="I469" s="19">
        <f t="shared" ref="I469:Q469" si="146">I470</f>
        <v>0</v>
      </c>
      <c r="J469" s="19">
        <f t="shared" si="146"/>
        <v>0</v>
      </c>
      <c r="K469" s="19"/>
      <c r="L469" s="19">
        <f t="shared" si="146"/>
        <v>0</v>
      </c>
      <c r="M469" s="19"/>
      <c r="N469" s="19">
        <f t="shared" si="146"/>
        <v>0</v>
      </c>
      <c r="O469" s="19">
        <f t="shared" si="146"/>
        <v>0</v>
      </c>
      <c r="P469" s="19"/>
      <c r="Q469" s="19">
        <f t="shared" si="146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2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2"/>
        <v>0</v>
      </c>
      <c r="H471" s="19"/>
      <c r="I471" s="19">
        <f t="shared" ref="I471:Q472" si="147">I472</f>
        <v>0</v>
      </c>
      <c r="J471" s="19">
        <f t="shared" si="147"/>
        <v>0</v>
      </c>
      <c r="K471" s="19"/>
      <c r="L471" s="19">
        <f t="shared" si="147"/>
        <v>0</v>
      </c>
      <c r="M471" s="19"/>
      <c r="N471" s="19">
        <f t="shared" si="147"/>
        <v>0</v>
      </c>
      <c r="O471" s="19">
        <f t="shared" si="147"/>
        <v>0</v>
      </c>
      <c r="P471" s="19"/>
      <c r="Q471" s="19">
        <f t="shared" si="147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2"/>
        <v>0</v>
      </c>
      <c r="H472" s="19"/>
      <c r="I472" s="19">
        <f t="shared" si="147"/>
        <v>0</v>
      </c>
      <c r="J472" s="19">
        <f t="shared" si="147"/>
        <v>0</v>
      </c>
      <c r="K472" s="19"/>
      <c r="L472" s="19">
        <f t="shared" si="147"/>
        <v>0</v>
      </c>
      <c r="M472" s="19"/>
      <c r="N472" s="19">
        <f t="shared" si="147"/>
        <v>0</v>
      </c>
      <c r="O472" s="19">
        <f t="shared" si="147"/>
        <v>0</v>
      </c>
      <c r="P472" s="19"/>
      <c r="Q472" s="19">
        <f t="shared" si="147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2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2"/>
        <v>0</v>
      </c>
      <c r="H474" s="19"/>
      <c r="I474" s="19">
        <f t="shared" ref="I474:Q474" si="148">I475+I477+I479</f>
        <v>0</v>
      </c>
      <c r="J474" s="19">
        <f t="shared" si="148"/>
        <v>0</v>
      </c>
      <c r="K474" s="19"/>
      <c r="L474" s="19">
        <f t="shared" si="148"/>
        <v>0</v>
      </c>
      <c r="M474" s="19"/>
      <c r="N474" s="19">
        <f t="shared" si="148"/>
        <v>0</v>
      </c>
      <c r="O474" s="19">
        <f t="shared" si="148"/>
        <v>0</v>
      </c>
      <c r="P474" s="19"/>
      <c r="Q474" s="19">
        <f t="shared" si="148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2"/>
        <v>0</v>
      </c>
      <c r="H475" s="19"/>
      <c r="I475" s="19">
        <f t="shared" ref="I475:Q475" si="149">I476</f>
        <v>0</v>
      </c>
      <c r="J475" s="19">
        <f t="shared" si="149"/>
        <v>0</v>
      </c>
      <c r="K475" s="19"/>
      <c r="L475" s="19">
        <f t="shared" si="149"/>
        <v>0</v>
      </c>
      <c r="M475" s="19"/>
      <c r="N475" s="19">
        <f t="shared" si="149"/>
        <v>0</v>
      </c>
      <c r="O475" s="19">
        <f t="shared" si="149"/>
        <v>0</v>
      </c>
      <c r="P475" s="19"/>
      <c r="Q475" s="19">
        <f t="shared" si="149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2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2"/>
        <v>0</v>
      </c>
      <c r="H477" s="19"/>
      <c r="I477" s="19">
        <f t="shared" ref="I477:Q477" si="150">I478</f>
        <v>0</v>
      </c>
      <c r="J477" s="19">
        <f t="shared" si="150"/>
        <v>0</v>
      </c>
      <c r="K477" s="19"/>
      <c r="L477" s="19">
        <f t="shared" si="150"/>
        <v>0</v>
      </c>
      <c r="M477" s="19"/>
      <c r="N477" s="19">
        <f t="shared" si="150"/>
        <v>0</v>
      </c>
      <c r="O477" s="19">
        <f t="shared" si="150"/>
        <v>0</v>
      </c>
      <c r="P477" s="19"/>
      <c r="Q477" s="19">
        <f t="shared" si="150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2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2"/>
        <v>0</v>
      </c>
      <c r="H479" s="19"/>
      <c r="I479" s="19">
        <f t="shared" ref="I479:Q479" si="151">I480+I481</f>
        <v>0</v>
      </c>
      <c r="J479" s="19">
        <f t="shared" si="151"/>
        <v>0</v>
      </c>
      <c r="K479" s="19"/>
      <c r="L479" s="19">
        <f t="shared" si="151"/>
        <v>0</v>
      </c>
      <c r="M479" s="19"/>
      <c r="N479" s="19">
        <f t="shared" si="151"/>
        <v>0</v>
      </c>
      <c r="O479" s="19">
        <f t="shared" si="151"/>
        <v>0</v>
      </c>
      <c r="P479" s="19"/>
      <c r="Q479" s="19">
        <f t="shared" si="151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2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2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2"/>
        <v>0</v>
      </c>
      <c r="H482" s="19"/>
      <c r="I482" s="19">
        <f t="shared" ref="I482:Q483" si="152">I483</f>
        <v>0</v>
      </c>
      <c r="J482" s="19">
        <f t="shared" si="152"/>
        <v>0</v>
      </c>
      <c r="K482" s="19"/>
      <c r="L482" s="19">
        <f t="shared" si="152"/>
        <v>0</v>
      </c>
      <c r="M482" s="19"/>
      <c r="N482" s="19">
        <f t="shared" si="152"/>
        <v>0</v>
      </c>
      <c r="O482" s="19">
        <f t="shared" si="152"/>
        <v>0</v>
      </c>
      <c r="P482" s="19"/>
      <c r="Q482" s="19">
        <f t="shared" si="152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2"/>
        <v>0</v>
      </c>
      <c r="H483" s="19"/>
      <c r="I483" s="19">
        <f t="shared" si="152"/>
        <v>0</v>
      </c>
      <c r="J483" s="19">
        <f t="shared" si="152"/>
        <v>0</v>
      </c>
      <c r="K483" s="19"/>
      <c r="L483" s="19">
        <f t="shared" si="152"/>
        <v>0</v>
      </c>
      <c r="M483" s="19"/>
      <c r="N483" s="19">
        <f t="shared" si="152"/>
        <v>0</v>
      </c>
      <c r="O483" s="19">
        <f t="shared" si="152"/>
        <v>0</v>
      </c>
      <c r="P483" s="19"/>
      <c r="Q483" s="19">
        <f t="shared" si="152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2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2"/>
        <v>0</v>
      </c>
      <c r="H485" s="19"/>
      <c r="I485" s="19">
        <f t="shared" ref="I485:Q485" si="153">I486+I515</f>
        <v>0</v>
      </c>
      <c r="J485" s="19">
        <f t="shared" si="153"/>
        <v>0</v>
      </c>
      <c r="K485" s="19"/>
      <c r="L485" s="19">
        <f t="shared" si="153"/>
        <v>0</v>
      </c>
      <c r="M485" s="19"/>
      <c r="N485" s="19">
        <f t="shared" si="153"/>
        <v>0</v>
      </c>
      <c r="O485" s="19">
        <f t="shared" si="153"/>
        <v>0</v>
      </c>
      <c r="P485" s="19"/>
      <c r="Q485" s="19">
        <f t="shared" si="153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2"/>
        <v>0</v>
      </c>
      <c r="H486" s="19"/>
      <c r="I486" s="19">
        <f t="shared" ref="I486:Q486" si="154">I487+I501+I509+I511+I513</f>
        <v>0</v>
      </c>
      <c r="J486" s="19">
        <f t="shared" si="154"/>
        <v>0</v>
      </c>
      <c r="K486" s="19"/>
      <c r="L486" s="19">
        <f t="shared" si="154"/>
        <v>0</v>
      </c>
      <c r="M486" s="19"/>
      <c r="N486" s="19">
        <f t="shared" si="154"/>
        <v>0</v>
      </c>
      <c r="O486" s="19">
        <f t="shared" si="154"/>
        <v>0</v>
      </c>
      <c r="P486" s="19"/>
      <c r="Q486" s="19">
        <f t="shared" si="154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2"/>
        <v>0</v>
      </c>
      <c r="H487" s="19"/>
      <c r="I487" s="19">
        <f t="shared" ref="I487:Q487" si="155">SUM(I488:I500)</f>
        <v>0</v>
      </c>
      <c r="J487" s="19">
        <f t="shared" si="155"/>
        <v>0</v>
      </c>
      <c r="K487" s="19"/>
      <c r="L487" s="19">
        <f t="shared" si="155"/>
        <v>0</v>
      </c>
      <c r="M487" s="19"/>
      <c r="N487" s="19">
        <f t="shared" si="155"/>
        <v>0</v>
      </c>
      <c r="O487" s="19">
        <f t="shared" si="155"/>
        <v>0</v>
      </c>
      <c r="P487" s="19"/>
      <c r="Q487" s="19">
        <f t="shared" si="155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2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2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2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2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2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2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2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2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2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2"/>
        <v>0</v>
      </c>
      <c r="H501" s="19"/>
      <c r="I501" s="19">
        <f t="shared" ref="I501:Q501" si="156">SUM(I502:I508)</f>
        <v>0</v>
      </c>
      <c r="J501" s="19">
        <f t="shared" si="156"/>
        <v>0</v>
      </c>
      <c r="K501" s="19"/>
      <c r="L501" s="19">
        <f t="shared" si="156"/>
        <v>0</v>
      </c>
      <c r="M501" s="19"/>
      <c r="N501" s="19">
        <f t="shared" si="156"/>
        <v>0</v>
      </c>
      <c r="O501" s="19">
        <f t="shared" si="156"/>
        <v>0</v>
      </c>
      <c r="P501" s="19"/>
      <c r="Q501" s="19">
        <f t="shared" si="156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2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2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2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2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2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2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2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2"/>
        <v>0</v>
      </c>
      <c r="H509" s="19"/>
      <c r="I509" s="19">
        <f t="shared" ref="I509:Q509" si="157">I510</f>
        <v>0</v>
      </c>
      <c r="J509" s="19">
        <f t="shared" si="157"/>
        <v>0</v>
      </c>
      <c r="K509" s="19"/>
      <c r="L509" s="19">
        <f t="shared" si="157"/>
        <v>0</v>
      </c>
      <c r="M509" s="19"/>
      <c r="N509" s="19">
        <f t="shared" si="157"/>
        <v>0</v>
      </c>
      <c r="O509" s="19">
        <f t="shared" si="157"/>
        <v>0</v>
      </c>
      <c r="P509" s="19"/>
      <c r="Q509" s="19">
        <f t="shared" si="157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2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2"/>
        <v>0</v>
      </c>
      <c r="H511" s="19"/>
      <c r="I511" s="19">
        <f t="shared" ref="I511:Q513" si="158">I512</f>
        <v>0</v>
      </c>
      <c r="J511" s="19">
        <f t="shared" si="158"/>
        <v>0</v>
      </c>
      <c r="K511" s="19"/>
      <c r="L511" s="19">
        <f t="shared" si="158"/>
        <v>0</v>
      </c>
      <c r="M511" s="19"/>
      <c r="N511" s="19">
        <f t="shared" si="158"/>
        <v>0</v>
      </c>
      <c r="O511" s="19">
        <f t="shared" si="158"/>
        <v>0</v>
      </c>
      <c r="P511" s="19"/>
      <c r="Q511" s="19">
        <f t="shared" si="158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2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2"/>
        <v>0</v>
      </c>
      <c r="H513" s="19"/>
      <c r="I513" s="19">
        <f t="shared" si="158"/>
        <v>0</v>
      </c>
      <c r="J513" s="19">
        <f t="shared" si="158"/>
        <v>0</v>
      </c>
      <c r="K513" s="19"/>
      <c r="L513" s="19">
        <f t="shared" si="158"/>
        <v>0</v>
      </c>
      <c r="M513" s="19"/>
      <c r="N513" s="19">
        <f t="shared" si="158"/>
        <v>0</v>
      </c>
      <c r="O513" s="19">
        <f t="shared" si="158"/>
        <v>0</v>
      </c>
      <c r="P513" s="19"/>
      <c r="Q513" s="19">
        <f t="shared" si="158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2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2"/>
        <v>0</v>
      </c>
      <c r="H515" s="19"/>
      <c r="I515" s="19">
        <f t="shared" ref="I515:Q515" si="159">I516+I530+I539</f>
        <v>0</v>
      </c>
      <c r="J515" s="19">
        <f t="shared" si="159"/>
        <v>0</v>
      </c>
      <c r="K515" s="19"/>
      <c r="L515" s="19">
        <f t="shared" si="159"/>
        <v>0</v>
      </c>
      <c r="M515" s="19"/>
      <c r="N515" s="19">
        <f t="shared" si="159"/>
        <v>0</v>
      </c>
      <c r="O515" s="19">
        <f t="shared" si="159"/>
        <v>0</v>
      </c>
      <c r="P515" s="19"/>
      <c r="Q515" s="19">
        <f t="shared" si="159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2"/>
        <v>0</v>
      </c>
      <c r="H516" s="19"/>
      <c r="I516" s="19">
        <f t="shared" ref="I516:Q516" si="160">SUM(I517:I529)</f>
        <v>0</v>
      </c>
      <c r="J516" s="19">
        <f t="shared" si="160"/>
        <v>0</v>
      </c>
      <c r="K516" s="19"/>
      <c r="L516" s="19">
        <f t="shared" si="160"/>
        <v>0</v>
      </c>
      <c r="M516" s="19"/>
      <c r="N516" s="19">
        <f t="shared" si="160"/>
        <v>0</v>
      </c>
      <c r="O516" s="19">
        <f t="shared" si="160"/>
        <v>0</v>
      </c>
      <c r="P516" s="19"/>
      <c r="Q516" s="19">
        <f t="shared" si="160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2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2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2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2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2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2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2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2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2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2"/>
        <v>0</v>
      </c>
      <c r="H530" s="19"/>
      <c r="I530" s="19">
        <f t="shared" ref="I530:Q530" si="161">SUM(I531:I538)</f>
        <v>0</v>
      </c>
      <c r="J530" s="19">
        <f t="shared" si="161"/>
        <v>0</v>
      </c>
      <c r="K530" s="19"/>
      <c r="L530" s="19">
        <f t="shared" si="161"/>
        <v>0</v>
      </c>
      <c r="M530" s="19"/>
      <c r="N530" s="19">
        <f t="shared" si="161"/>
        <v>0</v>
      </c>
      <c r="O530" s="19">
        <f t="shared" si="161"/>
        <v>0</v>
      </c>
      <c r="P530" s="19"/>
      <c r="Q530" s="19">
        <f t="shared" si="161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2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2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2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2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2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2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2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2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2"/>
        <v>0</v>
      </c>
      <c r="H539" s="19"/>
      <c r="I539" s="19">
        <f t="shared" ref="I539:Q539" si="163">I540</f>
        <v>0</v>
      </c>
      <c r="J539" s="19">
        <f t="shared" si="163"/>
        <v>0</v>
      </c>
      <c r="K539" s="19"/>
      <c r="L539" s="19">
        <f t="shared" si="163"/>
        <v>0</v>
      </c>
      <c r="M539" s="19"/>
      <c r="N539" s="19">
        <f t="shared" si="163"/>
        <v>0</v>
      </c>
      <c r="O539" s="19">
        <f t="shared" si="163"/>
        <v>0</v>
      </c>
      <c r="P539" s="19"/>
      <c r="Q539" s="19">
        <f t="shared" si="163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2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4">E219+E485</f>
        <v>1500538</v>
      </c>
      <c r="F541" s="19">
        <f t="shared" si="164"/>
        <v>1642110</v>
      </c>
      <c r="G541" s="19">
        <f t="shared" si="164"/>
        <v>1138166</v>
      </c>
      <c r="H541" s="19">
        <f t="shared" si="164"/>
        <v>26000</v>
      </c>
      <c r="I541" s="19">
        <f t="shared" si="164"/>
        <v>1577</v>
      </c>
      <c r="J541" s="19">
        <f t="shared" si="164"/>
        <v>0</v>
      </c>
      <c r="K541" s="19">
        <f t="shared" si="164"/>
        <v>1000</v>
      </c>
      <c r="L541" s="19">
        <f t="shared" si="164"/>
        <v>1273</v>
      </c>
      <c r="M541" s="19">
        <f t="shared" si="164"/>
        <v>1602374</v>
      </c>
      <c r="N541" s="19">
        <f t="shared" si="164"/>
        <v>1125638</v>
      </c>
      <c r="O541" s="19">
        <f t="shared" si="164"/>
        <v>0</v>
      </c>
      <c r="P541" s="19">
        <f t="shared" si="164"/>
        <v>12736</v>
      </c>
      <c r="Q541" s="19">
        <f t="shared" si="164"/>
        <v>9668</v>
      </c>
    </row>
    <row r="542" spans="1:17" hidden="1" x14ac:dyDescent="0.25"/>
    <row r="543" spans="1:17" hidden="1" x14ac:dyDescent="0.25">
      <c r="F543" s="44">
        <f>F210-F541</f>
        <v>264</v>
      </c>
      <c r="G543" s="44"/>
      <c r="H543" s="44">
        <f>H210-H541</f>
        <v>0</v>
      </c>
      <c r="I543" s="44"/>
      <c r="J543" s="44">
        <f>J210-J541</f>
        <v>0</v>
      </c>
      <c r="K543" s="44">
        <f>K210-K541</f>
        <v>0</v>
      </c>
      <c r="L543" s="44"/>
      <c r="M543" s="44">
        <f>M210-M541</f>
        <v>0</v>
      </c>
      <c r="N543" s="44"/>
      <c r="O543" s="44">
        <f>O210-O541</f>
        <v>0</v>
      </c>
      <c r="P543" s="60">
        <f>P210-P541</f>
        <v>264</v>
      </c>
      <c r="Q543" s="44" t="s">
        <v>469</v>
      </c>
    </row>
    <row r="544" spans="1:17" hidden="1" x14ac:dyDescent="0.25"/>
    <row r="545" spans="1:24" hidden="1" x14ac:dyDescent="0.25">
      <c r="M545" s="44">
        <v>55285</v>
      </c>
    </row>
    <row r="546" spans="1:24" hidden="1" x14ac:dyDescent="0.25">
      <c r="K546" s="12" t="s">
        <v>463</v>
      </c>
      <c r="L546" s="44">
        <v>50421</v>
      </c>
      <c r="M546" s="44">
        <f>M249+M251+M252+M253+M257+M264+M265+M266+M267+M269+M274+M278+M281+M282+M284+M285+M287+M289+M312+M313</f>
        <v>55285</v>
      </c>
      <c r="N546" s="44">
        <f>L546-M546</f>
        <v>-4864</v>
      </c>
      <c r="P546" s="44">
        <f>M546-M545</f>
        <v>0</v>
      </c>
    </row>
    <row r="547" spans="1:24" s="127" customFormat="1" ht="24.75" customHeight="1" x14ac:dyDescent="0.25">
      <c r="A547" s="531" t="s">
        <v>509</v>
      </c>
      <c r="B547" s="532"/>
      <c r="C547" s="533"/>
      <c r="D547" s="124"/>
      <c r="E547" s="125"/>
      <c r="F547" s="125">
        <f>F210-F541</f>
        <v>264</v>
      </c>
      <c r="G547" s="125">
        <f t="shared" ref="G547" si="165">G210-G541</f>
        <v>1892812</v>
      </c>
      <c r="H547" s="126">
        <f>H210-H541</f>
        <v>0</v>
      </c>
      <c r="I547" s="125">
        <f t="shared" ref="I547:P547" si="166">I210-I541</f>
        <v>17161</v>
      </c>
      <c r="J547" s="125">
        <f t="shared" si="166"/>
        <v>0</v>
      </c>
      <c r="K547" s="126">
        <f t="shared" si="166"/>
        <v>0</v>
      </c>
      <c r="L547" s="126">
        <f t="shared" si="166"/>
        <v>-768</v>
      </c>
      <c r="M547" s="126">
        <f t="shared" si="166"/>
        <v>0</v>
      </c>
      <c r="N547" s="125">
        <f t="shared" si="166"/>
        <v>272554</v>
      </c>
      <c r="O547" s="125">
        <f t="shared" si="166"/>
        <v>0</v>
      </c>
      <c r="P547" s="125">
        <f t="shared" si="166"/>
        <v>264</v>
      </c>
      <c r="X547" s="405"/>
    </row>
    <row r="549" spans="1:24" hidden="1" x14ac:dyDescent="0.25">
      <c r="F549" s="44">
        <f>F210-F541</f>
        <v>264</v>
      </c>
      <c r="M549" s="44">
        <f>M249+M251+M252+M253+M257+M264+M265+M266+M267+M269+M274+M278+M281+M282+M284+M285+M287+M289+M312+M313</f>
        <v>55285</v>
      </c>
    </row>
  </sheetData>
  <mergeCells count="187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47:C547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E238:Q269 H432:H443 I432:Q462 E432:G462 E104:E127 G120:M121 G104:Q119 E467:Q490 E379:Q399 E353:Q374 E323:Q348 E404:Q427 E522:Q541 E219:Q233 E274:Q318 H445:H462 E132:E154 G132:Q154 G122:Q127 G74:Q99 E74:E99 E6:Q10 E207:Q211 E185:Q202 E159:Q180 E47:Q69 E15:Q42 F74:F154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99FF"/>
  </sheetPr>
  <dimension ref="A1:X549"/>
  <sheetViews>
    <sheetView topLeftCell="C1" workbookViewId="0">
      <selection activeCell="C1" sqref="A1:XFD1048576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10.42578125" style="12" customWidth="1"/>
    <col min="7" max="7" width="1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7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2" width="0" style="12" hidden="1" customWidth="1"/>
    <col min="23" max="23" width="4.85546875" style="12" customWidth="1"/>
    <col min="24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1646574</v>
      </c>
      <c r="G6" s="19">
        <f t="shared" ref="G6:Q6" si="0">G7+G133</f>
        <v>3030978</v>
      </c>
      <c r="H6" s="19">
        <f t="shared" si="0"/>
        <v>30200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1602374</v>
      </c>
      <c r="N6" s="19">
        <f t="shared" si="0"/>
        <v>1398192</v>
      </c>
      <c r="O6" s="19">
        <f t="shared" si="0"/>
        <v>0</v>
      </c>
      <c r="P6" s="19">
        <f t="shared" si="0"/>
        <v>13000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1646374</v>
      </c>
      <c r="G7" s="19">
        <f>G8+G60+G74+G86+G115+G122+G126</f>
        <v>3030794</v>
      </c>
      <c r="H7" s="19">
        <f t="shared" ref="H7:Q7" si="1">H8+H60+H74+H86+H115+H122+H126</f>
        <v>30200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1602374</v>
      </c>
      <c r="N7" s="19">
        <f t="shared" si="1"/>
        <v>1398192</v>
      </c>
      <c r="O7" s="19">
        <f t="shared" si="1"/>
        <v>0</v>
      </c>
      <c r="P7" s="19">
        <f t="shared" si="1"/>
        <v>12800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15300</v>
      </c>
      <c r="G86" s="19">
        <f t="shared" ref="G86:Q86" si="21">G87+G94+G99+G110+G113</f>
        <v>14780</v>
      </c>
      <c r="H86" s="19">
        <f>H87+H94+H99+H110+H113</f>
        <v>1000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f>M87+M94+M120</f>
        <v>1500</v>
      </c>
      <c r="N86" s="19">
        <f t="shared" si="21"/>
        <v>1130</v>
      </c>
      <c r="O86" s="19">
        <f t="shared" si="21"/>
        <v>0</v>
      </c>
      <c r="P86" s="19">
        <f>P87+P94+P99+P110+P113+P120</f>
        <v>12800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1500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1500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1500</v>
      </c>
      <c r="G91" s="37">
        <f>SUM(I91:Q91)-K91-M91-P91</f>
        <v>1130</v>
      </c>
      <c r="H91" s="37"/>
      <c r="I91" s="38"/>
      <c r="J91" s="38"/>
      <c r="K91" s="38"/>
      <c r="L91" s="38"/>
      <c r="M91" s="38">
        <v>1500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1000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12700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1000</v>
      </c>
      <c r="I97" s="36">
        <v>1165</v>
      </c>
      <c r="J97" s="36"/>
      <c r="K97" s="36"/>
      <c r="L97" s="36"/>
      <c r="M97" s="36"/>
      <c r="N97" s="36"/>
      <c r="O97" s="36"/>
      <c r="P97" s="36">
        <v>7700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22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22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22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22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22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22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22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22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2997936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22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22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1600874</v>
      </c>
      <c r="G122" s="19">
        <f t="shared" ref="G122:Q122" si="33">G123</f>
        <v>2997936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1600874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22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1600874</v>
      </c>
      <c r="G123" s="19">
        <f t="shared" ref="G123:Q123" si="34">G124+G125</f>
        <v>2997936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1600874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22" ht="28.5" x14ac:dyDescent="0.4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1600874</v>
      </c>
      <c r="G124" s="37">
        <f>SUM(I124:Q124)</f>
        <v>2997936</v>
      </c>
      <c r="H124" s="37"/>
      <c r="I124" s="36"/>
      <c r="J124" s="36"/>
      <c r="K124" s="36"/>
      <c r="L124" s="36"/>
      <c r="M124" s="36">
        <f>'izmena 22.06.2023.četvrta'!M124</f>
        <v>1600874</v>
      </c>
      <c r="N124" s="36">
        <v>1397062</v>
      </c>
      <c r="O124" s="36"/>
      <c r="P124" s="36"/>
      <c r="Q124" s="72"/>
      <c r="V124" s="388" t="s">
        <v>538</v>
      </c>
    </row>
    <row r="125" spans="1:22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22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30200</v>
      </c>
      <c r="G126" s="19">
        <f t="shared" ref="G126:Q126" si="36">G127</f>
        <v>18078</v>
      </c>
      <c r="H126" s="19">
        <f>H127</f>
        <v>29200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22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30200</v>
      </c>
      <c r="G127" s="19">
        <f t="shared" ref="G127:Q127" si="37">G132</f>
        <v>18078</v>
      </c>
      <c r="H127" s="19">
        <f t="shared" si="37"/>
        <v>29200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22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22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22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22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22" ht="26.25" x14ac:dyDescent="0.4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30200</v>
      </c>
      <c r="G132" s="389">
        <f>SUM(I132:Q132)-K132-M132-P132</f>
        <v>18078</v>
      </c>
      <c r="H132" s="389">
        <f>25000+4200</f>
        <v>29200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  <c r="V132" s="388" t="s">
        <v>538</v>
      </c>
    </row>
    <row r="133" spans="1:22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22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>K135+K137+K139</f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22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22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22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22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22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22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22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22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22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22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1646574</v>
      </c>
      <c r="G210" s="42">
        <f t="shared" si="61"/>
        <v>3030978</v>
      </c>
      <c r="H210" s="42">
        <f t="shared" si="61"/>
        <v>30200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1602374</v>
      </c>
      <c r="N210" s="42">
        <f t="shared" si="61"/>
        <v>1398192</v>
      </c>
      <c r="O210" s="42">
        <f t="shared" si="61"/>
        <v>0</v>
      </c>
      <c r="P210" s="42">
        <f t="shared" si="61"/>
        <v>13000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1646323</v>
      </c>
      <c r="G219" s="19">
        <f t="shared" si="62"/>
        <v>1138166</v>
      </c>
      <c r="H219" s="19">
        <f t="shared" si="62"/>
        <v>30200</v>
      </c>
      <c r="I219" s="19">
        <f t="shared" si="62"/>
        <v>1577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1602374</v>
      </c>
      <c r="N219" s="19">
        <f t="shared" si="62"/>
        <v>1125638</v>
      </c>
      <c r="O219" s="19">
        <f t="shared" si="62"/>
        <v>0</v>
      </c>
      <c r="P219" s="19">
        <f t="shared" si="62"/>
        <v>12749</v>
      </c>
      <c r="Q219" s="19">
        <f t="shared" si="62"/>
        <v>9668</v>
      </c>
      <c r="R219" s="44">
        <f>H219+K219+M219+P219</f>
        <v>1646323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1614422</v>
      </c>
      <c r="G220" s="19">
        <f t="shared" ref="G220:Q220" si="63">G221+G247+G314+G333+G361+G374+G394+G413</f>
        <v>1134903</v>
      </c>
      <c r="H220" s="19">
        <f t="shared" si="63"/>
        <v>1000</v>
      </c>
      <c r="I220" s="19">
        <f t="shared" si="63"/>
        <v>127</v>
      </c>
      <c r="J220" s="19">
        <f t="shared" si="63"/>
        <v>0</v>
      </c>
      <c r="K220" s="19">
        <f t="shared" si="63"/>
        <v>0</v>
      </c>
      <c r="L220" s="19">
        <f t="shared" si="63"/>
        <v>1273</v>
      </c>
      <c r="M220" s="19">
        <f t="shared" si="63"/>
        <v>1602374</v>
      </c>
      <c r="N220" s="19">
        <f t="shared" si="63"/>
        <v>1125638</v>
      </c>
      <c r="O220" s="19">
        <f t="shared" si="63"/>
        <v>0</v>
      </c>
      <c r="P220" s="19">
        <f t="shared" si="63"/>
        <v>11048</v>
      </c>
      <c r="Q220" s="19">
        <f t="shared" si="63"/>
        <v>7855</v>
      </c>
      <c r="R220" s="44">
        <f>F220+F434</f>
        <v>1646323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1216506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1212877</v>
      </c>
      <c r="N221" s="19">
        <f t="shared" si="64"/>
        <v>1025065</v>
      </c>
      <c r="O221" s="19">
        <f t="shared" si="64"/>
        <v>0</v>
      </c>
      <c r="P221" s="19">
        <f t="shared" si="64"/>
        <v>3629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1010985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1008061</v>
      </c>
      <c r="N222" s="19">
        <f t="shared" si="65"/>
        <v>849796</v>
      </c>
      <c r="O222" s="19">
        <f t="shared" si="65"/>
        <v>0</v>
      </c>
      <c r="P222" s="19">
        <f t="shared" si="65"/>
        <v>2924</v>
      </c>
      <c r="Q222" s="19">
        <f t="shared" si="65"/>
        <v>1989</v>
      </c>
    </row>
    <row r="223" spans="1:18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1010985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1008061</v>
      </c>
      <c r="N223" s="36">
        <f>851785-1989</f>
        <v>849796</v>
      </c>
      <c r="O223" s="36"/>
      <c r="P223" s="36">
        <v>2924</v>
      </c>
      <c r="Q223" s="36">
        <v>1989</v>
      </c>
      <c r="R223" s="44">
        <f>M223+P223</f>
        <v>1010985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153194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152721</v>
      </c>
      <c r="N224" s="19">
        <f t="shared" si="66"/>
        <v>141535</v>
      </c>
      <c r="O224" s="19">
        <f t="shared" si="66"/>
        <v>0</v>
      </c>
      <c r="P224" s="19">
        <f t="shared" si="66"/>
        <v>473</v>
      </c>
      <c r="Q224" s="19">
        <f t="shared" si="66"/>
        <v>331</v>
      </c>
    </row>
    <row r="225" spans="1:22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101128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100806</v>
      </c>
      <c r="N225" s="36">
        <f>97986-229</f>
        <v>97757</v>
      </c>
      <c r="O225" s="36"/>
      <c r="P225" s="36">
        <v>322</v>
      </c>
      <c r="Q225" s="36">
        <v>229</v>
      </c>
    </row>
    <row r="226" spans="1:22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52066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51915</v>
      </c>
      <c r="N226" s="36">
        <f>43880-102</f>
        <v>43778</v>
      </c>
      <c r="O226" s="36"/>
      <c r="P226" s="36">
        <v>151</v>
      </c>
      <c r="Q226" s="36">
        <v>102</v>
      </c>
    </row>
    <row r="227" spans="1:22" ht="15" hidden="1" customHeight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22" ht="15" hidden="1" customHeight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22" ht="15" hidden="1" customHeight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22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9632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9400</v>
      </c>
      <c r="N230" s="19">
        <f t="shared" si="69"/>
        <v>4959</v>
      </c>
      <c r="O230" s="19">
        <f t="shared" si="69"/>
        <v>0</v>
      </c>
      <c r="P230" s="19">
        <f t="shared" si="69"/>
        <v>232</v>
      </c>
      <c r="Q230" s="19">
        <f t="shared" si="69"/>
        <v>280</v>
      </c>
    </row>
    <row r="231" spans="1:22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22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22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8432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v>8200</v>
      </c>
      <c r="N233" s="36">
        <v>3654</v>
      </c>
      <c r="O233" s="36"/>
      <c r="P233" s="36">
        <v>232</v>
      </c>
      <c r="Q233" s="36">
        <v>280</v>
      </c>
    </row>
    <row r="234" spans="1:22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22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22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22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22" ht="54" x14ac:dyDescent="0.4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1200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1200</v>
      </c>
      <c r="N238" s="36">
        <v>1305</v>
      </c>
      <c r="O238" s="36"/>
      <c r="P238" s="36"/>
      <c r="Q238" s="36"/>
      <c r="V238" s="388" t="s">
        <v>538</v>
      </c>
    </row>
    <row r="239" spans="1:22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28788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28788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22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28788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28788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13907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13907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13907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13907</v>
      </c>
      <c r="N242" s="36">
        <v>9143</v>
      </c>
      <c r="O242" s="36"/>
      <c r="P242" s="36"/>
      <c r="Q242" s="36"/>
    </row>
    <row r="243" spans="1:18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386936</v>
      </c>
      <c r="G247" s="19">
        <f t="shared" si="74"/>
        <v>99459</v>
      </c>
      <c r="H247" s="19">
        <f t="shared" si="74"/>
        <v>1000</v>
      </c>
      <c r="I247" s="19">
        <f t="shared" si="74"/>
        <v>127</v>
      </c>
      <c r="J247" s="19">
        <f t="shared" si="74"/>
        <v>0</v>
      </c>
      <c r="K247" s="19">
        <f t="shared" si="74"/>
        <v>0</v>
      </c>
      <c r="L247" s="19">
        <f t="shared" si="74"/>
        <v>1273</v>
      </c>
      <c r="M247" s="19">
        <f t="shared" si="74"/>
        <v>379417</v>
      </c>
      <c r="N247" s="19">
        <f t="shared" si="74"/>
        <v>93155</v>
      </c>
      <c r="O247" s="19">
        <f t="shared" si="74"/>
        <v>0</v>
      </c>
      <c r="P247" s="19">
        <f t="shared" si="74"/>
        <v>6519</v>
      </c>
      <c r="Q247" s="19">
        <f t="shared" si="74"/>
        <v>4904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116727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115584</v>
      </c>
      <c r="N248" s="19">
        <f t="shared" si="75"/>
        <v>80545</v>
      </c>
      <c r="O248" s="19">
        <f t="shared" si="75"/>
        <v>0</v>
      </c>
      <c r="P248" s="19">
        <f t="shared" si="75"/>
        <v>1143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1580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1500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98556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v>98306</v>
      </c>
      <c r="N250" s="36">
        <v>65188</v>
      </c>
      <c r="O250" s="36"/>
      <c r="P250" s="36">
        <v>250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11326</v>
      </c>
      <c r="G251" s="37">
        <f t="shared" si="76"/>
        <v>9465</v>
      </c>
      <c r="H251" s="37"/>
      <c r="I251" s="36"/>
      <c r="J251" s="36"/>
      <c r="K251" s="36"/>
      <c r="L251" s="36"/>
      <c r="M251" s="36">
        <f>11500-360-414</f>
        <v>10726</v>
      </c>
      <c r="N251" s="36">
        <v>9410</v>
      </c>
      <c r="O251" s="36"/>
      <c r="P251" s="36">
        <v>600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2040</v>
      </c>
      <c r="G252" s="37">
        <f t="shared" si="76"/>
        <v>2113</v>
      </c>
      <c r="H252" s="37"/>
      <c r="I252" s="36"/>
      <c r="J252" s="36"/>
      <c r="K252" s="36"/>
      <c r="L252" s="36"/>
      <c r="M252" s="36">
        <f>2016+24</f>
        <v>2040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3225</v>
      </c>
      <c r="G253" s="37">
        <f t="shared" si="76"/>
        <v>2612</v>
      </c>
      <c r="H253" s="37"/>
      <c r="I253" s="36"/>
      <c r="J253" s="36"/>
      <c r="K253" s="36"/>
      <c r="L253" s="36"/>
      <c r="M253" s="36">
        <f>3000+12</f>
        <v>3012</v>
      </c>
      <c r="N253" s="36">
        <v>2591</v>
      </c>
      <c r="O253" s="36"/>
      <c r="P253" s="36">
        <f>200+13</f>
        <v>213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624</v>
      </c>
      <c r="G256" s="19">
        <f t="shared" si="77"/>
        <v>451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184</v>
      </c>
      <c r="N256" s="19">
        <f t="shared" si="77"/>
        <v>0</v>
      </c>
      <c r="O256" s="19">
        <f t="shared" si="77"/>
        <v>0</v>
      </c>
      <c r="P256" s="19">
        <f t="shared" si="77"/>
        <v>440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624</v>
      </c>
      <c r="G257" s="37">
        <f t="shared" ref="G257" si="78">SUM(I257:Q257)-K257-M257-P257</f>
        <v>451</v>
      </c>
      <c r="H257" s="37"/>
      <c r="I257" s="36"/>
      <c r="J257" s="36"/>
      <c r="K257" s="36"/>
      <c r="L257" s="36"/>
      <c r="M257" s="36">
        <v>184</v>
      </c>
      <c r="N257" s="36"/>
      <c r="O257" s="36"/>
      <c r="P257" s="36">
        <v>440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9869</v>
      </c>
      <c r="G262" s="19">
        <f t="shared" si="79"/>
        <v>70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7274</v>
      </c>
      <c r="N262" s="19">
        <f t="shared" si="79"/>
        <v>0</v>
      </c>
      <c r="O262" s="19">
        <f t="shared" si="79"/>
        <v>0</v>
      </c>
      <c r="P262" s="19">
        <f t="shared" si="79"/>
        <v>2595</v>
      </c>
      <c r="Q262" s="19">
        <f t="shared" si="79"/>
        <v>70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3852</v>
      </c>
      <c r="G264" s="37">
        <f t="shared" ref="G264" si="80">SUM(I264:Q264)-K264-M264-P264</f>
        <v>70</v>
      </c>
      <c r="H264" s="37"/>
      <c r="I264" s="36"/>
      <c r="J264" s="36"/>
      <c r="K264" s="36"/>
      <c r="L264" s="36"/>
      <c r="M264" s="36">
        <f>3900-48</f>
        <v>3852</v>
      </c>
      <c r="N264" s="36"/>
      <c r="O264" s="36"/>
      <c r="P264" s="36"/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3772</v>
      </c>
      <c r="G265" s="37"/>
      <c r="H265" s="37"/>
      <c r="I265" s="36"/>
      <c r="J265" s="36"/>
      <c r="K265" s="36"/>
      <c r="L265" s="36"/>
      <c r="M265" s="36">
        <f>2800+522</f>
        <v>3322</v>
      </c>
      <c r="N265" s="36"/>
      <c r="O265" s="36"/>
      <c r="P265" s="36">
        <f>900-522+72</f>
        <v>450</v>
      </c>
      <c r="Q265" s="36"/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100</v>
      </c>
      <c r="G266" s="37"/>
      <c r="H266" s="37"/>
      <c r="I266" s="36"/>
      <c r="J266" s="36"/>
      <c r="K266" s="36"/>
      <c r="L266" s="36"/>
      <c r="M266" s="36">
        <v>100</v>
      </c>
      <c r="N266" s="36"/>
      <c r="O266" s="36"/>
      <c r="P266" s="36"/>
      <c r="Q266" s="36"/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1667</v>
      </c>
      <c r="G267" s="37"/>
      <c r="H267" s="37"/>
      <c r="I267" s="36"/>
      <c r="J267" s="36"/>
      <c r="K267" s="36"/>
      <c r="L267" s="36"/>
      <c r="M267" s="36"/>
      <c r="N267" s="36"/>
      <c r="O267" s="36"/>
      <c r="P267" s="36">
        <v>1667</v>
      </c>
      <c r="Q267" s="36"/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/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/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/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/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/>
      <c r="H271" s="476"/>
      <c r="I271" s="544"/>
      <c r="J271" s="545"/>
      <c r="K271" s="545"/>
      <c r="L271" s="545"/>
      <c r="M271" s="545"/>
      <c r="N271" s="545"/>
      <c r="O271" s="544"/>
      <c r="P271" s="476"/>
      <c r="Q271" s="544"/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/>
      <c r="J272" s="476"/>
      <c r="K272" s="476"/>
      <c r="L272" s="476"/>
      <c r="M272" s="476"/>
      <c r="N272" s="476"/>
      <c r="O272" s="545"/>
      <c r="P272" s="477"/>
      <c r="Q272" s="545"/>
    </row>
    <row r="273" spans="1:22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</row>
    <row r="274" spans="1:22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278</v>
      </c>
      <c r="G274" s="37"/>
      <c r="H274" s="37"/>
      <c r="I274" s="36"/>
      <c r="J274" s="36"/>
      <c r="K274" s="36"/>
      <c r="L274" s="36"/>
      <c r="M274" s="36"/>
      <c r="N274" s="36"/>
      <c r="O274" s="36"/>
      <c r="P274" s="36">
        <v>278</v>
      </c>
      <c r="Q274" s="36"/>
    </row>
    <row r="275" spans="1:22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1">SUM(F276:F282)</f>
        <v>3095</v>
      </c>
      <c r="G275" s="19">
        <f t="shared" si="81"/>
        <v>450</v>
      </c>
      <c r="H275" s="19">
        <f t="shared" si="81"/>
        <v>0</v>
      </c>
      <c r="I275" s="19">
        <f t="shared" si="81"/>
        <v>0</v>
      </c>
      <c r="J275" s="19">
        <f t="shared" si="81"/>
        <v>0</v>
      </c>
      <c r="K275" s="19">
        <f t="shared" si="81"/>
        <v>0</v>
      </c>
      <c r="L275" s="19">
        <f t="shared" si="81"/>
        <v>0</v>
      </c>
      <c r="M275" s="19">
        <f t="shared" si="81"/>
        <v>2981</v>
      </c>
      <c r="N275" s="19">
        <f t="shared" si="81"/>
        <v>0</v>
      </c>
      <c r="O275" s="19">
        <f t="shared" si="81"/>
        <v>0</v>
      </c>
      <c r="P275" s="19">
        <f t="shared" si="81"/>
        <v>114</v>
      </c>
      <c r="Q275" s="19">
        <f t="shared" si="81"/>
        <v>450</v>
      </c>
    </row>
    <row r="276" spans="1:22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2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2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1400</v>
      </c>
      <c r="G278" s="37">
        <f t="shared" ref="G278" si="82">SUM(I278:Q278)-K278-M278-P278</f>
        <v>109</v>
      </c>
      <c r="H278" s="37"/>
      <c r="I278" s="36"/>
      <c r="J278" s="36"/>
      <c r="K278" s="36"/>
      <c r="L278" s="36"/>
      <c r="M278" s="36">
        <v>1400</v>
      </c>
      <c r="N278" s="36"/>
      <c r="O278" s="36"/>
      <c r="P278" s="36"/>
      <c r="Q278" s="36">
        <v>109</v>
      </c>
      <c r="R278" s="47"/>
      <c r="T278" s="47"/>
    </row>
    <row r="279" spans="1:22" ht="15" hidden="1" customHeight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2" ht="26.25" hidden="1" customHeight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2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330</v>
      </c>
      <c r="G281" s="37">
        <f t="shared" ref="G281:G282" si="83">SUM(I281:Q281)-K281-M281-P281</f>
        <v>51</v>
      </c>
      <c r="H281" s="37"/>
      <c r="I281" s="36"/>
      <c r="J281" s="36"/>
      <c r="K281" s="36"/>
      <c r="L281" s="36"/>
      <c r="M281" s="36">
        <f>300-72-12</f>
        <v>216</v>
      </c>
      <c r="N281" s="36"/>
      <c r="O281" s="36"/>
      <c r="P281" s="36">
        <v>114</v>
      </c>
      <c r="Q281" s="36">
        <v>51</v>
      </c>
    </row>
    <row r="282" spans="1:22" ht="23.25" x14ac:dyDescent="0.3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1365</v>
      </c>
      <c r="G282" s="37">
        <f t="shared" si="83"/>
        <v>290</v>
      </c>
      <c r="H282" s="37"/>
      <c r="I282" s="36"/>
      <c r="J282" s="36"/>
      <c r="K282" s="36"/>
      <c r="L282" s="36"/>
      <c r="M282" s="36">
        <f>1600+108-60-283</f>
        <v>1365</v>
      </c>
      <c r="N282" s="36"/>
      <c r="O282" s="36"/>
      <c r="P282" s="36">
        <f>212-212</f>
        <v>0</v>
      </c>
      <c r="Q282" s="36">
        <v>290</v>
      </c>
      <c r="R282" s="12">
        <v>1059</v>
      </c>
      <c r="S282" s="12" t="s">
        <v>504</v>
      </c>
      <c r="V282" s="393" t="s">
        <v>540</v>
      </c>
    </row>
    <row r="283" spans="1:22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4">F284+F285</f>
        <v>15236</v>
      </c>
      <c r="G283" s="19">
        <f t="shared" si="84"/>
        <v>755</v>
      </c>
      <c r="H283" s="19">
        <f t="shared" si="84"/>
        <v>0</v>
      </c>
      <c r="I283" s="19">
        <f t="shared" si="84"/>
        <v>0</v>
      </c>
      <c r="J283" s="19">
        <f t="shared" si="84"/>
        <v>0</v>
      </c>
      <c r="K283" s="19">
        <f t="shared" si="84"/>
        <v>0</v>
      </c>
      <c r="L283" s="19">
        <f t="shared" si="84"/>
        <v>0</v>
      </c>
      <c r="M283" s="19">
        <f t="shared" si="84"/>
        <v>15236</v>
      </c>
      <c r="N283" s="19">
        <f t="shared" si="84"/>
        <v>100</v>
      </c>
      <c r="O283" s="19">
        <f t="shared" si="84"/>
        <v>0</v>
      </c>
      <c r="P283" s="19">
        <f t="shared" si="84"/>
        <v>0</v>
      </c>
      <c r="Q283" s="19">
        <f t="shared" si="84"/>
        <v>655</v>
      </c>
    </row>
    <row r="284" spans="1:22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5600</v>
      </c>
      <c r="G284" s="37">
        <f t="shared" ref="G284:G285" si="85">SUM(I284:Q284)-K284-M284-P284</f>
        <v>100</v>
      </c>
      <c r="H284" s="37"/>
      <c r="I284" s="36"/>
      <c r="J284" s="36"/>
      <c r="K284" s="36"/>
      <c r="L284" s="36"/>
      <c r="M284" s="36">
        <f>5000+600</f>
        <v>5600</v>
      </c>
      <c r="N284" s="36">
        <v>100</v>
      </c>
      <c r="O284" s="36"/>
      <c r="P284" s="36"/>
      <c r="Q284" s="36"/>
    </row>
    <row r="285" spans="1:22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9636</v>
      </c>
      <c r="G285" s="37">
        <f t="shared" si="85"/>
        <v>655</v>
      </c>
      <c r="H285" s="37"/>
      <c r="I285" s="36"/>
      <c r="J285" s="36"/>
      <c r="K285" s="36"/>
      <c r="L285" s="36"/>
      <c r="M285" s="36">
        <f>10500-362-24-108-346-24</f>
        <v>9636</v>
      </c>
      <c r="N285" s="36"/>
      <c r="O285" s="36"/>
      <c r="P285" s="36"/>
      <c r="Q285" s="36">
        <v>655</v>
      </c>
      <c r="R285" s="12" t="s">
        <v>505</v>
      </c>
    </row>
    <row r="286" spans="1:22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241385</v>
      </c>
      <c r="G286" s="19">
        <f>SUM(G287:G313)</f>
        <v>16735</v>
      </c>
      <c r="H286" s="19">
        <f t="shared" ref="H286:Q286" si="86">SUM(H287:H313)</f>
        <v>1000</v>
      </c>
      <c r="I286" s="19">
        <f t="shared" si="86"/>
        <v>127</v>
      </c>
      <c r="J286" s="19">
        <f t="shared" si="86"/>
        <v>0</v>
      </c>
      <c r="K286" s="19">
        <f t="shared" si="86"/>
        <v>0</v>
      </c>
      <c r="L286" s="19">
        <f t="shared" si="86"/>
        <v>1273</v>
      </c>
      <c r="M286" s="19">
        <f>M287+M289+M290+M293+M311+M312+M313</f>
        <v>238158</v>
      </c>
      <c r="N286" s="19">
        <f t="shared" si="86"/>
        <v>12510</v>
      </c>
      <c r="O286" s="19">
        <f t="shared" si="86"/>
        <v>0</v>
      </c>
      <c r="P286" s="19">
        <f>P287+P289+P290+P293+P311+P312+P313</f>
        <v>2227</v>
      </c>
      <c r="Q286" s="19">
        <f t="shared" si="86"/>
        <v>2825</v>
      </c>
      <c r="R286" s="44">
        <f>H286+K286+M286+P286</f>
        <v>241385</v>
      </c>
    </row>
    <row r="287" spans="1:22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4287</v>
      </c>
      <c r="G287" s="37">
        <f t="shared" ref="G287" si="87">SUM(I287:Q287)-K287-M287-P287</f>
        <v>0</v>
      </c>
      <c r="H287" s="37"/>
      <c r="I287" s="36"/>
      <c r="J287" s="36"/>
      <c r="K287" s="36"/>
      <c r="L287" s="36"/>
      <c r="M287" s="36">
        <f>4500-520-12</f>
        <v>3968</v>
      </c>
      <c r="N287" s="36"/>
      <c r="O287" s="36"/>
      <c r="P287" s="36">
        <f>510-191</f>
        <v>319</v>
      </c>
      <c r="Q287" s="36"/>
      <c r="R287" s="12" t="s">
        <v>506</v>
      </c>
    </row>
    <row r="288" spans="1:22" ht="15" hidden="1" customHeight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122</v>
      </c>
      <c r="G289" s="37">
        <f t="shared" ref="G289:G290" si="88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f>110+12</f>
        <v>122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2040</v>
      </c>
      <c r="G290" s="37">
        <f t="shared" si="88"/>
        <v>7</v>
      </c>
      <c r="H290" s="37"/>
      <c r="I290" s="38"/>
      <c r="J290" s="38"/>
      <c r="K290" s="38"/>
      <c r="L290" s="38"/>
      <c r="M290" s="38">
        <v>2040</v>
      </c>
      <c r="N290" s="38"/>
      <c r="O290" s="38"/>
      <c r="P290" s="38"/>
      <c r="Q290" s="38">
        <v>7</v>
      </c>
    </row>
    <row r="291" spans="1:19" ht="26.25" hidden="1" customHeight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89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customHeight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89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212846</v>
      </c>
      <c r="G293" s="37">
        <f t="shared" ref="G293:G313" si="90">SUM(I293:Q293)-K293-M293-P293</f>
        <v>1917</v>
      </c>
      <c r="H293" s="37"/>
      <c r="I293" s="36">
        <v>127</v>
      </c>
      <c r="J293" s="36"/>
      <c r="K293" s="36"/>
      <c r="L293" s="36"/>
      <c r="M293" s="48">
        <f>M294+M299+M300+M303+M309+M310</f>
        <v>211586</v>
      </c>
      <c r="N293" s="48">
        <f t="shared" ref="N293:P293" si="91">N294+N299+N300+N303+N309+N310</f>
        <v>0</v>
      </c>
      <c r="O293" s="48">
        <f t="shared" si="91"/>
        <v>0</v>
      </c>
      <c r="P293" s="48">
        <f t="shared" si="91"/>
        <v>1260</v>
      </c>
      <c r="Q293" s="36">
        <v>1790</v>
      </c>
      <c r="R293" s="44">
        <f>M294+M299+M300+M303+M309+M310</f>
        <v>211586</v>
      </c>
      <c r="S293" s="44">
        <f>R293+P293</f>
        <v>212846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107212</v>
      </c>
      <c r="G294" s="37"/>
      <c r="H294" s="37"/>
      <c r="I294" s="36"/>
      <c r="J294" s="36"/>
      <c r="K294" s="36"/>
      <c r="L294" s="36"/>
      <c r="M294" s="48">
        <f>M295+M296+M297+M298</f>
        <v>107212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65179</v>
      </c>
      <c r="G295" s="37"/>
      <c r="H295" s="37"/>
      <c r="I295" s="36"/>
      <c r="J295" s="36"/>
      <c r="K295" s="36"/>
      <c r="L295" s="36"/>
      <c r="M295" s="38">
        <f>46590+18589</f>
        <v>65179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14305</v>
      </c>
      <c r="G296" s="37"/>
      <c r="H296" s="37"/>
      <c r="I296" s="36"/>
      <c r="J296" s="36"/>
      <c r="K296" s="36"/>
      <c r="L296" s="36"/>
      <c r="M296" s="38">
        <f>14745-440</f>
        <v>14305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54906</v>
      </c>
      <c r="G300" s="54"/>
      <c r="H300" s="54"/>
      <c r="I300" s="48"/>
      <c r="J300" s="48"/>
      <c r="K300" s="48"/>
      <c r="L300" s="48"/>
      <c r="M300" s="48">
        <f>M301+M302</f>
        <v>54906</v>
      </c>
      <c r="N300" s="48">
        <f t="shared" ref="N300:P300" si="93">N301+N302</f>
        <v>0</v>
      </c>
      <c r="O300" s="48">
        <f t="shared" si="93"/>
        <v>0</v>
      </c>
      <c r="P300" s="48">
        <f t="shared" si="93"/>
        <v>1260</v>
      </c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51519</v>
      </c>
      <c r="G301" s="37"/>
      <c r="H301" s="37"/>
      <c r="I301" s="36"/>
      <c r="J301" s="36"/>
      <c r="K301" s="36"/>
      <c r="L301" s="36"/>
      <c r="M301" s="38">
        <f>36195+15324</f>
        <v>51519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3387</v>
      </c>
      <c r="G302" s="37"/>
      <c r="H302" s="37"/>
      <c r="I302" s="36"/>
      <c r="J302" s="36"/>
      <c r="K302" s="36"/>
      <c r="L302" s="36"/>
      <c r="M302" s="38">
        <f>2212+240+935</f>
        <v>3387</v>
      </c>
      <c r="N302" s="36"/>
      <c r="O302" s="36"/>
      <c r="P302" s="36">
        <f>1400-140</f>
        <v>1260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14091</v>
      </c>
      <c r="G303" s="54"/>
      <c r="H303" s="54"/>
      <c r="I303" s="48"/>
      <c r="J303" s="48"/>
      <c r="K303" s="48"/>
      <c r="L303" s="48"/>
      <c r="M303" s="48">
        <f>M304+M305+M306</f>
        <v>14091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8361</v>
      </c>
      <c r="G304" s="37"/>
      <c r="H304" s="37"/>
      <c r="I304" s="36"/>
      <c r="J304" s="36"/>
      <c r="K304" s="36"/>
      <c r="L304" s="36"/>
      <c r="M304" s="38">
        <f>5321+3040</f>
        <v>8361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2867</v>
      </c>
      <c r="G305" s="37"/>
      <c r="H305" s="37"/>
      <c r="I305" s="36"/>
      <c r="J305" s="36"/>
      <c r="K305" s="36"/>
      <c r="L305" s="36"/>
      <c r="M305" s="38">
        <f>5402-2040-495</f>
        <v>2867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2863</v>
      </c>
      <c r="G306" s="37"/>
      <c r="H306" s="37"/>
      <c r="I306" s="36"/>
      <c r="J306" s="36"/>
      <c r="K306" s="36"/>
      <c r="L306" s="36"/>
      <c r="M306" s="38">
        <f>M307+M308</f>
        <v>2863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1038</v>
      </c>
      <c r="G307" s="58"/>
      <c r="H307" s="58"/>
      <c r="I307" s="57"/>
      <c r="J307" s="57"/>
      <c r="K307" s="57"/>
      <c r="L307" s="57"/>
      <c r="M307" s="57">
        <f>438+600</f>
        <v>1038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1825</v>
      </c>
      <c r="G308" s="58"/>
      <c r="H308" s="58"/>
      <c r="I308" s="57"/>
      <c r="J308" s="57"/>
      <c r="K308" s="57"/>
      <c r="L308" s="57"/>
      <c r="M308" s="57">
        <f>625+1200</f>
        <v>1825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7000</v>
      </c>
      <c r="G310" s="54"/>
      <c r="H310" s="54"/>
      <c r="I310" s="48"/>
      <c r="J310" s="48"/>
      <c r="K310" s="48"/>
      <c r="L310" s="48"/>
      <c r="M310" s="48">
        <v>7000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12200</v>
      </c>
      <c r="G311" s="37">
        <f t="shared" si="90"/>
        <v>9570</v>
      </c>
      <c r="H311" s="37"/>
      <c r="I311" s="36"/>
      <c r="J311" s="36"/>
      <c r="K311" s="36"/>
      <c r="L311" s="36"/>
      <c r="M311" s="36">
        <v>12200</v>
      </c>
      <c r="N311" s="36">
        <v>9570</v>
      </c>
      <c r="O311" s="36"/>
      <c r="P311" s="36"/>
      <c r="Q311" s="36"/>
    </row>
    <row r="312" spans="1:17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4233</v>
      </c>
      <c r="G312" s="37">
        <f t="shared" si="90"/>
        <v>2940</v>
      </c>
      <c r="H312" s="37"/>
      <c r="I312" s="36"/>
      <c r="J312" s="36"/>
      <c r="K312" s="36"/>
      <c r="L312" s="36"/>
      <c r="M312" s="36">
        <f>2500+2160-427</f>
        <v>4233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8">
        <f>H313+K313+M313+P313</f>
        <v>5657</v>
      </c>
      <c r="G313" s="389">
        <f t="shared" si="90"/>
        <v>2154</v>
      </c>
      <c r="H313" s="389">
        <v>1000</v>
      </c>
      <c r="I313" s="38"/>
      <c r="J313" s="38"/>
      <c r="K313" s="38"/>
      <c r="L313" s="38">
        <v>1273</v>
      </c>
      <c r="M313" s="38">
        <f>4485-1230-90+84-60+942</f>
        <v>4131</v>
      </c>
      <c r="N313" s="38"/>
      <c r="O313" s="38"/>
      <c r="P313" s="38">
        <f>492+4+30</f>
        <v>526</v>
      </c>
      <c r="Q313" s="36">
        <v>881</v>
      </c>
    </row>
    <row r="314" spans="1:17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89"/>
        <v>0</v>
      </c>
      <c r="H314" s="19"/>
      <c r="I314" s="19">
        <f t="shared" ref="I314:Q314" si="94">I315+I323+I325+I327+I331</f>
        <v>0</v>
      </c>
      <c r="J314" s="19">
        <f t="shared" si="94"/>
        <v>0</v>
      </c>
      <c r="K314" s="19"/>
      <c r="L314" s="19">
        <f t="shared" si="94"/>
        <v>0</v>
      </c>
      <c r="M314" s="19"/>
      <c r="N314" s="19">
        <f t="shared" si="94"/>
        <v>0</v>
      </c>
      <c r="O314" s="19">
        <f t="shared" si="94"/>
        <v>0</v>
      </c>
      <c r="P314" s="19"/>
      <c r="Q314" s="19">
        <f t="shared" si="94"/>
        <v>0</v>
      </c>
    </row>
    <row r="315" spans="1:17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89"/>
        <v>0</v>
      </c>
      <c r="H315" s="19"/>
      <c r="I315" s="19">
        <f t="shared" ref="I315:Q315" si="95">SUM(I316:I318)</f>
        <v>0</v>
      </c>
      <c r="J315" s="19">
        <f t="shared" si="95"/>
        <v>0</v>
      </c>
      <c r="K315" s="19"/>
      <c r="L315" s="19">
        <f t="shared" si="95"/>
        <v>0</v>
      </c>
      <c r="M315" s="19"/>
      <c r="N315" s="19">
        <f t="shared" si="95"/>
        <v>0</v>
      </c>
      <c r="O315" s="19">
        <f t="shared" si="95"/>
        <v>0</v>
      </c>
      <c r="P315" s="19"/>
      <c r="Q315" s="19">
        <f t="shared" si="95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89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89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89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89"/>
        <v>0</v>
      </c>
      <c r="H323" s="19"/>
      <c r="I323" s="19">
        <f t="shared" ref="I323:Q323" si="96">I324</f>
        <v>0</v>
      </c>
      <c r="J323" s="19">
        <f t="shared" si="96"/>
        <v>0</v>
      </c>
      <c r="K323" s="19"/>
      <c r="L323" s="19">
        <f t="shared" si="96"/>
        <v>0</v>
      </c>
      <c r="M323" s="19"/>
      <c r="N323" s="19">
        <f t="shared" si="96"/>
        <v>0</v>
      </c>
      <c r="O323" s="19">
        <f t="shared" si="96"/>
        <v>0</v>
      </c>
      <c r="P323" s="19"/>
      <c r="Q323" s="19">
        <f t="shared" si="96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89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89"/>
        <v>0</v>
      </c>
      <c r="H325" s="19"/>
      <c r="I325" s="19">
        <f t="shared" ref="I325:Q325" si="97">I326</f>
        <v>0</v>
      </c>
      <c r="J325" s="19">
        <f t="shared" si="97"/>
        <v>0</v>
      </c>
      <c r="K325" s="19"/>
      <c r="L325" s="19">
        <f t="shared" si="97"/>
        <v>0</v>
      </c>
      <c r="M325" s="19"/>
      <c r="N325" s="19">
        <f t="shared" si="97"/>
        <v>0</v>
      </c>
      <c r="O325" s="19">
        <f t="shared" si="97"/>
        <v>0</v>
      </c>
      <c r="P325" s="19"/>
      <c r="Q325" s="19">
        <f t="shared" si="97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89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89"/>
        <v>0</v>
      </c>
      <c r="H327" s="19"/>
      <c r="I327" s="19">
        <f t="shared" ref="I327:Q327" si="98">SUM(I328:I330)</f>
        <v>0</v>
      </c>
      <c r="J327" s="19">
        <f t="shared" si="98"/>
        <v>0</v>
      </c>
      <c r="K327" s="19"/>
      <c r="L327" s="19">
        <f t="shared" si="98"/>
        <v>0</v>
      </c>
      <c r="M327" s="19"/>
      <c r="N327" s="19">
        <f t="shared" si="98"/>
        <v>0</v>
      </c>
      <c r="O327" s="19">
        <f t="shared" si="98"/>
        <v>0</v>
      </c>
      <c r="P327" s="19"/>
      <c r="Q327" s="19">
        <f t="shared" si="98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89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89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89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89"/>
        <v>0</v>
      </c>
      <c r="H331" s="19"/>
      <c r="I331" s="19">
        <f t="shared" ref="I331:Q331" si="99">I332</f>
        <v>0</v>
      </c>
      <c r="J331" s="19">
        <f t="shared" si="99"/>
        <v>0</v>
      </c>
      <c r="K331" s="19"/>
      <c r="L331" s="19">
        <f t="shared" si="99"/>
        <v>0</v>
      </c>
      <c r="M331" s="19"/>
      <c r="N331" s="19">
        <f t="shared" si="99"/>
        <v>0</v>
      </c>
      <c r="O331" s="19">
        <f t="shared" si="99"/>
        <v>0</v>
      </c>
      <c r="P331" s="19"/>
      <c r="Q331" s="19">
        <f t="shared" si="99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89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100">F334+F344+F355+F357</f>
        <v>600</v>
      </c>
      <c r="G333" s="19">
        <f t="shared" si="100"/>
        <v>251</v>
      </c>
      <c r="H333" s="19">
        <f t="shared" si="100"/>
        <v>0</v>
      </c>
      <c r="I333" s="19">
        <f t="shared" si="100"/>
        <v>0</v>
      </c>
      <c r="J333" s="19">
        <f t="shared" si="100"/>
        <v>0</v>
      </c>
      <c r="K333" s="19">
        <f t="shared" si="100"/>
        <v>0</v>
      </c>
      <c r="L333" s="19">
        <f t="shared" si="100"/>
        <v>0</v>
      </c>
      <c r="M333" s="19">
        <f t="shared" si="100"/>
        <v>0</v>
      </c>
      <c r="N333" s="19">
        <f t="shared" si="100"/>
        <v>0</v>
      </c>
      <c r="O333" s="19">
        <f t="shared" si="100"/>
        <v>0</v>
      </c>
      <c r="P333" s="19">
        <f t="shared" si="100"/>
        <v>600</v>
      </c>
      <c r="Q333" s="19">
        <f t="shared" si="100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1">SUM(F335:F343)</f>
        <v>600</v>
      </c>
      <c r="G334" s="19">
        <f t="shared" si="101"/>
        <v>251</v>
      </c>
      <c r="H334" s="19">
        <f t="shared" si="101"/>
        <v>0</v>
      </c>
      <c r="I334" s="19">
        <f t="shared" si="101"/>
        <v>0</v>
      </c>
      <c r="J334" s="19">
        <f t="shared" si="101"/>
        <v>0</v>
      </c>
      <c r="K334" s="19">
        <f t="shared" si="101"/>
        <v>0</v>
      </c>
      <c r="L334" s="19">
        <f t="shared" si="101"/>
        <v>0</v>
      </c>
      <c r="M334" s="19">
        <f t="shared" si="101"/>
        <v>0</v>
      </c>
      <c r="N334" s="19">
        <f t="shared" si="101"/>
        <v>0</v>
      </c>
      <c r="O334" s="19">
        <f t="shared" si="101"/>
        <v>0</v>
      </c>
      <c r="P334" s="19">
        <f t="shared" si="101"/>
        <v>600</v>
      </c>
      <c r="Q334" s="19">
        <f t="shared" si="101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89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89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89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89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600</v>
      </c>
      <c r="G339" s="37">
        <f t="shared" ref="G339" si="102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600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89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89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89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89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89"/>
        <v>0</v>
      </c>
      <c r="H344" s="19"/>
      <c r="I344" s="19">
        <f t="shared" ref="I344:Q344" si="103">SUM(I345:I354)</f>
        <v>0</v>
      </c>
      <c r="J344" s="19">
        <f t="shared" si="103"/>
        <v>0</v>
      </c>
      <c r="K344" s="19"/>
      <c r="L344" s="19">
        <f t="shared" si="103"/>
        <v>0</v>
      </c>
      <c r="M344" s="19"/>
      <c r="N344" s="19">
        <f t="shared" si="103"/>
        <v>0</v>
      </c>
      <c r="O344" s="19">
        <f t="shared" si="103"/>
        <v>0</v>
      </c>
      <c r="P344" s="19"/>
      <c r="Q344" s="19">
        <f t="shared" si="103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89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89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89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89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89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89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89"/>
        <v>0</v>
      </c>
      <c r="H355" s="19"/>
      <c r="I355" s="19">
        <f t="shared" ref="I355:Q355" si="104">I356</f>
        <v>0</v>
      </c>
      <c r="J355" s="19">
        <f t="shared" si="104"/>
        <v>0</v>
      </c>
      <c r="K355" s="19"/>
      <c r="L355" s="19">
        <f t="shared" si="104"/>
        <v>0</v>
      </c>
      <c r="M355" s="19"/>
      <c r="N355" s="19">
        <f t="shared" si="104"/>
        <v>0</v>
      </c>
      <c r="O355" s="19">
        <f t="shared" si="104"/>
        <v>0</v>
      </c>
      <c r="P355" s="19"/>
      <c r="Q355" s="19">
        <f t="shared" si="104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89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89"/>
        <v>0</v>
      </c>
      <c r="H357" s="19"/>
      <c r="I357" s="19">
        <f t="shared" ref="I357:Q357" si="105">SUM(I358:I360)</f>
        <v>0</v>
      </c>
      <c r="J357" s="19">
        <f t="shared" si="105"/>
        <v>0</v>
      </c>
      <c r="K357" s="19"/>
      <c r="L357" s="19">
        <f t="shared" si="105"/>
        <v>0</v>
      </c>
      <c r="M357" s="19"/>
      <c r="N357" s="19">
        <f t="shared" si="105"/>
        <v>0</v>
      </c>
      <c r="O357" s="19">
        <f t="shared" si="105"/>
        <v>0</v>
      </c>
      <c r="P357" s="19"/>
      <c r="Q357" s="19">
        <f t="shared" si="105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89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89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89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89"/>
        <v>0</v>
      </c>
      <c r="H361" s="19"/>
      <c r="I361" s="19">
        <f t="shared" ref="I361:Q361" si="106">I362+I365+I368+I371</f>
        <v>0</v>
      </c>
      <c r="J361" s="19">
        <f t="shared" si="106"/>
        <v>0</v>
      </c>
      <c r="K361" s="19"/>
      <c r="L361" s="19">
        <f t="shared" si="106"/>
        <v>0</v>
      </c>
      <c r="M361" s="19"/>
      <c r="N361" s="19">
        <f t="shared" si="106"/>
        <v>0</v>
      </c>
      <c r="O361" s="19">
        <f t="shared" si="106"/>
        <v>0</v>
      </c>
      <c r="P361" s="19"/>
      <c r="Q361" s="19">
        <f t="shared" si="106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89"/>
        <v>0</v>
      </c>
      <c r="H362" s="19"/>
      <c r="I362" s="19">
        <f t="shared" ref="I362:Q362" si="107">I363+I364</f>
        <v>0</v>
      </c>
      <c r="J362" s="19">
        <f t="shared" si="107"/>
        <v>0</v>
      </c>
      <c r="K362" s="19"/>
      <c r="L362" s="19">
        <f t="shared" si="107"/>
        <v>0</v>
      </c>
      <c r="M362" s="19"/>
      <c r="N362" s="19">
        <f t="shared" si="107"/>
        <v>0</v>
      </c>
      <c r="O362" s="19">
        <f t="shared" si="107"/>
        <v>0</v>
      </c>
      <c r="P362" s="19"/>
      <c r="Q362" s="19">
        <f t="shared" si="107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89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89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89"/>
        <v>0</v>
      </c>
      <c r="H365" s="19"/>
      <c r="I365" s="19">
        <f t="shared" ref="I365:Q365" si="108">I366+I367</f>
        <v>0</v>
      </c>
      <c r="J365" s="19">
        <f t="shared" si="108"/>
        <v>0</v>
      </c>
      <c r="K365" s="19"/>
      <c r="L365" s="19">
        <f t="shared" si="108"/>
        <v>0</v>
      </c>
      <c r="M365" s="19"/>
      <c r="N365" s="19">
        <f t="shared" si="108"/>
        <v>0</v>
      </c>
      <c r="O365" s="19">
        <f t="shared" si="108"/>
        <v>0</v>
      </c>
      <c r="P365" s="19"/>
      <c r="Q365" s="19">
        <f t="shared" si="108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89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89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89"/>
        <v>0</v>
      </c>
      <c r="H368" s="19"/>
      <c r="I368" s="19">
        <f t="shared" ref="I368:Q368" si="109">I369+I370</f>
        <v>0</v>
      </c>
      <c r="J368" s="19">
        <f t="shared" si="109"/>
        <v>0</v>
      </c>
      <c r="K368" s="19"/>
      <c r="L368" s="19">
        <f t="shared" si="109"/>
        <v>0</v>
      </c>
      <c r="M368" s="19"/>
      <c r="N368" s="19">
        <f t="shared" si="109"/>
        <v>0</v>
      </c>
      <c r="O368" s="19">
        <f t="shared" si="109"/>
        <v>0</v>
      </c>
      <c r="P368" s="19"/>
      <c r="Q368" s="19">
        <f t="shared" si="109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89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89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89"/>
        <v>0</v>
      </c>
      <c r="H371" s="19"/>
      <c r="I371" s="19">
        <f t="shared" ref="I371:Q371" si="110">I372+I373</f>
        <v>0</v>
      </c>
      <c r="J371" s="19">
        <f t="shared" si="110"/>
        <v>0</v>
      </c>
      <c r="K371" s="19"/>
      <c r="L371" s="19">
        <f t="shared" si="110"/>
        <v>0</v>
      </c>
      <c r="M371" s="19"/>
      <c r="N371" s="19">
        <f t="shared" si="110"/>
        <v>0</v>
      </c>
      <c r="O371" s="19">
        <f t="shared" si="110"/>
        <v>0</v>
      </c>
      <c r="P371" s="19"/>
      <c r="Q371" s="19">
        <f t="shared" si="110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89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89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1">F379+F382+F385+F388+F391</f>
        <v>10080</v>
      </c>
      <c r="G374" s="19">
        <f t="shared" si="111"/>
        <v>7410</v>
      </c>
      <c r="H374" s="37">
        <f t="shared" si="111"/>
        <v>0</v>
      </c>
      <c r="I374" s="19">
        <f t="shared" si="111"/>
        <v>0</v>
      </c>
      <c r="J374" s="19">
        <f t="shared" si="111"/>
        <v>0</v>
      </c>
      <c r="K374" s="19">
        <f t="shared" si="111"/>
        <v>0</v>
      </c>
      <c r="L374" s="19">
        <f t="shared" si="111"/>
        <v>0</v>
      </c>
      <c r="M374" s="19">
        <f t="shared" si="111"/>
        <v>10080</v>
      </c>
      <c r="N374" s="19">
        <f t="shared" si="111"/>
        <v>7410</v>
      </c>
      <c r="O374" s="19">
        <f t="shared" si="111"/>
        <v>0</v>
      </c>
      <c r="P374" s="19">
        <f t="shared" si="111"/>
        <v>0</v>
      </c>
      <c r="Q374" s="19">
        <f t="shared" si="111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89"/>
        <v>0</v>
      </c>
      <c r="H379" s="19"/>
      <c r="I379" s="19">
        <f t="shared" ref="I379:Q379" si="112">I380+I381</f>
        <v>0</v>
      </c>
      <c r="J379" s="19">
        <f t="shared" si="112"/>
        <v>0</v>
      </c>
      <c r="K379" s="19"/>
      <c r="L379" s="19">
        <f t="shared" si="112"/>
        <v>0</v>
      </c>
      <c r="M379" s="19"/>
      <c r="N379" s="19">
        <f t="shared" si="112"/>
        <v>0</v>
      </c>
      <c r="O379" s="19">
        <f t="shared" si="112"/>
        <v>0</v>
      </c>
      <c r="P379" s="19"/>
      <c r="Q379" s="19">
        <f t="shared" si="112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89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89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89"/>
        <v>0</v>
      </c>
      <c r="H382" s="19"/>
      <c r="I382" s="19">
        <f t="shared" ref="I382:Q382" si="113">I383+I384</f>
        <v>0</v>
      </c>
      <c r="J382" s="19">
        <f t="shared" si="113"/>
        <v>0</v>
      </c>
      <c r="K382" s="19"/>
      <c r="L382" s="19">
        <f t="shared" si="113"/>
        <v>0</v>
      </c>
      <c r="M382" s="19"/>
      <c r="N382" s="19">
        <f t="shared" si="113"/>
        <v>0</v>
      </c>
      <c r="O382" s="19">
        <f t="shared" si="113"/>
        <v>0</v>
      </c>
      <c r="P382" s="19"/>
      <c r="Q382" s="19">
        <f t="shared" si="113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89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89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4">SUM(I385:Q385)</f>
        <v>0</v>
      </c>
      <c r="H385" s="19"/>
      <c r="I385" s="19">
        <f t="shared" ref="I385:Q385" si="115">I386+I387</f>
        <v>0</v>
      </c>
      <c r="J385" s="19">
        <f t="shared" si="115"/>
        <v>0</v>
      </c>
      <c r="K385" s="19"/>
      <c r="L385" s="19">
        <f t="shared" si="115"/>
        <v>0</v>
      </c>
      <c r="M385" s="19"/>
      <c r="N385" s="19">
        <f t="shared" si="115"/>
        <v>0</v>
      </c>
      <c r="O385" s="19">
        <f t="shared" si="115"/>
        <v>0</v>
      </c>
      <c r="P385" s="19"/>
      <c r="Q385" s="19">
        <f t="shared" si="115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4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4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4"/>
        <v>0</v>
      </c>
      <c r="H388" s="19"/>
      <c r="I388" s="19">
        <f t="shared" ref="I388:Q388" si="116">I389+I390</f>
        <v>0</v>
      </c>
      <c r="J388" s="19">
        <f t="shared" si="116"/>
        <v>0</v>
      </c>
      <c r="K388" s="19"/>
      <c r="L388" s="19">
        <f t="shared" si="116"/>
        <v>0</v>
      </c>
      <c r="M388" s="19"/>
      <c r="N388" s="19">
        <f t="shared" si="116"/>
        <v>0</v>
      </c>
      <c r="O388" s="19">
        <f t="shared" si="116"/>
        <v>0</v>
      </c>
      <c r="P388" s="19"/>
      <c r="Q388" s="19">
        <f t="shared" si="116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4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4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7">F392+F393</f>
        <v>10080</v>
      </c>
      <c r="G391" s="19">
        <f t="shared" si="117"/>
        <v>7410</v>
      </c>
      <c r="H391" s="19">
        <f t="shared" si="117"/>
        <v>0</v>
      </c>
      <c r="I391" s="19">
        <f t="shared" si="117"/>
        <v>0</v>
      </c>
      <c r="J391" s="19">
        <f t="shared" si="117"/>
        <v>0</v>
      </c>
      <c r="K391" s="19">
        <f t="shared" si="117"/>
        <v>0</v>
      </c>
      <c r="L391" s="19">
        <f t="shared" si="117"/>
        <v>0</v>
      </c>
      <c r="M391" s="19">
        <f t="shared" si="117"/>
        <v>10080</v>
      </c>
      <c r="N391" s="19">
        <f t="shared" si="117"/>
        <v>7410</v>
      </c>
      <c r="O391" s="19">
        <f t="shared" si="117"/>
        <v>0</v>
      </c>
      <c r="P391" s="19">
        <f t="shared" si="117"/>
        <v>0</v>
      </c>
      <c r="Q391" s="19">
        <f t="shared" si="117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10080</v>
      </c>
      <c r="G392" s="37">
        <f t="shared" ref="G392" si="118">SUM(I392:Q392)-K392-M392-P392</f>
        <v>7410</v>
      </c>
      <c r="H392" s="37"/>
      <c r="I392" s="36"/>
      <c r="J392" s="36"/>
      <c r="K392" s="36"/>
      <c r="L392" s="36"/>
      <c r="M392" s="36">
        <v>10080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4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4"/>
        <v>0</v>
      </c>
      <c r="H394" s="19"/>
      <c r="I394" s="19">
        <f t="shared" ref="I394:Q394" si="119">I395+I399</f>
        <v>0</v>
      </c>
      <c r="J394" s="19">
        <f t="shared" si="119"/>
        <v>0</v>
      </c>
      <c r="K394" s="19"/>
      <c r="L394" s="19">
        <f t="shared" si="119"/>
        <v>0</v>
      </c>
      <c r="M394" s="19"/>
      <c r="N394" s="19">
        <f t="shared" si="119"/>
        <v>0</v>
      </c>
      <c r="O394" s="19">
        <f t="shared" si="119"/>
        <v>0</v>
      </c>
      <c r="P394" s="19"/>
      <c r="Q394" s="19">
        <f t="shared" si="119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4"/>
        <v>0</v>
      </c>
      <c r="H395" s="19"/>
      <c r="I395" s="19">
        <f t="shared" ref="I395:Q395" si="120">SUM(I396:I398)</f>
        <v>0</v>
      </c>
      <c r="J395" s="19">
        <f t="shared" si="120"/>
        <v>0</v>
      </c>
      <c r="K395" s="19"/>
      <c r="L395" s="19">
        <f t="shared" si="120"/>
        <v>0</v>
      </c>
      <c r="M395" s="19"/>
      <c r="N395" s="19">
        <f t="shared" si="120"/>
        <v>0</v>
      </c>
      <c r="O395" s="19">
        <f t="shared" si="120"/>
        <v>0</v>
      </c>
      <c r="P395" s="19"/>
      <c r="Q395" s="19">
        <f t="shared" si="120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4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4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4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4"/>
        <v>0</v>
      </c>
      <c r="H399" s="19"/>
      <c r="I399" s="19">
        <f t="shared" ref="I399:Q399" si="121">SUM(I404:I412)</f>
        <v>0</v>
      </c>
      <c r="J399" s="19">
        <f t="shared" si="121"/>
        <v>0</v>
      </c>
      <c r="K399" s="19"/>
      <c r="L399" s="19">
        <f t="shared" si="121"/>
        <v>0</v>
      </c>
      <c r="M399" s="19"/>
      <c r="N399" s="19">
        <f t="shared" si="121"/>
        <v>0</v>
      </c>
      <c r="O399" s="19">
        <f t="shared" si="121"/>
        <v>0</v>
      </c>
      <c r="P399" s="19"/>
      <c r="Q399" s="19">
        <f t="shared" si="121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4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4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4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4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4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4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4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4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4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2">F414+F417+F421+F423+F426+F432</f>
        <v>300</v>
      </c>
      <c r="G413" s="19">
        <f t="shared" si="122"/>
        <v>118</v>
      </c>
      <c r="H413" s="19">
        <f t="shared" si="122"/>
        <v>0</v>
      </c>
      <c r="I413" s="19">
        <f t="shared" si="122"/>
        <v>0</v>
      </c>
      <c r="J413" s="19">
        <f t="shared" si="122"/>
        <v>0</v>
      </c>
      <c r="K413" s="19">
        <f t="shared" si="122"/>
        <v>0</v>
      </c>
      <c r="L413" s="19">
        <f t="shared" si="122"/>
        <v>0</v>
      </c>
      <c r="M413" s="19">
        <f t="shared" si="122"/>
        <v>0</v>
      </c>
      <c r="N413" s="19">
        <f t="shared" si="122"/>
        <v>8</v>
      </c>
      <c r="O413" s="19">
        <f t="shared" si="122"/>
        <v>0</v>
      </c>
      <c r="P413" s="19">
        <f t="shared" si="122"/>
        <v>300</v>
      </c>
      <c r="Q413" s="19">
        <f t="shared" si="122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3">F415+F416</f>
        <v>35</v>
      </c>
      <c r="G414" s="19">
        <f t="shared" si="123"/>
        <v>35</v>
      </c>
      <c r="H414" s="19">
        <f t="shared" si="123"/>
        <v>0</v>
      </c>
      <c r="I414" s="19">
        <f t="shared" si="123"/>
        <v>0</v>
      </c>
      <c r="J414" s="19">
        <f t="shared" si="123"/>
        <v>0</v>
      </c>
      <c r="K414" s="19">
        <f t="shared" si="123"/>
        <v>0</v>
      </c>
      <c r="L414" s="19">
        <f t="shared" si="123"/>
        <v>0</v>
      </c>
      <c r="M414" s="19">
        <f t="shared" si="123"/>
        <v>0</v>
      </c>
      <c r="N414" s="19">
        <f t="shared" si="123"/>
        <v>0</v>
      </c>
      <c r="O414" s="19">
        <f t="shared" si="123"/>
        <v>0</v>
      </c>
      <c r="P414" s="19">
        <f t="shared" si="123"/>
        <v>35</v>
      </c>
      <c r="Q414" s="19">
        <f t="shared" si="123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4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4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22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5">SUM(F418:F420)</f>
        <v>65</v>
      </c>
      <c r="G417" s="19">
        <f t="shared" si="125"/>
        <v>68</v>
      </c>
      <c r="H417" s="19">
        <f t="shared" si="125"/>
        <v>0</v>
      </c>
      <c r="I417" s="19">
        <f t="shared" si="125"/>
        <v>0</v>
      </c>
      <c r="J417" s="19">
        <f t="shared" si="125"/>
        <v>0</v>
      </c>
      <c r="K417" s="19">
        <f t="shared" si="125"/>
        <v>0</v>
      </c>
      <c r="L417" s="19">
        <f t="shared" si="125"/>
        <v>0</v>
      </c>
      <c r="M417" s="19">
        <f t="shared" si="125"/>
        <v>0</v>
      </c>
      <c r="N417" s="19">
        <f t="shared" si="125"/>
        <v>8</v>
      </c>
      <c r="O417" s="19">
        <f t="shared" si="125"/>
        <v>0</v>
      </c>
      <c r="P417" s="19">
        <f t="shared" si="125"/>
        <v>65</v>
      </c>
      <c r="Q417" s="19">
        <f t="shared" si="125"/>
        <v>50</v>
      </c>
    </row>
    <row r="418" spans="1:22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30</v>
      </c>
      <c r="G418" s="37">
        <f t="shared" ref="G418:G419" si="126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30</v>
      </c>
      <c r="Q418" s="36">
        <v>9</v>
      </c>
    </row>
    <row r="419" spans="1:22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25</v>
      </c>
      <c r="G419" s="37">
        <f t="shared" si="126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25</v>
      </c>
      <c r="Q419" s="36">
        <v>41</v>
      </c>
      <c r="V419" s="12" t="s">
        <v>539</v>
      </c>
    </row>
    <row r="420" spans="1:22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4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22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7">F422</f>
        <v>200</v>
      </c>
      <c r="G421" s="19">
        <f t="shared" si="127"/>
        <v>15</v>
      </c>
      <c r="H421" s="19">
        <f t="shared" si="127"/>
        <v>0</v>
      </c>
      <c r="I421" s="19">
        <f t="shared" si="127"/>
        <v>0</v>
      </c>
      <c r="J421" s="19">
        <f t="shared" si="127"/>
        <v>0</v>
      </c>
      <c r="K421" s="19">
        <f t="shared" si="127"/>
        <v>0</v>
      </c>
      <c r="L421" s="19">
        <f t="shared" si="127"/>
        <v>0</v>
      </c>
      <c r="M421" s="19">
        <f t="shared" si="127"/>
        <v>0</v>
      </c>
      <c r="N421" s="19">
        <f t="shared" si="127"/>
        <v>0</v>
      </c>
      <c r="O421" s="19">
        <f t="shared" si="127"/>
        <v>0</v>
      </c>
      <c r="P421" s="19">
        <f t="shared" si="127"/>
        <v>200</v>
      </c>
      <c r="Q421" s="19">
        <f t="shared" si="127"/>
        <v>15</v>
      </c>
    </row>
    <row r="422" spans="1:22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200</v>
      </c>
      <c r="G422" s="37">
        <f t="shared" ref="G422" si="128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200</v>
      </c>
      <c r="Q422" s="36">
        <v>15</v>
      </c>
    </row>
    <row r="423" spans="1:22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4"/>
        <v>0</v>
      </c>
      <c r="H423" s="19"/>
      <c r="I423" s="19">
        <f t="shared" ref="I423:Q423" si="129">I424+I425</f>
        <v>0</v>
      </c>
      <c r="J423" s="19">
        <f t="shared" si="129"/>
        <v>0</v>
      </c>
      <c r="K423" s="19"/>
      <c r="L423" s="19">
        <f t="shared" si="129"/>
        <v>0</v>
      </c>
      <c r="M423" s="19"/>
      <c r="N423" s="19">
        <f t="shared" si="129"/>
        <v>0</v>
      </c>
      <c r="O423" s="19">
        <f t="shared" si="129"/>
        <v>0</v>
      </c>
      <c r="P423" s="19"/>
      <c r="Q423" s="19">
        <f t="shared" si="129"/>
        <v>0</v>
      </c>
    </row>
    <row r="424" spans="1:22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4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22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4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22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4"/>
        <v>0</v>
      </c>
      <c r="H426" s="19"/>
      <c r="I426" s="19">
        <f t="shared" ref="I426:Q426" si="130">I427</f>
        <v>0</v>
      </c>
      <c r="J426" s="19">
        <f t="shared" si="130"/>
        <v>0</v>
      </c>
      <c r="K426" s="19"/>
      <c r="L426" s="19">
        <f t="shared" si="130"/>
        <v>0</v>
      </c>
      <c r="M426" s="19"/>
      <c r="N426" s="19">
        <f t="shared" si="130"/>
        <v>0</v>
      </c>
      <c r="O426" s="19">
        <f t="shared" si="130"/>
        <v>0</v>
      </c>
      <c r="P426" s="19"/>
      <c r="Q426" s="19">
        <f t="shared" si="130"/>
        <v>0</v>
      </c>
    </row>
    <row r="427" spans="1:22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4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22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22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22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22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22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4"/>
        <v>0</v>
      </c>
      <c r="H432" s="19"/>
      <c r="I432" s="19">
        <f t="shared" ref="I432:Q432" si="131">I433</f>
        <v>0</v>
      </c>
      <c r="J432" s="19">
        <f t="shared" si="131"/>
        <v>0</v>
      </c>
      <c r="K432" s="19"/>
      <c r="L432" s="19">
        <f t="shared" si="131"/>
        <v>0</v>
      </c>
      <c r="M432" s="19"/>
      <c r="N432" s="19">
        <f t="shared" si="131"/>
        <v>0</v>
      </c>
      <c r="O432" s="19">
        <f t="shared" si="131"/>
        <v>0</v>
      </c>
      <c r="P432" s="19"/>
      <c r="Q432" s="19">
        <f t="shared" si="131"/>
        <v>0</v>
      </c>
    </row>
    <row r="433" spans="1:22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4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2">F435+F458+F471+F474+F482</f>
        <v>31901</v>
      </c>
      <c r="G434" s="19">
        <f t="shared" si="132"/>
        <v>3263</v>
      </c>
      <c r="H434" s="19">
        <f t="shared" si="132"/>
        <v>29200</v>
      </c>
      <c r="I434" s="19">
        <f t="shared" si="132"/>
        <v>1450</v>
      </c>
      <c r="J434" s="19">
        <f t="shared" si="132"/>
        <v>0</v>
      </c>
      <c r="K434" s="19">
        <f t="shared" si="132"/>
        <v>1000</v>
      </c>
      <c r="L434" s="19">
        <f t="shared" si="132"/>
        <v>0</v>
      </c>
      <c r="M434" s="19">
        <f t="shared" si="132"/>
        <v>0</v>
      </c>
      <c r="N434" s="19">
        <f t="shared" si="132"/>
        <v>0</v>
      </c>
      <c r="O434" s="19">
        <f t="shared" si="132"/>
        <v>0</v>
      </c>
      <c r="P434" s="19">
        <f t="shared" si="132"/>
        <v>1701</v>
      </c>
      <c r="Q434" s="19">
        <f t="shared" si="132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3">F436+F441+F452+F454+F456</f>
        <v>31901</v>
      </c>
      <c r="G435" s="19">
        <f t="shared" si="133"/>
        <v>3263</v>
      </c>
      <c r="H435" s="19">
        <f t="shared" si="133"/>
        <v>29200</v>
      </c>
      <c r="I435" s="19">
        <f t="shared" si="133"/>
        <v>1450</v>
      </c>
      <c r="J435" s="19">
        <f t="shared" si="133"/>
        <v>0</v>
      </c>
      <c r="K435" s="19">
        <f t="shared" si="133"/>
        <v>1000</v>
      </c>
      <c r="L435" s="19">
        <f t="shared" si="133"/>
        <v>0</v>
      </c>
      <c r="M435" s="19">
        <f t="shared" si="133"/>
        <v>0</v>
      </c>
      <c r="N435" s="19">
        <f t="shared" si="133"/>
        <v>0</v>
      </c>
      <c r="O435" s="19">
        <f t="shared" si="133"/>
        <v>0</v>
      </c>
      <c r="P435" s="19">
        <f t="shared" si="133"/>
        <v>1701</v>
      </c>
      <c r="Q435" s="19">
        <f t="shared" si="133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4">SUM(F437:F440)</f>
        <v>5000</v>
      </c>
      <c r="G436" s="19">
        <f t="shared" si="134"/>
        <v>1450</v>
      </c>
      <c r="H436" s="19">
        <f t="shared" si="134"/>
        <v>5000</v>
      </c>
      <c r="I436" s="19">
        <f t="shared" si="134"/>
        <v>1450</v>
      </c>
      <c r="J436" s="19">
        <f t="shared" si="134"/>
        <v>0</v>
      </c>
      <c r="K436" s="19">
        <f t="shared" si="134"/>
        <v>0</v>
      </c>
      <c r="L436" s="19">
        <f t="shared" si="134"/>
        <v>0</v>
      </c>
      <c r="M436" s="19">
        <f t="shared" si="134"/>
        <v>0</v>
      </c>
      <c r="N436" s="19">
        <f t="shared" si="134"/>
        <v>0</v>
      </c>
      <c r="O436" s="19">
        <f t="shared" si="134"/>
        <v>0</v>
      </c>
      <c r="P436" s="19">
        <f t="shared" si="134"/>
        <v>0</v>
      </c>
      <c r="Q436" s="19">
        <f t="shared" si="134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4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4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5000</v>
      </c>
      <c r="G439" s="37">
        <f t="shared" ref="G439" si="135">SUM(I439:Q439)-K439-M439-P439</f>
        <v>1450</v>
      </c>
      <c r="H439" s="37">
        <v>5000</v>
      </c>
      <c r="I439" s="36">
        <v>1450</v>
      </c>
      <c r="J439" s="36"/>
      <c r="K439" s="36"/>
      <c r="L439" s="36"/>
      <c r="M439" s="36"/>
      <c r="N439" s="36"/>
      <c r="O439" s="36"/>
      <c r="P439" s="36"/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4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6">SUM(F442:F451)</f>
        <v>26901</v>
      </c>
      <c r="G441" s="19">
        <f t="shared" si="136"/>
        <v>1813</v>
      </c>
      <c r="H441" s="19">
        <f t="shared" si="136"/>
        <v>24200</v>
      </c>
      <c r="I441" s="19">
        <f t="shared" si="136"/>
        <v>0</v>
      </c>
      <c r="J441" s="19">
        <f t="shared" si="136"/>
        <v>0</v>
      </c>
      <c r="K441" s="19">
        <f t="shared" si="136"/>
        <v>1000</v>
      </c>
      <c r="L441" s="19">
        <f t="shared" si="136"/>
        <v>0</v>
      </c>
      <c r="M441" s="19">
        <f t="shared" si="136"/>
        <v>0</v>
      </c>
      <c r="N441" s="19">
        <f t="shared" si="136"/>
        <v>0</v>
      </c>
      <c r="O441" s="19">
        <f t="shared" si="136"/>
        <v>0</v>
      </c>
      <c r="P441" s="19">
        <f t="shared" si="136"/>
        <v>1701</v>
      </c>
      <c r="Q441" s="19">
        <f t="shared" si="136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4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0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/>
      <c r="Q443" s="36"/>
    </row>
    <row r="444" spans="1:22" ht="28.5" x14ac:dyDescent="0.4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5590</v>
      </c>
      <c r="G444" s="37">
        <f t="shared" ref="G444" si="137">SUM(I444:Q444)-K444-M444-P444</f>
        <v>1258</v>
      </c>
      <c r="H444" s="37">
        <v>4200</v>
      </c>
      <c r="I444" s="36"/>
      <c r="J444" s="36"/>
      <c r="K444" s="36"/>
      <c r="L444" s="36"/>
      <c r="M444" s="36"/>
      <c r="N444" s="36"/>
      <c r="O444" s="36"/>
      <c r="P444" s="36">
        <f>918+100+372</f>
        <v>1390</v>
      </c>
      <c r="Q444" s="36">
        <v>1258</v>
      </c>
      <c r="R444" s="12">
        <v>809</v>
      </c>
      <c r="S444" s="12">
        <v>1124</v>
      </c>
      <c r="T444" s="12">
        <f>S444-R444</f>
        <v>315</v>
      </c>
      <c r="V444" s="400" t="s">
        <v>538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4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4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21311</v>
      </c>
      <c r="G447" s="37">
        <f t="shared" ref="G447" si="138">SUM(I447:Q447)-K447-M447-P447</f>
        <v>555</v>
      </c>
      <c r="H447" s="37">
        <v>20000</v>
      </c>
      <c r="I447" s="36"/>
      <c r="J447" s="36"/>
      <c r="K447" s="36">
        <v>1000</v>
      </c>
      <c r="L447" s="36"/>
      <c r="M447" s="36"/>
      <c r="N447" s="36"/>
      <c r="O447" s="36"/>
      <c r="P447" s="38">
        <v>311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4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4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4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4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4"/>
        <v>0</v>
      </c>
      <c r="H452" s="19"/>
      <c r="I452" s="19">
        <f t="shared" ref="I452:Q452" si="139">I453</f>
        <v>0</v>
      </c>
      <c r="J452" s="19">
        <f t="shared" si="139"/>
        <v>0</v>
      </c>
      <c r="K452" s="19"/>
      <c r="L452" s="19">
        <f t="shared" si="139"/>
        <v>0</v>
      </c>
      <c r="M452" s="19"/>
      <c r="N452" s="19">
        <f t="shared" si="139"/>
        <v>0</v>
      </c>
      <c r="O452" s="19">
        <f t="shared" si="139"/>
        <v>0</v>
      </c>
      <c r="P452" s="19"/>
      <c r="Q452" s="19">
        <f t="shared" si="139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4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4"/>
        <v>0</v>
      </c>
      <c r="H454" s="19"/>
      <c r="I454" s="19">
        <f t="shared" ref="I454:Q454" si="140">I455</f>
        <v>0</v>
      </c>
      <c r="J454" s="19">
        <f t="shared" si="140"/>
        <v>0</v>
      </c>
      <c r="K454" s="19"/>
      <c r="L454" s="19">
        <f t="shared" si="140"/>
        <v>0</v>
      </c>
      <c r="M454" s="19"/>
      <c r="N454" s="19">
        <f t="shared" si="140"/>
        <v>0</v>
      </c>
      <c r="O454" s="19">
        <f t="shared" si="140"/>
        <v>0</v>
      </c>
      <c r="P454" s="19"/>
      <c r="Q454" s="19">
        <f t="shared" si="140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4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1">F457</f>
        <v>0</v>
      </c>
      <c r="G456" s="19">
        <f t="shared" si="141"/>
        <v>0</v>
      </c>
      <c r="H456" s="19">
        <f t="shared" si="141"/>
        <v>0</v>
      </c>
      <c r="I456" s="19">
        <f t="shared" si="141"/>
        <v>0</v>
      </c>
      <c r="J456" s="19">
        <f t="shared" si="141"/>
        <v>0</v>
      </c>
      <c r="K456" s="19">
        <f t="shared" si="141"/>
        <v>0</v>
      </c>
      <c r="L456" s="19">
        <f t="shared" si="141"/>
        <v>0</v>
      </c>
      <c r="M456" s="19">
        <f t="shared" si="141"/>
        <v>0</v>
      </c>
      <c r="N456" s="19">
        <f t="shared" si="141"/>
        <v>0</v>
      </c>
      <c r="O456" s="19">
        <f t="shared" si="141"/>
        <v>0</v>
      </c>
      <c r="P456" s="19">
        <f t="shared" si="141"/>
        <v>0</v>
      </c>
      <c r="Q456" s="19">
        <f t="shared" si="141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0</v>
      </c>
      <c r="G457" s="37">
        <f t="shared" si="114"/>
        <v>0</v>
      </c>
      <c r="H457" s="37"/>
      <c r="I457" s="36"/>
      <c r="J457" s="36"/>
      <c r="K457" s="36"/>
      <c r="L457" s="36"/>
      <c r="M457" s="36"/>
      <c r="N457" s="36"/>
      <c r="O457" s="36"/>
      <c r="P457" s="36">
        <v>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2">SUM(I458:Q458)</f>
        <v>0</v>
      </c>
      <c r="H458" s="19"/>
      <c r="I458" s="19">
        <f t="shared" ref="I458:Q458" si="143">I459+I461+I469</f>
        <v>0</v>
      </c>
      <c r="J458" s="19">
        <f t="shared" si="143"/>
        <v>0</v>
      </c>
      <c r="K458" s="19"/>
      <c r="L458" s="19">
        <f t="shared" si="143"/>
        <v>0</v>
      </c>
      <c r="M458" s="19"/>
      <c r="N458" s="19">
        <f t="shared" si="143"/>
        <v>0</v>
      </c>
      <c r="O458" s="19">
        <f t="shared" si="143"/>
        <v>0</v>
      </c>
      <c r="P458" s="19"/>
      <c r="Q458" s="19">
        <f t="shared" si="143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2"/>
        <v>0</v>
      </c>
      <c r="H459" s="19"/>
      <c r="I459" s="19">
        <f t="shared" ref="I459:Q459" si="144">I460</f>
        <v>0</v>
      </c>
      <c r="J459" s="19">
        <f t="shared" si="144"/>
        <v>0</v>
      </c>
      <c r="K459" s="19"/>
      <c r="L459" s="19">
        <f t="shared" si="144"/>
        <v>0</v>
      </c>
      <c r="M459" s="19"/>
      <c r="N459" s="19">
        <f t="shared" si="144"/>
        <v>0</v>
      </c>
      <c r="O459" s="19">
        <f t="shared" si="144"/>
        <v>0</v>
      </c>
      <c r="P459" s="19"/>
      <c r="Q459" s="19">
        <f t="shared" si="144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2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2"/>
        <v>0</v>
      </c>
      <c r="H461" s="19"/>
      <c r="I461" s="19">
        <f t="shared" ref="I461:Q461" si="145">SUM(I462:I468)</f>
        <v>0</v>
      </c>
      <c r="J461" s="19">
        <f t="shared" si="145"/>
        <v>0</v>
      </c>
      <c r="K461" s="19"/>
      <c r="L461" s="19">
        <f t="shared" si="145"/>
        <v>0</v>
      </c>
      <c r="M461" s="19"/>
      <c r="N461" s="19">
        <f t="shared" si="145"/>
        <v>0</v>
      </c>
      <c r="O461" s="19">
        <f t="shared" si="145"/>
        <v>0</v>
      </c>
      <c r="P461" s="19"/>
      <c r="Q461" s="19">
        <f t="shared" si="145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2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2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2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2"/>
        <v>0</v>
      </c>
      <c r="H469" s="19"/>
      <c r="I469" s="19">
        <f t="shared" ref="I469:Q469" si="146">I470</f>
        <v>0</v>
      </c>
      <c r="J469" s="19">
        <f t="shared" si="146"/>
        <v>0</v>
      </c>
      <c r="K469" s="19"/>
      <c r="L469" s="19">
        <f t="shared" si="146"/>
        <v>0</v>
      </c>
      <c r="M469" s="19"/>
      <c r="N469" s="19">
        <f t="shared" si="146"/>
        <v>0</v>
      </c>
      <c r="O469" s="19">
        <f t="shared" si="146"/>
        <v>0</v>
      </c>
      <c r="P469" s="19"/>
      <c r="Q469" s="19">
        <f t="shared" si="146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2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2"/>
        <v>0</v>
      </c>
      <c r="H471" s="19"/>
      <c r="I471" s="19">
        <f t="shared" ref="I471:Q472" si="147">I472</f>
        <v>0</v>
      </c>
      <c r="J471" s="19">
        <f t="shared" si="147"/>
        <v>0</v>
      </c>
      <c r="K471" s="19"/>
      <c r="L471" s="19">
        <f t="shared" si="147"/>
        <v>0</v>
      </c>
      <c r="M471" s="19"/>
      <c r="N471" s="19">
        <f t="shared" si="147"/>
        <v>0</v>
      </c>
      <c r="O471" s="19">
        <f t="shared" si="147"/>
        <v>0</v>
      </c>
      <c r="P471" s="19"/>
      <c r="Q471" s="19">
        <f t="shared" si="147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2"/>
        <v>0</v>
      </c>
      <c r="H472" s="19"/>
      <c r="I472" s="19">
        <f t="shared" si="147"/>
        <v>0</v>
      </c>
      <c r="J472" s="19">
        <f t="shared" si="147"/>
        <v>0</v>
      </c>
      <c r="K472" s="19"/>
      <c r="L472" s="19">
        <f t="shared" si="147"/>
        <v>0</v>
      </c>
      <c r="M472" s="19"/>
      <c r="N472" s="19">
        <f t="shared" si="147"/>
        <v>0</v>
      </c>
      <c r="O472" s="19">
        <f t="shared" si="147"/>
        <v>0</v>
      </c>
      <c r="P472" s="19"/>
      <c r="Q472" s="19">
        <f t="shared" si="147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2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2"/>
        <v>0</v>
      </c>
      <c r="H474" s="19"/>
      <c r="I474" s="19">
        <f t="shared" ref="I474:Q474" si="148">I475+I477+I479</f>
        <v>0</v>
      </c>
      <c r="J474" s="19">
        <f t="shared" si="148"/>
        <v>0</v>
      </c>
      <c r="K474" s="19"/>
      <c r="L474" s="19">
        <f t="shared" si="148"/>
        <v>0</v>
      </c>
      <c r="M474" s="19"/>
      <c r="N474" s="19">
        <f t="shared" si="148"/>
        <v>0</v>
      </c>
      <c r="O474" s="19">
        <f t="shared" si="148"/>
        <v>0</v>
      </c>
      <c r="P474" s="19"/>
      <c r="Q474" s="19">
        <f t="shared" si="148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2"/>
        <v>0</v>
      </c>
      <c r="H475" s="19"/>
      <c r="I475" s="19">
        <f t="shared" ref="I475:Q475" si="149">I476</f>
        <v>0</v>
      </c>
      <c r="J475" s="19">
        <f t="shared" si="149"/>
        <v>0</v>
      </c>
      <c r="K475" s="19"/>
      <c r="L475" s="19">
        <f t="shared" si="149"/>
        <v>0</v>
      </c>
      <c r="M475" s="19"/>
      <c r="N475" s="19">
        <f t="shared" si="149"/>
        <v>0</v>
      </c>
      <c r="O475" s="19">
        <f t="shared" si="149"/>
        <v>0</v>
      </c>
      <c r="P475" s="19"/>
      <c r="Q475" s="19">
        <f t="shared" si="149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2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2"/>
        <v>0</v>
      </c>
      <c r="H477" s="19"/>
      <c r="I477" s="19">
        <f t="shared" ref="I477:Q477" si="150">I478</f>
        <v>0</v>
      </c>
      <c r="J477" s="19">
        <f t="shared" si="150"/>
        <v>0</v>
      </c>
      <c r="K477" s="19"/>
      <c r="L477" s="19">
        <f t="shared" si="150"/>
        <v>0</v>
      </c>
      <c r="M477" s="19"/>
      <c r="N477" s="19">
        <f t="shared" si="150"/>
        <v>0</v>
      </c>
      <c r="O477" s="19">
        <f t="shared" si="150"/>
        <v>0</v>
      </c>
      <c r="P477" s="19"/>
      <c r="Q477" s="19">
        <f t="shared" si="150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2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2"/>
        <v>0</v>
      </c>
      <c r="H479" s="19"/>
      <c r="I479" s="19">
        <f t="shared" ref="I479:Q479" si="151">I480+I481</f>
        <v>0</v>
      </c>
      <c r="J479" s="19">
        <f t="shared" si="151"/>
        <v>0</v>
      </c>
      <c r="K479" s="19"/>
      <c r="L479" s="19">
        <f t="shared" si="151"/>
        <v>0</v>
      </c>
      <c r="M479" s="19"/>
      <c r="N479" s="19">
        <f t="shared" si="151"/>
        <v>0</v>
      </c>
      <c r="O479" s="19">
        <f t="shared" si="151"/>
        <v>0</v>
      </c>
      <c r="P479" s="19"/>
      <c r="Q479" s="19">
        <f t="shared" si="151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2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2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2"/>
        <v>0</v>
      </c>
      <c r="H482" s="19"/>
      <c r="I482" s="19">
        <f t="shared" ref="I482:Q483" si="152">I483</f>
        <v>0</v>
      </c>
      <c r="J482" s="19">
        <f t="shared" si="152"/>
        <v>0</v>
      </c>
      <c r="K482" s="19"/>
      <c r="L482" s="19">
        <f t="shared" si="152"/>
        <v>0</v>
      </c>
      <c r="M482" s="19"/>
      <c r="N482" s="19">
        <f t="shared" si="152"/>
        <v>0</v>
      </c>
      <c r="O482" s="19">
        <f t="shared" si="152"/>
        <v>0</v>
      </c>
      <c r="P482" s="19"/>
      <c r="Q482" s="19">
        <f t="shared" si="152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2"/>
        <v>0</v>
      </c>
      <c r="H483" s="19"/>
      <c r="I483" s="19">
        <f t="shared" si="152"/>
        <v>0</v>
      </c>
      <c r="J483" s="19">
        <f t="shared" si="152"/>
        <v>0</v>
      </c>
      <c r="K483" s="19"/>
      <c r="L483" s="19">
        <f t="shared" si="152"/>
        <v>0</v>
      </c>
      <c r="M483" s="19"/>
      <c r="N483" s="19">
        <f t="shared" si="152"/>
        <v>0</v>
      </c>
      <c r="O483" s="19">
        <f t="shared" si="152"/>
        <v>0</v>
      </c>
      <c r="P483" s="19"/>
      <c r="Q483" s="19">
        <f t="shared" si="152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2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2"/>
        <v>0</v>
      </c>
      <c r="H485" s="19"/>
      <c r="I485" s="19">
        <f t="shared" ref="I485:Q485" si="153">I486+I515</f>
        <v>0</v>
      </c>
      <c r="J485" s="19">
        <f t="shared" si="153"/>
        <v>0</v>
      </c>
      <c r="K485" s="19"/>
      <c r="L485" s="19">
        <f t="shared" si="153"/>
        <v>0</v>
      </c>
      <c r="M485" s="19"/>
      <c r="N485" s="19">
        <f t="shared" si="153"/>
        <v>0</v>
      </c>
      <c r="O485" s="19">
        <f t="shared" si="153"/>
        <v>0</v>
      </c>
      <c r="P485" s="19"/>
      <c r="Q485" s="19">
        <f t="shared" si="153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2"/>
        <v>0</v>
      </c>
      <c r="H486" s="19"/>
      <c r="I486" s="19">
        <f t="shared" ref="I486:Q486" si="154">I487+I501+I509+I511+I513</f>
        <v>0</v>
      </c>
      <c r="J486" s="19">
        <f t="shared" si="154"/>
        <v>0</v>
      </c>
      <c r="K486" s="19"/>
      <c r="L486" s="19">
        <f t="shared" si="154"/>
        <v>0</v>
      </c>
      <c r="M486" s="19"/>
      <c r="N486" s="19">
        <f t="shared" si="154"/>
        <v>0</v>
      </c>
      <c r="O486" s="19">
        <f t="shared" si="154"/>
        <v>0</v>
      </c>
      <c r="P486" s="19"/>
      <c r="Q486" s="19">
        <f t="shared" si="154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2"/>
        <v>0</v>
      </c>
      <c r="H487" s="19"/>
      <c r="I487" s="19">
        <f t="shared" ref="I487:Q487" si="155">SUM(I488:I500)</f>
        <v>0</v>
      </c>
      <c r="J487" s="19">
        <f t="shared" si="155"/>
        <v>0</v>
      </c>
      <c r="K487" s="19"/>
      <c r="L487" s="19">
        <f t="shared" si="155"/>
        <v>0</v>
      </c>
      <c r="M487" s="19"/>
      <c r="N487" s="19">
        <f t="shared" si="155"/>
        <v>0</v>
      </c>
      <c r="O487" s="19">
        <f t="shared" si="155"/>
        <v>0</v>
      </c>
      <c r="P487" s="19"/>
      <c r="Q487" s="19">
        <f t="shared" si="155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2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2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2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2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2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2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2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2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2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2"/>
        <v>0</v>
      </c>
      <c r="H501" s="19"/>
      <c r="I501" s="19">
        <f t="shared" ref="I501:Q501" si="156">SUM(I502:I508)</f>
        <v>0</v>
      </c>
      <c r="J501" s="19">
        <f t="shared" si="156"/>
        <v>0</v>
      </c>
      <c r="K501" s="19"/>
      <c r="L501" s="19">
        <f t="shared" si="156"/>
        <v>0</v>
      </c>
      <c r="M501" s="19"/>
      <c r="N501" s="19">
        <f t="shared" si="156"/>
        <v>0</v>
      </c>
      <c r="O501" s="19">
        <f t="shared" si="156"/>
        <v>0</v>
      </c>
      <c r="P501" s="19"/>
      <c r="Q501" s="19">
        <f t="shared" si="156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2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2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2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2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2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2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2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2"/>
        <v>0</v>
      </c>
      <c r="H509" s="19"/>
      <c r="I509" s="19">
        <f t="shared" ref="I509:Q509" si="157">I510</f>
        <v>0</v>
      </c>
      <c r="J509" s="19">
        <f t="shared" si="157"/>
        <v>0</v>
      </c>
      <c r="K509" s="19"/>
      <c r="L509" s="19">
        <f t="shared" si="157"/>
        <v>0</v>
      </c>
      <c r="M509" s="19"/>
      <c r="N509" s="19">
        <f t="shared" si="157"/>
        <v>0</v>
      </c>
      <c r="O509" s="19">
        <f t="shared" si="157"/>
        <v>0</v>
      </c>
      <c r="P509" s="19"/>
      <c r="Q509" s="19">
        <f t="shared" si="157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2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2"/>
        <v>0</v>
      </c>
      <c r="H511" s="19"/>
      <c r="I511" s="19">
        <f t="shared" ref="I511:Q513" si="158">I512</f>
        <v>0</v>
      </c>
      <c r="J511" s="19">
        <f t="shared" si="158"/>
        <v>0</v>
      </c>
      <c r="K511" s="19"/>
      <c r="L511" s="19">
        <f t="shared" si="158"/>
        <v>0</v>
      </c>
      <c r="M511" s="19"/>
      <c r="N511" s="19">
        <f t="shared" si="158"/>
        <v>0</v>
      </c>
      <c r="O511" s="19">
        <f t="shared" si="158"/>
        <v>0</v>
      </c>
      <c r="P511" s="19"/>
      <c r="Q511" s="19">
        <f t="shared" si="158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2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2"/>
        <v>0</v>
      </c>
      <c r="H513" s="19"/>
      <c r="I513" s="19">
        <f t="shared" si="158"/>
        <v>0</v>
      </c>
      <c r="J513" s="19">
        <f t="shared" si="158"/>
        <v>0</v>
      </c>
      <c r="K513" s="19"/>
      <c r="L513" s="19">
        <f t="shared" si="158"/>
        <v>0</v>
      </c>
      <c r="M513" s="19"/>
      <c r="N513" s="19">
        <f t="shared" si="158"/>
        <v>0</v>
      </c>
      <c r="O513" s="19">
        <f t="shared" si="158"/>
        <v>0</v>
      </c>
      <c r="P513" s="19"/>
      <c r="Q513" s="19">
        <f t="shared" si="158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2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2"/>
        <v>0</v>
      </c>
      <c r="H515" s="19"/>
      <c r="I515" s="19">
        <f t="shared" ref="I515:Q515" si="159">I516+I530+I539</f>
        <v>0</v>
      </c>
      <c r="J515" s="19">
        <f t="shared" si="159"/>
        <v>0</v>
      </c>
      <c r="K515" s="19"/>
      <c r="L515" s="19">
        <f t="shared" si="159"/>
        <v>0</v>
      </c>
      <c r="M515" s="19"/>
      <c r="N515" s="19">
        <f t="shared" si="159"/>
        <v>0</v>
      </c>
      <c r="O515" s="19">
        <f t="shared" si="159"/>
        <v>0</v>
      </c>
      <c r="P515" s="19"/>
      <c r="Q515" s="19">
        <f t="shared" si="159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2"/>
        <v>0</v>
      </c>
      <c r="H516" s="19"/>
      <c r="I516" s="19">
        <f t="shared" ref="I516:Q516" si="160">SUM(I517:I529)</f>
        <v>0</v>
      </c>
      <c r="J516" s="19">
        <f t="shared" si="160"/>
        <v>0</v>
      </c>
      <c r="K516" s="19"/>
      <c r="L516" s="19">
        <f t="shared" si="160"/>
        <v>0</v>
      </c>
      <c r="M516" s="19"/>
      <c r="N516" s="19">
        <f t="shared" si="160"/>
        <v>0</v>
      </c>
      <c r="O516" s="19">
        <f t="shared" si="160"/>
        <v>0</v>
      </c>
      <c r="P516" s="19"/>
      <c r="Q516" s="19">
        <f t="shared" si="160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2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2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2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2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2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2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2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2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2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2"/>
        <v>0</v>
      </c>
      <c r="H530" s="19"/>
      <c r="I530" s="19">
        <f t="shared" ref="I530:Q530" si="161">SUM(I531:I538)</f>
        <v>0</v>
      </c>
      <c r="J530" s="19">
        <f t="shared" si="161"/>
        <v>0</v>
      </c>
      <c r="K530" s="19"/>
      <c r="L530" s="19">
        <f t="shared" si="161"/>
        <v>0</v>
      </c>
      <c r="M530" s="19"/>
      <c r="N530" s="19">
        <f t="shared" si="161"/>
        <v>0</v>
      </c>
      <c r="O530" s="19">
        <f t="shared" si="161"/>
        <v>0</v>
      </c>
      <c r="P530" s="19"/>
      <c r="Q530" s="19">
        <f t="shared" si="161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2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2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2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2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2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2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2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2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2"/>
        <v>0</v>
      </c>
      <c r="H539" s="19"/>
      <c r="I539" s="19">
        <f t="shared" ref="I539:Q539" si="163">I540</f>
        <v>0</v>
      </c>
      <c r="J539" s="19">
        <f t="shared" si="163"/>
        <v>0</v>
      </c>
      <c r="K539" s="19"/>
      <c r="L539" s="19">
        <f t="shared" si="163"/>
        <v>0</v>
      </c>
      <c r="M539" s="19"/>
      <c r="N539" s="19">
        <f t="shared" si="163"/>
        <v>0</v>
      </c>
      <c r="O539" s="19">
        <f t="shared" si="163"/>
        <v>0</v>
      </c>
      <c r="P539" s="19"/>
      <c r="Q539" s="19">
        <f t="shared" si="163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2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4">E219+E485</f>
        <v>1500538</v>
      </c>
      <c r="F541" s="19">
        <f t="shared" si="164"/>
        <v>1646323</v>
      </c>
      <c r="G541" s="19">
        <f t="shared" si="164"/>
        <v>1138166</v>
      </c>
      <c r="H541" s="19">
        <f t="shared" si="164"/>
        <v>30200</v>
      </c>
      <c r="I541" s="19">
        <f t="shared" si="164"/>
        <v>1577</v>
      </c>
      <c r="J541" s="19">
        <f t="shared" si="164"/>
        <v>0</v>
      </c>
      <c r="K541" s="19">
        <f t="shared" si="164"/>
        <v>1000</v>
      </c>
      <c r="L541" s="19">
        <f t="shared" si="164"/>
        <v>1273</v>
      </c>
      <c r="M541" s="19">
        <f t="shared" si="164"/>
        <v>1602374</v>
      </c>
      <c r="N541" s="19">
        <f t="shared" si="164"/>
        <v>1125638</v>
      </c>
      <c r="O541" s="19">
        <f t="shared" si="164"/>
        <v>0</v>
      </c>
      <c r="P541" s="19">
        <f t="shared" si="164"/>
        <v>12749</v>
      </c>
      <c r="Q541" s="19">
        <f t="shared" si="164"/>
        <v>9668</v>
      </c>
    </row>
    <row r="542" spans="1:17" hidden="1" x14ac:dyDescent="0.25"/>
    <row r="543" spans="1:17" hidden="1" x14ac:dyDescent="0.25">
      <c r="F543" s="44">
        <f>F210-F541</f>
        <v>251</v>
      </c>
      <c r="G543" s="44"/>
      <c r="H543" s="44">
        <f>H210-H541</f>
        <v>0</v>
      </c>
      <c r="I543" s="44"/>
      <c r="J543" s="44">
        <f>J210-J541</f>
        <v>0</v>
      </c>
      <c r="K543" s="44">
        <f>K210-K541</f>
        <v>0</v>
      </c>
      <c r="L543" s="44"/>
      <c r="M543" s="44">
        <f>M210-M541</f>
        <v>0</v>
      </c>
      <c r="N543" s="44"/>
      <c r="O543" s="44">
        <f>O210-O541</f>
        <v>0</v>
      </c>
      <c r="P543" s="60">
        <f>P210-P541</f>
        <v>251</v>
      </c>
      <c r="Q543" s="44" t="s">
        <v>469</v>
      </c>
    </row>
    <row r="544" spans="1:17" hidden="1" x14ac:dyDescent="0.25"/>
    <row r="545" spans="1:24" hidden="1" x14ac:dyDescent="0.25">
      <c r="M545" s="44">
        <v>55285</v>
      </c>
    </row>
    <row r="546" spans="1:24" hidden="1" x14ac:dyDescent="0.25">
      <c r="K546" s="12" t="s">
        <v>463</v>
      </c>
      <c r="L546" s="44">
        <v>50421</v>
      </c>
      <c r="M546" s="44">
        <f>M249+M251+M252+M253+M257+M264+M265+M266+M267+M269+M274+M278+M281+M282+M284+M285+M287+M289+M312+M313</f>
        <v>55285</v>
      </c>
      <c r="N546" s="44">
        <f>L546-M546</f>
        <v>-4864</v>
      </c>
      <c r="P546" s="44">
        <f>M546-M545</f>
        <v>0</v>
      </c>
    </row>
    <row r="547" spans="1:24" s="127" customFormat="1" ht="24.75" customHeight="1" x14ac:dyDescent="0.25">
      <c r="A547" s="531" t="s">
        <v>509</v>
      </c>
      <c r="B547" s="532"/>
      <c r="C547" s="533"/>
      <c r="D547" s="124"/>
      <c r="E547" s="125"/>
      <c r="F547" s="125">
        <f>F210-F541</f>
        <v>251</v>
      </c>
      <c r="G547" s="125">
        <f t="shared" ref="G547" si="165">G210-G541</f>
        <v>1892812</v>
      </c>
      <c r="H547" s="126">
        <f>H210-H541</f>
        <v>0</v>
      </c>
      <c r="I547" s="125">
        <f t="shared" ref="I547:P547" si="166">I210-I541</f>
        <v>17161</v>
      </c>
      <c r="J547" s="125">
        <f t="shared" si="166"/>
        <v>0</v>
      </c>
      <c r="K547" s="126">
        <f t="shared" si="166"/>
        <v>0</v>
      </c>
      <c r="L547" s="126">
        <f t="shared" si="166"/>
        <v>-768</v>
      </c>
      <c r="M547" s="126">
        <f t="shared" si="166"/>
        <v>0</v>
      </c>
      <c r="N547" s="125">
        <f t="shared" si="166"/>
        <v>272554</v>
      </c>
      <c r="O547" s="125">
        <f t="shared" si="166"/>
        <v>0</v>
      </c>
      <c r="P547" s="125">
        <f t="shared" si="166"/>
        <v>251</v>
      </c>
      <c r="X547" s="405"/>
    </row>
    <row r="549" spans="1:24" hidden="1" x14ac:dyDescent="0.25">
      <c r="F549" s="44">
        <f>F210-F541</f>
        <v>251</v>
      </c>
      <c r="M549" s="44">
        <f>M249+M251+M252+M253+M257+M264+M265+M266+M267+M269+M274+M278+M281+M282+M284+M285+M287+M289+M312+M313</f>
        <v>55285</v>
      </c>
    </row>
  </sheetData>
  <mergeCells count="187">
    <mergeCell ref="A547:C547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</mergeCells>
  <dataValidations count="1">
    <dataValidation type="whole" allowBlank="1" showErrorMessage="1" errorTitle="Upozorenje" error="Niste uneli korektnu vrednost!_x000a_Ponovite unos." sqref="E495:Q517 E238:Q269 H432:H443 I432:Q462 E432:G462 E104:E127 G120:M121 G104:Q119 E467:Q490 E379:Q399 E353:Q374 E323:Q348 E404:Q427 E522:Q541 E219:Q233 E274:Q318 H445:H462 E132:E154 G132:Q154 G122:Q127 G74:Q99 E74:E99 E6:Q10 E207:Q211 E185:Q202 E159:Q180 E47:Q69 E15:Q42 F74:F154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1"/>
  <sheetViews>
    <sheetView topLeftCell="A94" zoomScale="106" zoomScaleNormal="106" workbookViewId="0">
      <selection activeCell="A97" sqref="A1:XFD1048576"/>
    </sheetView>
  </sheetViews>
  <sheetFormatPr defaultRowHeight="12.75" customHeight="1" x14ac:dyDescent="0.25"/>
  <cols>
    <col min="1" max="1" width="5.85546875" style="350" customWidth="1"/>
    <col min="2" max="2" width="6.85546875" style="350" customWidth="1"/>
    <col min="3" max="3" width="52.5703125" style="350" customWidth="1"/>
    <col min="4" max="4" width="10" style="350" customWidth="1"/>
    <col min="5" max="6" width="10.28515625" style="350" customWidth="1"/>
    <col min="7" max="7" width="10" style="350" customWidth="1"/>
    <col min="8" max="8" width="8.5703125" style="350" customWidth="1"/>
    <col min="9" max="9" width="8.7109375" style="350" hidden="1" customWidth="1"/>
    <col min="10" max="11" width="9.140625" style="350"/>
    <col min="12" max="12" width="0" style="350" hidden="1" customWidth="1"/>
    <col min="13" max="13" width="9.140625" style="350"/>
    <col min="14" max="14" width="9" style="523" customWidth="1"/>
    <col min="15" max="16384" width="9.140625" style="350"/>
  </cols>
  <sheetData>
    <row r="1" spans="1:14" ht="12.75" customHeight="1" x14ac:dyDescent="0.25">
      <c r="A1" s="78" t="s">
        <v>513</v>
      </c>
      <c r="B1" s="78"/>
      <c r="C1" s="78"/>
      <c r="D1" s="78"/>
      <c r="E1" s="78"/>
      <c r="F1" s="78"/>
      <c r="G1" s="78"/>
    </row>
    <row r="2" spans="1:14" ht="12.75" customHeight="1" x14ac:dyDescent="0.25">
      <c r="A2" s="116" t="s">
        <v>566</v>
      </c>
      <c r="B2" s="79"/>
      <c r="C2" s="79"/>
      <c r="D2" s="79"/>
      <c r="E2" s="79"/>
      <c r="F2" s="79"/>
      <c r="G2" s="79"/>
    </row>
    <row r="3" spans="1:14" ht="12.75" customHeight="1" x14ac:dyDescent="0.25">
      <c r="A3" s="92" t="s">
        <v>514</v>
      </c>
    </row>
    <row r="4" spans="1:14" ht="12.75" customHeight="1" thickBot="1" x14ac:dyDescent="0.3">
      <c r="A4" s="524"/>
      <c r="M4" s="525" t="s">
        <v>196</v>
      </c>
    </row>
    <row r="5" spans="1:14" ht="12.75" customHeight="1" thickBot="1" x14ac:dyDescent="0.3">
      <c r="A5" s="637" t="s">
        <v>0</v>
      </c>
      <c r="B5" s="572" t="s">
        <v>1</v>
      </c>
      <c r="C5" s="574" t="s">
        <v>2</v>
      </c>
      <c r="D5" s="700" t="s">
        <v>561</v>
      </c>
      <c r="E5" s="700" t="s">
        <v>3</v>
      </c>
      <c r="F5" s="700" t="s">
        <v>547</v>
      </c>
      <c r="G5" s="694" t="s">
        <v>4</v>
      </c>
      <c r="H5" s="694"/>
      <c r="I5" s="694"/>
      <c r="J5" s="694"/>
      <c r="K5" s="694"/>
      <c r="L5" s="694"/>
      <c r="M5" s="694"/>
      <c r="N5" s="695" t="s">
        <v>548</v>
      </c>
    </row>
    <row r="6" spans="1:14" ht="12.75" customHeight="1" thickBot="1" x14ac:dyDescent="0.3">
      <c r="A6" s="638"/>
      <c r="B6" s="573"/>
      <c r="C6" s="576"/>
      <c r="D6" s="701"/>
      <c r="E6" s="701"/>
      <c r="F6" s="701"/>
      <c r="G6" s="697" t="s">
        <v>549</v>
      </c>
      <c r="H6" s="698" t="s">
        <v>6</v>
      </c>
      <c r="I6" s="698"/>
      <c r="J6" s="698"/>
      <c r="K6" s="698"/>
      <c r="L6" s="698" t="s">
        <v>7</v>
      </c>
      <c r="M6" s="699" t="s">
        <v>8</v>
      </c>
      <c r="N6" s="696"/>
    </row>
    <row r="7" spans="1:14" ht="53.25" customHeight="1" x14ac:dyDescent="0.25">
      <c r="A7" s="638"/>
      <c r="B7" s="573"/>
      <c r="C7" s="576"/>
      <c r="D7" s="701"/>
      <c r="E7" s="701"/>
      <c r="F7" s="701"/>
      <c r="G7" s="697"/>
      <c r="H7" s="526" t="s">
        <v>9</v>
      </c>
      <c r="I7" s="526" t="s">
        <v>10</v>
      </c>
      <c r="J7" s="526" t="s">
        <v>550</v>
      </c>
      <c r="K7" s="526" t="s">
        <v>12</v>
      </c>
      <c r="L7" s="698"/>
      <c r="M7" s="699"/>
      <c r="N7" s="696"/>
    </row>
    <row r="8" spans="1:14" ht="12.75" customHeight="1" x14ac:dyDescent="0.25">
      <c r="A8" s="490">
        <v>1</v>
      </c>
      <c r="B8" s="488">
        <v>2</v>
      </c>
      <c r="C8" s="487">
        <v>3</v>
      </c>
      <c r="D8" s="526">
        <v>4</v>
      </c>
      <c r="E8" s="526">
        <v>5</v>
      </c>
      <c r="F8" s="526" t="s">
        <v>551</v>
      </c>
      <c r="G8" s="526">
        <v>7</v>
      </c>
      <c r="H8" s="526">
        <v>8</v>
      </c>
      <c r="I8" s="526">
        <v>7</v>
      </c>
      <c r="J8" s="526">
        <v>9</v>
      </c>
      <c r="K8" s="526">
        <v>10</v>
      </c>
      <c r="L8" s="526">
        <v>10</v>
      </c>
      <c r="M8" s="527">
        <v>11</v>
      </c>
      <c r="N8" s="528" t="s">
        <v>552</v>
      </c>
    </row>
    <row r="9" spans="1:14" ht="12.75" customHeight="1" x14ac:dyDescent="0.25">
      <c r="A9" s="269">
        <v>5001</v>
      </c>
      <c r="B9" s="488"/>
      <c r="C9" s="82" t="s">
        <v>13</v>
      </c>
      <c r="D9" s="100">
        <f>D10+D134</f>
        <v>63655</v>
      </c>
      <c r="E9" s="100">
        <f>E10+E134</f>
        <v>1643534</v>
      </c>
      <c r="F9" s="100">
        <f>F10+F134</f>
        <v>1707189</v>
      </c>
      <c r="G9" s="100">
        <f t="shared" ref="G9:G72" si="0">SUM(H9:M9)</f>
        <v>794070</v>
      </c>
      <c r="H9" s="100">
        <f t="shared" ref="H9:M9" si="1">H10+H134</f>
        <v>2483</v>
      </c>
      <c r="I9" s="100">
        <f t="shared" si="1"/>
        <v>0</v>
      </c>
      <c r="J9" s="100">
        <f t="shared" si="1"/>
        <v>0</v>
      </c>
      <c r="K9" s="100">
        <f t="shared" si="1"/>
        <v>785888</v>
      </c>
      <c r="L9" s="100">
        <f t="shared" si="1"/>
        <v>0</v>
      </c>
      <c r="M9" s="101">
        <f t="shared" si="1"/>
        <v>5699</v>
      </c>
      <c r="N9" s="137">
        <f>G9/F9</f>
        <v>0.46513303447948645</v>
      </c>
    </row>
    <row r="10" spans="1:14" ht="12.75" customHeight="1" x14ac:dyDescent="0.25">
      <c r="A10" s="269">
        <v>5002</v>
      </c>
      <c r="B10" s="488">
        <v>700000</v>
      </c>
      <c r="C10" s="82" t="s">
        <v>532</v>
      </c>
      <c r="D10" s="100">
        <f>D11+D63+D77+D89+D118+D123+D127</f>
        <v>63655</v>
      </c>
      <c r="E10" s="100">
        <f>E11+E63+E77+E89+E118+E123+E127</f>
        <v>1643334</v>
      </c>
      <c r="F10" s="100">
        <f>F11+F63+F77+F89+F118+F123+F127</f>
        <v>1706989</v>
      </c>
      <c r="G10" s="100">
        <f t="shared" si="0"/>
        <v>794052</v>
      </c>
      <c r="H10" s="100">
        <f t="shared" ref="H10:M10" si="2">H11+H63+H77+H89+H118+H123+H127</f>
        <v>2483</v>
      </c>
      <c r="I10" s="100">
        <f t="shared" si="2"/>
        <v>0</v>
      </c>
      <c r="J10" s="100">
        <f t="shared" si="2"/>
        <v>0</v>
      </c>
      <c r="K10" s="100">
        <f t="shared" si="2"/>
        <v>785888</v>
      </c>
      <c r="L10" s="100">
        <f t="shared" si="2"/>
        <v>0</v>
      </c>
      <c r="M10" s="101">
        <f t="shared" si="2"/>
        <v>5681</v>
      </c>
      <c r="N10" s="137">
        <f t="shared" ref="N10:N73" si="3">G10/F10</f>
        <v>0.46517698708076033</v>
      </c>
    </row>
    <row r="11" spans="1:14" ht="16.5" hidden="1" customHeight="1" x14ac:dyDescent="0.25">
      <c r="A11" s="490">
        <v>5003</v>
      </c>
      <c r="B11" s="488">
        <v>710000</v>
      </c>
      <c r="C11" s="82" t="s">
        <v>15</v>
      </c>
      <c r="D11" s="82">
        <f>D12+D20+D22+D29+D35+D42+D45+D56</f>
        <v>0</v>
      </c>
      <c r="E11" s="102">
        <f>E12+E20+E22+E29+E35+E42+E45+E56</f>
        <v>0</v>
      </c>
      <c r="F11" s="102">
        <f>F12+F20+F22+F29+F35+F42+F45+F56</f>
        <v>0</v>
      </c>
      <c r="G11" s="102">
        <f t="shared" si="0"/>
        <v>0</v>
      </c>
      <c r="H11" s="102">
        <f t="shared" ref="H11:M11" si="4">H12+H20+H22+H29+H35+H42+H45+H56</f>
        <v>0</v>
      </c>
      <c r="I11" s="102">
        <f t="shared" si="4"/>
        <v>0</v>
      </c>
      <c r="J11" s="102">
        <f t="shared" si="4"/>
        <v>0</v>
      </c>
      <c r="K11" s="102">
        <f t="shared" si="4"/>
        <v>0</v>
      </c>
      <c r="L11" s="102">
        <f t="shared" si="4"/>
        <v>0</v>
      </c>
      <c r="M11" s="103">
        <f t="shared" si="4"/>
        <v>0</v>
      </c>
      <c r="N11" s="137" t="e">
        <f t="shared" si="3"/>
        <v>#DIV/0!</v>
      </c>
    </row>
    <row r="12" spans="1:14" ht="16.5" hidden="1" customHeight="1" x14ac:dyDescent="0.25">
      <c r="A12" s="490">
        <v>5004</v>
      </c>
      <c r="B12" s="488">
        <v>711000</v>
      </c>
      <c r="C12" s="82" t="s">
        <v>16</v>
      </c>
      <c r="D12" s="82">
        <f>SUM(D13:D19)</f>
        <v>0</v>
      </c>
      <c r="E12" s="102">
        <f>SUM(E13:E19)</f>
        <v>0</v>
      </c>
      <c r="F12" s="102">
        <f>SUM(F13:F19)</f>
        <v>0</v>
      </c>
      <c r="G12" s="102">
        <f t="shared" si="0"/>
        <v>0</v>
      </c>
      <c r="H12" s="102">
        <f t="shared" ref="H12:M12" si="5">SUM(H13:H19)</f>
        <v>0</v>
      </c>
      <c r="I12" s="102">
        <f t="shared" si="5"/>
        <v>0</v>
      </c>
      <c r="J12" s="102">
        <f t="shared" si="5"/>
        <v>0</v>
      </c>
      <c r="K12" s="102">
        <f t="shared" si="5"/>
        <v>0</v>
      </c>
      <c r="L12" s="102">
        <f t="shared" si="5"/>
        <v>0</v>
      </c>
      <c r="M12" s="103">
        <f t="shared" si="5"/>
        <v>0</v>
      </c>
      <c r="N12" s="137" t="e">
        <f t="shared" si="3"/>
        <v>#DIV/0!</v>
      </c>
    </row>
    <row r="13" spans="1:14" ht="16.5" hidden="1" customHeight="1" x14ac:dyDescent="0.25">
      <c r="A13" s="266">
        <v>5005</v>
      </c>
      <c r="B13" s="83">
        <v>711100</v>
      </c>
      <c r="C13" s="84" t="s">
        <v>17</v>
      </c>
      <c r="D13" s="247"/>
      <c r="E13" s="104"/>
      <c r="F13" s="104"/>
      <c r="G13" s="104">
        <f t="shared" si="0"/>
        <v>0</v>
      </c>
      <c r="H13" s="104"/>
      <c r="I13" s="104"/>
      <c r="J13" s="104"/>
      <c r="K13" s="104"/>
      <c r="L13" s="104"/>
      <c r="M13" s="105"/>
      <c r="N13" s="137" t="e">
        <f t="shared" si="3"/>
        <v>#DIV/0!</v>
      </c>
    </row>
    <row r="14" spans="1:14" ht="16.5" hidden="1" customHeight="1" x14ac:dyDescent="0.25">
      <c r="A14" s="645" t="s">
        <v>0</v>
      </c>
      <c r="B14" s="646" t="s">
        <v>1</v>
      </c>
      <c r="C14" s="585" t="s">
        <v>2</v>
      </c>
      <c r="D14" s="486" t="s">
        <v>3</v>
      </c>
      <c r="E14" s="575" t="s">
        <v>3</v>
      </c>
      <c r="F14" s="487" t="s">
        <v>3</v>
      </c>
      <c r="G14" s="575" t="s">
        <v>4</v>
      </c>
      <c r="H14" s="575"/>
      <c r="I14" s="575"/>
      <c r="J14" s="575"/>
      <c r="K14" s="575"/>
      <c r="L14" s="575"/>
      <c r="M14" s="582"/>
      <c r="N14" s="137" t="e">
        <f t="shared" si="3"/>
        <v>#VALUE!</v>
      </c>
    </row>
    <row r="15" spans="1:14" ht="16.5" hidden="1" customHeight="1" x14ac:dyDescent="0.25">
      <c r="A15" s="645"/>
      <c r="B15" s="646"/>
      <c r="C15" s="585"/>
      <c r="D15" s="486"/>
      <c r="E15" s="575"/>
      <c r="F15" s="487"/>
      <c r="G15" s="581" t="s">
        <v>5</v>
      </c>
      <c r="H15" s="575" t="s">
        <v>6</v>
      </c>
      <c r="I15" s="575"/>
      <c r="J15" s="575"/>
      <c r="K15" s="575"/>
      <c r="L15" s="575" t="s">
        <v>7</v>
      </c>
      <c r="M15" s="582" t="s">
        <v>8</v>
      </c>
      <c r="N15" s="137" t="e">
        <f t="shared" si="3"/>
        <v>#VALUE!</v>
      </c>
    </row>
    <row r="16" spans="1:14" ht="16.5" hidden="1" customHeight="1" x14ac:dyDescent="0.25">
      <c r="A16" s="645"/>
      <c r="B16" s="646"/>
      <c r="C16" s="585"/>
      <c r="D16" s="486"/>
      <c r="E16" s="575"/>
      <c r="F16" s="487"/>
      <c r="G16" s="581"/>
      <c r="H16" s="487" t="s">
        <v>9</v>
      </c>
      <c r="I16" s="487" t="s">
        <v>10</v>
      </c>
      <c r="J16" s="487" t="s">
        <v>11</v>
      </c>
      <c r="K16" s="487" t="s">
        <v>12</v>
      </c>
      <c r="L16" s="575"/>
      <c r="M16" s="582"/>
      <c r="N16" s="137" t="e">
        <f t="shared" si="3"/>
        <v>#DIV/0!</v>
      </c>
    </row>
    <row r="17" spans="1:14" ht="16.5" hidden="1" customHeight="1" x14ac:dyDescent="0.25">
      <c r="A17" s="270" t="s">
        <v>18</v>
      </c>
      <c r="B17" s="491" t="s">
        <v>19</v>
      </c>
      <c r="C17" s="485" t="s">
        <v>20</v>
      </c>
      <c r="D17" s="485" t="s">
        <v>21</v>
      </c>
      <c r="E17" s="86" t="s">
        <v>21</v>
      </c>
      <c r="F17" s="86" t="s">
        <v>21</v>
      </c>
      <c r="G17" s="86" t="s">
        <v>22</v>
      </c>
      <c r="H17" s="86" t="s">
        <v>23</v>
      </c>
      <c r="I17" s="86" t="s">
        <v>24</v>
      </c>
      <c r="J17" s="86" t="s">
        <v>25</v>
      </c>
      <c r="K17" s="86" t="s">
        <v>26</v>
      </c>
      <c r="L17" s="86" t="s">
        <v>27</v>
      </c>
      <c r="M17" s="98" t="s">
        <v>28</v>
      </c>
      <c r="N17" s="137">
        <f t="shared" si="3"/>
        <v>1.25</v>
      </c>
    </row>
    <row r="18" spans="1:14" ht="16.5" hidden="1" customHeight="1" x14ac:dyDescent="0.25">
      <c r="A18" s="266">
        <v>5006</v>
      </c>
      <c r="B18" s="83">
        <v>711200</v>
      </c>
      <c r="C18" s="84" t="s">
        <v>29</v>
      </c>
      <c r="D18" s="84"/>
      <c r="E18" s="106"/>
      <c r="F18" s="106"/>
      <c r="G18" s="106">
        <f t="shared" si="0"/>
        <v>0</v>
      </c>
      <c r="H18" s="106"/>
      <c r="I18" s="106"/>
      <c r="J18" s="106"/>
      <c r="K18" s="106"/>
      <c r="L18" s="106"/>
      <c r="M18" s="107"/>
      <c r="N18" s="137" t="e">
        <f t="shared" si="3"/>
        <v>#DIV/0!</v>
      </c>
    </row>
    <row r="19" spans="1:14" ht="16.5" hidden="1" customHeight="1" x14ac:dyDescent="0.25">
      <c r="A19" s="266">
        <v>5007</v>
      </c>
      <c r="B19" s="83">
        <v>711300</v>
      </c>
      <c r="C19" s="84" t="s">
        <v>30</v>
      </c>
      <c r="D19" s="84"/>
      <c r="E19" s="106"/>
      <c r="F19" s="106"/>
      <c r="G19" s="106">
        <f t="shared" si="0"/>
        <v>0</v>
      </c>
      <c r="H19" s="106"/>
      <c r="I19" s="106"/>
      <c r="J19" s="106"/>
      <c r="K19" s="106"/>
      <c r="L19" s="106"/>
      <c r="M19" s="107"/>
      <c r="N19" s="137" t="e">
        <f t="shared" si="3"/>
        <v>#DIV/0!</v>
      </c>
    </row>
    <row r="20" spans="1:14" ht="16.5" hidden="1" customHeight="1" x14ac:dyDescent="0.25">
      <c r="A20" s="490">
        <v>5008</v>
      </c>
      <c r="B20" s="488">
        <v>712000</v>
      </c>
      <c r="C20" s="82" t="s">
        <v>31</v>
      </c>
      <c r="D20" s="82">
        <f>D21</f>
        <v>0</v>
      </c>
      <c r="E20" s="102">
        <f>E21</f>
        <v>0</v>
      </c>
      <c r="F20" s="102">
        <f>F21</f>
        <v>0</v>
      </c>
      <c r="G20" s="102">
        <f t="shared" si="0"/>
        <v>0</v>
      </c>
      <c r="H20" s="102">
        <f t="shared" ref="H20:M20" si="6">H21</f>
        <v>0</v>
      </c>
      <c r="I20" s="102">
        <f t="shared" si="6"/>
        <v>0</v>
      </c>
      <c r="J20" s="102">
        <f t="shared" si="6"/>
        <v>0</v>
      </c>
      <c r="K20" s="102">
        <f t="shared" si="6"/>
        <v>0</v>
      </c>
      <c r="L20" s="102">
        <f t="shared" si="6"/>
        <v>0</v>
      </c>
      <c r="M20" s="103">
        <f t="shared" si="6"/>
        <v>0</v>
      </c>
      <c r="N20" s="137" t="e">
        <f t="shared" si="3"/>
        <v>#DIV/0!</v>
      </c>
    </row>
    <row r="21" spans="1:14" ht="16.5" hidden="1" customHeight="1" x14ac:dyDescent="0.25">
      <c r="A21" s="266">
        <v>5009</v>
      </c>
      <c r="B21" s="83">
        <v>712100</v>
      </c>
      <c r="C21" s="84" t="s">
        <v>32</v>
      </c>
      <c r="D21" s="84"/>
      <c r="E21" s="106"/>
      <c r="F21" s="106"/>
      <c r="G21" s="106">
        <f t="shared" si="0"/>
        <v>0</v>
      </c>
      <c r="H21" s="106"/>
      <c r="I21" s="106"/>
      <c r="J21" s="106"/>
      <c r="K21" s="106"/>
      <c r="L21" s="106"/>
      <c r="M21" s="107"/>
      <c r="N21" s="137" t="e">
        <f t="shared" si="3"/>
        <v>#DIV/0!</v>
      </c>
    </row>
    <row r="22" spans="1:14" ht="16.5" hidden="1" customHeight="1" x14ac:dyDescent="0.25">
      <c r="A22" s="490">
        <v>5010</v>
      </c>
      <c r="B22" s="488">
        <v>713000</v>
      </c>
      <c r="C22" s="82" t="s">
        <v>33</v>
      </c>
      <c r="D22" s="82">
        <f>SUM(D23:D28)</f>
        <v>0</v>
      </c>
      <c r="E22" s="102">
        <f>SUM(E23:E28)</f>
        <v>0</v>
      </c>
      <c r="F22" s="102">
        <f>SUM(F23:F28)</f>
        <v>0</v>
      </c>
      <c r="G22" s="102">
        <f t="shared" si="0"/>
        <v>0</v>
      </c>
      <c r="H22" s="102">
        <f t="shared" ref="H22:M22" si="7">SUM(H23:H28)</f>
        <v>0</v>
      </c>
      <c r="I22" s="102">
        <f t="shared" si="7"/>
        <v>0</v>
      </c>
      <c r="J22" s="102">
        <f t="shared" si="7"/>
        <v>0</v>
      </c>
      <c r="K22" s="102">
        <f t="shared" si="7"/>
        <v>0</v>
      </c>
      <c r="L22" s="102">
        <f t="shared" si="7"/>
        <v>0</v>
      </c>
      <c r="M22" s="103">
        <f t="shared" si="7"/>
        <v>0</v>
      </c>
      <c r="N22" s="137" t="e">
        <f t="shared" si="3"/>
        <v>#DIV/0!</v>
      </c>
    </row>
    <row r="23" spans="1:14" ht="16.5" hidden="1" customHeight="1" x14ac:dyDescent="0.25">
      <c r="A23" s="266">
        <v>5011</v>
      </c>
      <c r="B23" s="83">
        <v>713100</v>
      </c>
      <c r="C23" s="84" t="s">
        <v>34</v>
      </c>
      <c r="D23" s="84"/>
      <c r="E23" s="106"/>
      <c r="F23" s="106"/>
      <c r="G23" s="106">
        <f t="shared" si="0"/>
        <v>0</v>
      </c>
      <c r="H23" s="106"/>
      <c r="I23" s="106"/>
      <c r="J23" s="106"/>
      <c r="K23" s="106"/>
      <c r="L23" s="106"/>
      <c r="M23" s="107"/>
      <c r="N23" s="137" t="e">
        <f t="shared" si="3"/>
        <v>#DIV/0!</v>
      </c>
    </row>
    <row r="24" spans="1:14" ht="16.5" hidden="1" customHeight="1" x14ac:dyDescent="0.25">
      <c r="A24" s="266">
        <v>5012</v>
      </c>
      <c r="B24" s="83">
        <v>713200</v>
      </c>
      <c r="C24" s="84" t="s">
        <v>35</v>
      </c>
      <c r="D24" s="84"/>
      <c r="E24" s="106"/>
      <c r="F24" s="106"/>
      <c r="G24" s="106">
        <f t="shared" si="0"/>
        <v>0</v>
      </c>
      <c r="H24" s="106"/>
      <c r="I24" s="106"/>
      <c r="J24" s="106"/>
      <c r="K24" s="106"/>
      <c r="L24" s="106"/>
      <c r="M24" s="107"/>
      <c r="N24" s="137" t="e">
        <f t="shared" si="3"/>
        <v>#DIV/0!</v>
      </c>
    </row>
    <row r="25" spans="1:14" ht="16.5" hidden="1" customHeight="1" x14ac:dyDescent="0.25">
      <c r="A25" s="266">
        <v>5013</v>
      </c>
      <c r="B25" s="83">
        <v>713300</v>
      </c>
      <c r="C25" s="84" t="s">
        <v>36</v>
      </c>
      <c r="D25" s="84"/>
      <c r="E25" s="106"/>
      <c r="F25" s="106"/>
      <c r="G25" s="106">
        <f t="shared" si="0"/>
        <v>0</v>
      </c>
      <c r="H25" s="106"/>
      <c r="I25" s="106"/>
      <c r="J25" s="106"/>
      <c r="K25" s="106"/>
      <c r="L25" s="106"/>
      <c r="M25" s="107"/>
      <c r="N25" s="137" t="e">
        <f t="shared" si="3"/>
        <v>#DIV/0!</v>
      </c>
    </row>
    <row r="26" spans="1:14" ht="16.5" hidden="1" customHeight="1" x14ac:dyDescent="0.25">
      <c r="A26" s="266">
        <v>5014</v>
      </c>
      <c r="B26" s="83">
        <v>713400</v>
      </c>
      <c r="C26" s="84" t="s">
        <v>37</v>
      </c>
      <c r="D26" s="84"/>
      <c r="E26" s="106"/>
      <c r="F26" s="106"/>
      <c r="G26" s="106">
        <f t="shared" si="0"/>
        <v>0</v>
      </c>
      <c r="H26" s="106"/>
      <c r="I26" s="106"/>
      <c r="J26" s="106"/>
      <c r="K26" s="106"/>
      <c r="L26" s="106"/>
      <c r="M26" s="107"/>
      <c r="N26" s="137" t="e">
        <f t="shared" si="3"/>
        <v>#DIV/0!</v>
      </c>
    </row>
    <row r="27" spans="1:14" ht="16.5" hidden="1" customHeight="1" x14ac:dyDescent="0.25">
      <c r="A27" s="266">
        <v>5015</v>
      </c>
      <c r="B27" s="83">
        <v>713500</v>
      </c>
      <c r="C27" s="84" t="s">
        <v>38</v>
      </c>
      <c r="D27" s="84"/>
      <c r="E27" s="106"/>
      <c r="F27" s="106"/>
      <c r="G27" s="106">
        <f t="shared" si="0"/>
        <v>0</v>
      </c>
      <c r="H27" s="106"/>
      <c r="I27" s="106"/>
      <c r="J27" s="106"/>
      <c r="K27" s="106"/>
      <c r="L27" s="106"/>
      <c r="M27" s="107"/>
      <c r="N27" s="137" t="e">
        <f t="shared" si="3"/>
        <v>#DIV/0!</v>
      </c>
    </row>
    <row r="28" spans="1:14" ht="16.5" hidden="1" customHeight="1" x14ac:dyDescent="0.25">
      <c r="A28" s="266">
        <v>5016</v>
      </c>
      <c r="B28" s="83">
        <v>713600</v>
      </c>
      <c r="C28" s="84" t="s">
        <v>39</v>
      </c>
      <c r="D28" s="84"/>
      <c r="E28" s="102"/>
      <c r="F28" s="102"/>
      <c r="G28" s="106">
        <f t="shared" si="0"/>
        <v>0</v>
      </c>
      <c r="H28" s="102"/>
      <c r="I28" s="102"/>
      <c r="J28" s="102"/>
      <c r="K28" s="102"/>
      <c r="L28" s="102"/>
      <c r="M28" s="103"/>
      <c r="N28" s="137" t="e">
        <f t="shared" si="3"/>
        <v>#DIV/0!</v>
      </c>
    </row>
    <row r="29" spans="1:14" ht="16.5" hidden="1" customHeight="1" x14ac:dyDescent="0.25">
      <c r="A29" s="490">
        <v>5017</v>
      </c>
      <c r="B29" s="488">
        <v>714000</v>
      </c>
      <c r="C29" s="82" t="s">
        <v>40</v>
      </c>
      <c r="D29" s="82">
        <f>SUM(D30:D34)</f>
        <v>0</v>
      </c>
      <c r="E29" s="102">
        <f>SUM(E30:E34)</f>
        <v>0</v>
      </c>
      <c r="F29" s="102">
        <f>SUM(F30:F34)</f>
        <v>0</v>
      </c>
      <c r="G29" s="102">
        <f t="shared" si="0"/>
        <v>0</v>
      </c>
      <c r="H29" s="102">
        <f t="shared" ref="H29:M29" si="8">SUM(H30:H34)</f>
        <v>0</v>
      </c>
      <c r="I29" s="102">
        <f t="shared" si="8"/>
        <v>0</v>
      </c>
      <c r="J29" s="102">
        <f t="shared" si="8"/>
        <v>0</v>
      </c>
      <c r="K29" s="102">
        <f t="shared" si="8"/>
        <v>0</v>
      </c>
      <c r="L29" s="102">
        <f t="shared" si="8"/>
        <v>0</v>
      </c>
      <c r="M29" s="103">
        <f t="shared" si="8"/>
        <v>0</v>
      </c>
      <c r="N29" s="137" t="e">
        <f t="shared" si="3"/>
        <v>#DIV/0!</v>
      </c>
    </row>
    <row r="30" spans="1:14" ht="16.5" hidden="1" customHeight="1" x14ac:dyDescent="0.25">
      <c r="A30" s="266">
        <v>5018</v>
      </c>
      <c r="B30" s="83">
        <v>714100</v>
      </c>
      <c r="C30" s="84" t="s">
        <v>41</v>
      </c>
      <c r="D30" s="84"/>
      <c r="E30" s="106"/>
      <c r="F30" s="106"/>
      <c r="G30" s="106">
        <f t="shared" si="0"/>
        <v>0</v>
      </c>
      <c r="H30" s="106"/>
      <c r="I30" s="106"/>
      <c r="J30" s="106"/>
      <c r="K30" s="106"/>
      <c r="L30" s="106"/>
      <c r="M30" s="107"/>
      <c r="N30" s="137" t="e">
        <f t="shared" si="3"/>
        <v>#DIV/0!</v>
      </c>
    </row>
    <row r="31" spans="1:14" ht="16.5" hidden="1" customHeight="1" x14ac:dyDescent="0.25">
      <c r="A31" s="266">
        <v>5019</v>
      </c>
      <c r="B31" s="83">
        <v>714300</v>
      </c>
      <c r="C31" s="84" t="s">
        <v>42</v>
      </c>
      <c r="D31" s="84"/>
      <c r="E31" s="106"/>
      <c r="F31" s="106"/>
      <c r="G31" s="106">
        <f t="shared" si="0"/>
        <v>0</v>
      </c>
      <c r="H31" s="106"/>
      <c r="I31" s="106"/>
      <c r="J31" s="106"/>
      <c r="K31" s="106"/>
      <c r="L31" s="106"/>
      <c r="M31" s="107"/>
      <c r="N31" s="137" t="e">
        <f t="shared" si="3"/>
        <v>#DIV/0!</v>
      </c>
    </row>
    <row r="32" spans="1:14" ht="16.5" hidden="1" customHeight="1" x14ac:dyDescent="0.25">
      <c r="A32" s="266">
        <v>5020</v>
      </c>
      <c r="B32" s="83">
        <v>714400</v>
      </c>
      <c r="C32" s="84" t="s">
        <v>43</v>
      </c>
      <c r="D32" s="84"/>
      <c r="E32" s="106"/>
      <c r="F32" s="106"/>
      <c r="G32" s="106">
        <f t="shared" si="0"/>
        <v>0</v>
      </c>
      <c r="H32" s="106"/>
      <c r="I32" s="106"/>
      <c r="J32" s="106"/>
      <c r="K32" s="106"/>
      <c r="L32" s="106"/>
      <c r="M32" s="107"/>
      <c r="N32" s="137" t="e">
        <f t="shared" si="3"/>
        <v>#DIV/0!</v>
      </c>
    </row>
    <row r="33" spans="1:14" ht="16.5" hidden="1" customHeight="1" x14ac:dyDescent="0.25">
      <c r="A33" s="266">
        <v>5021</v>
      </c>
      <c r="B33" s="83">
        <v>714500</v>
      </c>
      <c r="C33" s="84" t="s">
        <v>44</v>
      </c>
      <c r="D33" s="84"/>
      <c r="E33" s="106"/>
      <c r="F33" s="106"/>
      <c r="G33" s="106">
        <f t="shared" si="0"/>
        <v>0</v>
      </c>
      <c r="H33" s="106"/>
      <c r="I33" s="106"/>
      <c r="J33" s="106"/>
      <c r="K33" s="106"/>
      <c r="L33" s="106"/>
      <c r="M33" s="107"/>
      <c r="N33" s="137" t="e">
        <f t="shared" si="3"/>
        <v>#DIV/0!</v>
      </c>
    </row>
    <row r="34" spans="1:14" ht="16.5" hidden="1" customHeight="1" x14ac:dyDescent="0.25">
      <c r="A34" s="266">
        <v>5022</v>
      </c>
      <c r="B34" s="83">
        <v>714600</v>
      </c>
      <c r="C34" s="84" t="s">
        <v>45</v>
      </c>
      <c r="D34" s="84"/>
      <c r="E34" s="106"/>
      <c r="F34" s="106"/>
      <c r="G34" s="106">
        <f t="shared" si="0"/>
        <v>0</v>
      </c>
      <c r="H34" s="106"/>
      <c r="I34" s="106"/>
      <c r="J34" s="106"/>
      <c r="K34" s="106"/>
      <c r="L34" s="106"/>
      <c r="M34" s="107"/>
      <c r="N34" s="137" t="e">
        <f t="shared" si="3"/>
        <v>#DIV/0!</v>
      </c>
    </row>
    <row r="35" spans="1:14" ht="16.5" hidden="1" customHeight="1" x14ac:dyDescent="0.25">
      <c r="A35" s="490">
        <v>5023</v>
      </c>
      <c r="B35" s="488">
        <v>715000</v>
      </c>
      <c r="C35" s="82" t="s">
        <v>46</v>
      </c>
      <c r="D35" s="82">
        <f>SUM(D36:D41)</f>
        <v>0</v>
      </c>
      <c r="E35" s="102">
        <f>SUM(E36:E41)</f>
        <v>0</v>
      </c>
      <c r="F35" s="102">
        <f>SUM(F36:F41)</f>
        <v>0</v>
      </c>
      <c r="G35" s="102">
        <f t="shared" si="0"/>
        <v>0</v>
      </c>
      <c r="H35" s="102">
        <f t="shared" ref="H35:M35" si="9">SUM(H36:H41)</f>
        <v>0</v>
      </c>
      <c r="I35" s="102">
        <f t="shared" si="9"/>
        <v>0</v>
      </c>
      <c r="J35" s="102">
        <f t="shared" si="9"/>
        <v>0</v>
      </c>
      <c r="K35" s="102">
        <f t="shared" si="9"/>
        <v>0</v>
      </c>
      <c r="L35" s="102">
        <f t="shared" si="9"/>
        <v>0</v>
      </c>
      <c r="M35" s="103">
        <f t="shared" si="9"/>
        <v>0</v>
      </c>
      <c r="N35" s="137" t="e">
        <f t="shared" si="3"/>
        <v>#DIV/0!</v>
      </c>
    </row>
    <row r="36" spans="1:14" ht="16.5" hidden="1" customHeight="1" x14ac:dyDescent="0.25">
      <c r="A36" s="266">
        <v>5024</v>
      </c>
      <c r="B36" s="83">
        <v>715100</v>
      </c>
      <c r="C36" s="84" t="s">
        <v>47</v>
      </c>
      <c r="D36" s="84"/>
      <c r="E36" s="106"/>
      <c r="F36" s="106"/>
      <c r="G36" s="106">
        <f t="shared" si="0"/>
        <v>0</v>
      </c>
      <c r="H36" s="106"/>
      <c r="I36" s="106"/>
      <c r="J36" s="106"/>
      <c r="K36" s="106"/>
      <c r="L36" s="106"/>
      <c r="M36" s="107"/>
      <c r="N36" s="137" t="e">
        <f t="shared" si="3"/>
        <v>#DIV/0!</v>
      </c>
    </row>
    <row r="37" spans="1:14" ht="16.5" hidden="1" customHeight="1" x14ac:dyDescent="0.25">
      <c r="A37" s="266">
        <v>5025</v>
      </c>
      <c r="B37" s="83">
        <v>715200</v>
      </c>
      <c r="C37" s="84" t="s">
        <v>48</v>
      </c>
      <c r="D37" s="84"/>
      <c r="E37" s="106"/>
      <c r="F37" s="106"/>
      <c r="G37" s="106">
        <f t="shared" si="0"/>
        <v>0</v>
      </c>
      <c r="H37" s="106"/>
      <c r="I37" s="106"/>
      <c r="J37" s="106"/>
      <c r="K37" s="106"/>
      <c r="L37" s="106"/>
      <c r="M37" s="107"/>
      <c r="N37" s="137" t="e">
        <f t="shared" si="3"/>
        <v>#DIV/0!</v>
      </c>
    </row>
    <row r="38" spans="1:14" ht="16.5" hidden="1" customHeight="1" x14ac:dyDescent="0.25">
      <c r="A38" s="266">
        <v>5026</v>
      </c>
      <c r="B38" s="83">
        <v>715300</v>
      </c>
      <c r="C38" s="84" t="s">
        <v>49</v>
      </c>
      <c r="D38" s="84"/>
      <c r="E38" s="106"/>
      <c r="F38" s="106"/>
      <c r="G38" s="106">
        <f t="shared" si="0"/>
        <v>0</v>
      </c>
      <c r="H38" s="106"/>
      <c r="I38" s="106"/>
      <c r="J38" s="106"/>
      <c r="K38" s="106"/>
      <c r="L38" s="106"/>
      <c r="M38" s="107"/>
      <c r="N38" s="137" t="e">
        <f t="shared" si="3"/>
        <v>#DIV/0!</v>
      </c>
    </row>
    <row r="39" spans="1:14" ht="16.5" hidden="1" customHeight="1" x14ac:dyDescent="0.25">
      <c r="A39" s="266">
        <v>5027</v>
      </c>
      <c r="B39" s="83">
        <v>715400</v>
      </c>
      <c r="C39" s="84" t="s">
        <v>50</v>
      </c>
      <c r="D39" s="84"/>
      <c r="E39" s="106"/>
      <c r="F39" s="106"/>
      <c r="G39" s="106">
        <f t="shared" si="0"/>
        <v>0</v>
      </c>
      <c r="H39" s="106"/>
      <c r="I39" s="106"/>
      <c r="J39" s="106"/>
      <c r="K39" s="106"/>
      <c r="L39" s="106"/>
      <c r="M39" s="107"/>
      <c r="N39" s="137" t="e">
        <f t="shared" si="3"/>
        <v>#DIV/0!</v>
      </c>
    </row>
    <row r="40" spans="1:14" ht="16.5" hidden="1" customHeight="1" x14ac:dyDescent="0.25">
      <c r="A40" s="266">
        <v>5028</v>
      </c>
      <c r="B40" s="83">
        <v>715500</v>
      </c>
      <c r="C40" s="84" t="s">
        <v>51</v>
      </c>
      <c r="D40" s="84"/>
      <c r="E40" s="106"/>
      <c r="F40" s="106"/>
      <c r="G40" s="106">
        <f t="shared" si="0"/>
        <v>0</v>
      </c>
      <c r="H40" s="106"/>
      <c r="I40" s="106"/>
      <c r="J40" s="106"/>
      <c r="K40" s="106"/>
      <c r="L40" s="106"/>
      <c r="M40" s="107"/>
      <c r="N40" s="137" t="e">
        <f t="shared" si="3"/>
        <v>#DIV/0!</v>
      </c>
    </row>
    <row r="41" spans="1:14" ht="16.5" hidden="1" customHeight="1" x14ac:dyDescent="0.25">
      <c r="A41" s="266">
        <v>5029</v>
      </c>
      <c r="B41" s="83">
        <v>715600</v>
      </c>
      <c r="C41" s="84" t="s">
        <v>52</v>
      </c>
      <c r="D41" s="84"/>
      <c r="E41" s="106"/>
      <c r="F41" s="106"/>
      <c r="G41" s="106">
        <f t="shared" si="0"/>
        <v>0</v>
      </c>
      <c r="H41" s="106"/>
      <c r="I41" s="106"/>
      <c r="J41" s="106"/>
      <c r="K41" s="106"/>
      <c r="L41" s="106"/>
      <c r="M41" s="107"/>
      <c r="N41" s="137" t="e">
        <f t="shared" si="3"/>
        <v>#DIV/0!</v>
      </c>
    </row>
    <row r="42" spans="1:14" ht="16.5" hidden="1" customHeight="1" x14ac:dyDescent="0.25">
      <c r="A42" s="490">
        <v>5030</v>
      </c>
      <c r="B42" s="488">
        <v>716000</v>
      </c>
      <c r="C42" s="82" t="s">
        <v>53</v>
      </c>
      <c r="D42" s="82">
        <f>D43+D44</f>
        <v>0</v>
      </c>
      <c r="E42" s="102">
        <f>E43+E44</f>
        <v>0</v>
      </c>
      <c r="F42" s="102">
        <f>F43+F44</f>
        <v>0</v>
      </c>
      <c r="G42" s="102">
        <f t="shared" si="0"/>
        <v>0</v>
      </c>
      <c r="H42" s="102">
        <f t="shared" ref="H42:M42" si="10">H43+H44</f>
        <v>0</v>
      </c>
      <c r="I42" s="102">
        <f t="shared" si="10"/>
        <v>0</v>
      </c>
      <c r="J42" s="102">
        <f t="shared" si="10"/>
        <v>0</v>
      </c>
      <c r="K42" s="102">
        <f t="shared" si="10"/>
        <v>0</v>
      </c>
      <c r="L42" s="102">
        <f t="shared" si="10"/>
        <v>0</v>
      </c>
      <c r="M42" s="103">
        <f t="shared" si="10"/>
        <v>0</v>
      </c>
      <c r="N42" s="137" t="e">
        <f t="shared" si="3"/>
        <v>#DIV/0!</v>
      </c>
    </row>
    <row r="43" spans="1:14" ht="16.5" hidden="1" customHeight="1" x14ac:dyDescent="0.25">
      <c r="A43" s="266">
        <v>5031</v>
      </c>
      <c r="B43" s="83">
        <v>716100</v>
      </c>
      <c r="C43" s="84" t="s">
        <v>54</v>
      </c>
      <c r="D43" s="84"/>
      <c r="E43" s="106"/>
      <c r="F43" s="106"/>
      <c r="G43" s="106">
        <f t="shared" si="0"/>
        <v>0</v>
      </c>
      <c r="H43" s="106"/>
      <c r="I43" s="106"/>
      <c r="J43" s="106"/>
      <c r="K43" s="106"/>
      <c r="L43" s="106"/>
      <c r="M43" s="107"/>
      <c r="N43" s="137" t="e">
        <f t="shared" si="3"/>
        <v>#DIV/0!</v>
      </c>
    </row>
    <row r="44" spans="1:14" ht="16.5" hidden="1" customHeight="1" x14ac:dyDescent="0.25">
      <c r="A44" s="266">
        <v>5032</v>
      </c>
      <c r="B44" s="83">
        <v>716200</v>
      </c>
      <c r="C44" s="84" t="s">
        <v>55</v>
      </c>
      <c r="D44" s="84"/>
      <c r="E44" s="106"/>
      <c r="F44" s="106"/>
      <c r="G44" s="106">
        <f t="shared" si="0"/>
        <v>0</v>
      </c>
      <c r="H44" s="106"/>
      <c r="I44" s="106"/>
      <c r="J44" s="106"/>
      <c r="K44" s="106"/>
      <c r="L44" s="106"/>
      <c r="M44" s="107"/>
      <c r="N44" s="137" t="e">
        <f t="shared" si="3"/>
        <v>#DIV/0!</v>
      </c>
    </row>
    <row r="45" spans="1:14" ht="16.5" hidden="1" customHeight="1" x14ac:dyDescent="0.25">
      <c r="A45" s="490">
        <v>5033</v>
      </c>
      <c r="B45" s="488">
        <v>717000</v>
      </c>
      <c r="C45" s="82" t="s">
        <v>56</v>
      </c>
      <c r="D45" s="82">
        <f>SUM(D50:D55)</f>
        <v>0</v>
      </c>
      <c r="E45" s="102">
        <f>SUM(E50:E55)</f>
        <v>0</v>
      </c>
      <c r="F45" s="102">
        <f>SUM(F50:F55)</f>
        <v>0</v>
      </c>
      <c r="G45" s="102">
        <f t="shared" si="0"/>
        <v>0</v>
      </c>
      <c r="H45" s="102">
        <f t="shared" ref="H45:M45" si="11">SUM(H50:H55)</f>
        <v>0</v>
      </c>
      <c r="I45" s="102">
        <f t="shared" si="11"/>
        <v>0</v>
      </c>
      <c r="J45" s="102">
        <f t="shared" si="11"/>
        <v>0</v>
      </c>
      <c r="K45" s="102">
        <f t="shared" si="11"/>
        <v>0</v>
      </c>
      <c r="L45" s="102">
        <f t="shared" si="11"/>
        <v>0</v>
      </c>
      <c r="M45" s="103">
        <f t="shared" si="11"/>
        <v>0</v>
      </c>
      <c r="N45" s="137" t="e">
        <f t="shared" si="3"/>
        <v>#DIV/0!</v>
      </c>
    </row>
    <row r="46" spans="1:14" ht="16.5" hidden="1" customHeight="1" x14ac:dyDescent="0.25">
      <c r="A46" s="645" t="s">
        <v>0</v>
      </c>
      <c r="B46" s="646" t="s">
        <v>1</v>
      </c>
      <c r="C46" s="585" t="s">
        <v>2</v>
      </c>
      <c r="D46" s="486" t="s">
        <v>3</v>
      </c>
      <c r="E46" s="586" t="s">
        <v>3</v>
      </c>
      <c r="F46" s="489" t="s">
        <v>3</v>
      </c>
      <c r="G46" s="586" t="s">
        <v>4</v>
      </c>
      <c r="H46" s="586"/>
      <c r="I46" s="586"/>
      <c r="J46" s="586"/>
      <c r="K46" s="586"/>
      <c r="L46" s="586"/>
      <c r="M46" s="587"/>
      <c r="N46" s="137" t="e">
        <f t="shared" si="3"/>
        <v>#VALUE!</v>
      </c>
    </row>
    <row r="47" spans="1:14" ht="16.5" hidden="1" customHeight="1" x14ac:dyDescent="0.25">
      <c r="A47" s="645"/>
      <c r="B47" s="646"/>
      <c r="C47" s="585"/>
      <c r="D47" s="486"/>
      <c r="E47" s="586"/>
      <c r="F47" s="489"/>
      <c r="G47" s="585" t="s">
        <v>5</v>
      </c>
      <c r="H47" s="586" t="s">
        <v>6</v>
      </c>
      <c r="I47" s="586"/>
      <c r="J47" s="586"/>
      <c r="K47" s="586"/>
      <c r="L47" s="586" t="s">
        <v>7</v>
      </c>
      <c r="M47" s="587" t="s">
        <v>8</v>
      </c>
      <c r="N47" s="137" t="e">
        <f t="shared" si="3"/>
        <v>#VALUE!</v>
      </c>
    </row>
    <row r="48" spans="1:14" ht="16.5" hidden="1" customHeight="1" x14ac:dyDescent="0.25">
      <c r="A48" s="645"/>
      <c r="B48" s="646"/>
      <c r="C48" s="585"/>
      <c r="D48" s="486"/>
      <c r="E48" s="586"/>
      <c r="F48" s="489"/>
      <c r="G48" s="585"/>
      <c r="H48" s="489" t="s">
        <v>9</v>
      </c>
      <c r="I48" s="489" t="s">
        <v>10</v>
      </c>
      <c r="J48" s="489" t="s">
        <v>11</v>
      </c>
      <c r="K48" s="489" t="s">
        <v>12</v>
      </c>
      <c r="L48" s="586"/>
      <c r="M48" s="587"/>
      <c r="N48" s="137" t="e">
        <f t="shared" si="3"/>
        <v>#DIV/0!</v>
      </c>
    </row>
    <row r="49" spans="1:14" ht="16.5" hidden="1" customHeight="1" x14ac:dyDescent="0.25">
      <c r="A49" s="270" t="s">
        <v>18</v>
      </c>
      <c r="B49" s="491" t="s">
        <v>19</v>
      </c>
      <c r="C49" s="485" t="s">
        <v>20</v>
      </c>
      <c r="D49" s="485" t="s">
        <v>21</v>
      </c>
      <c r="E49" s="485" t="s">
        <v>21</v>
      </c>
      <c r="F49" s="485" t="s">
        <v>21</v>
      </c>
      <c r="G49" s="485" t="s">
        <v>22</v>
      </c>
      <c r="H49" s="485" t="s">
        <v>23</v>
      </c>
      <c r="I49" s="485" t="s">
        <v>24</v>
      </c>
      <c r="J49" s="485" t="s">
        <v>25</v>
      </c>
      <c r="K49" s="485" t="s">
        <v>26</v>
      </c>
      <c r="L49" s="485" t="s">
        <v>27</v>
      </c>
      <c r="M49" s="99" t="s">
        <v>28</v>
      </c>
      <c r="N49" s="137">
        <f t="shared" si="3"/>
        <v>1.25</v>
      </c>
    </row>
    <row r="50" spans="1:14" ht="16.5" hidden="1" customHeight="1" x14ac:dyDescent="0.25">
      <c r="A50" s="266">
        <v>5034</v>
      </c>
      <c r="B50" s="83">
        <v>717100</v>
      </c>
      <c r="C50" s="84" t="s">
        <v>57</v>
      </c>
      <c r="D50" s="84"/>
      <c r="E50" s="106"/>
      <c r="F50" s="106"/>
      <c r="G50" s="106">
        <f t="shared" si="0"/>
        <v>0</v>
      </c>
      <c r="H50" s="106"/>
      <c r="I50" s="106"/>
      <c r="J50" s="106"/>
      <c r="K50" s="106"/>
      <c r="L50" s="106"/>
      <c r="M50" s="107"/>
      <c r="N50" s="137" t="e">
        <f t="shared" si="3"/>
        <v>#DIV/0!</v>
      </c>
    </row>
    <row r="51" spans="1:14" ht="16.5" hidden="1" customHeight="1" x14ac:dyDescent="0.25">
      <c r="A51" s="266">
        <v>5035</v>
      </c>
      <c r="B51" s="83">
        <v>717200</v>
      </c>
      <c r="C51" s="84" t="s">
        <v>58</v>
      </c>
      <c r="D51" s="84"/>
      <c r="E51" s="106"/>
      <c r="F51" s="106"/>
      <c r="G51" s="106">
        <f t="shared" si="0"/>
        <v>0</v>
      </c>
      <c r="H51" s="106"/>
      <c r="I51" s="106"/>
      <c r="J51" s="106"/>
      <c r="K51" s="106"/>
      <c r="L51" s="106"/>
      <c r="M51" s="107"/>
      <c r="N51" s="137" t="e">
        <f t="shared" si="3"/>
        <v>#DIV/0!</v>
      </c>
    </row>
    <row r="52" spans="1:14" ht="16.5" hidden="1" customHeight="1" x14ac:dyDescent="0.25">
      <c r="A52" s="266">
        <v>5036</v>
      </c>
      <c r="B52" s="83">
        <v>717300</v>
      </c>
      <c r="C52" s="84" t="s">
        <v>59</v>
      </c>
      <c r="D52" s="84"/>
      <c r="E52" s="106"/>
      <c r="F52" s="106"/>
      <c r="G52" s="106">
        <f t="shared" si="0"/>
        <v>0</v>
      </c>
      <c r="H52" s="106"/>
      <c r="I52" s="106"/>
      <c r="J52" s="106"/>
      <c r="K52" s="106"/>
      <c r="L52" s="106"/>
      <c r="M52" s="107"/>
      <c r="N52" s="137" t="e">
        <f t="shared" si="3"/>
        <v>#DIV/0!</v>
      </c>
    </row>
    <row r="53" spans="1:14" ht="16.5" hidden="1" customHeight="1" x14ac:dyDescent="0.25">
      <c r="A53" s="266">
        <v>5037</v>
      </c>
      <c r="B53" s="83">
        <v>717400</v>
      </c>
      <c r="C53" s="84" t="s">
        <v>60</v>
      </c>
      <c r="D53" s="84"/>
      <c r="E53" s="106"/>
      <c r="F53" s="106"/>
      <c r="G53" s="106">
        <f t="shared" si="0"/>
        <v>0</v>
      </c>
      <c r="H53" s="106"/>
      <c r="I53" s="106"/>
      <c r="J53" s="106"/>
      <c r="K53" s="106"/>
      <c r="L53" s="106"/>
      <c r="M53" s="107"/>
      <c r="N53" s="137" t="e">
        <f t="shared" si="3"/>
        <v>#DIV/0!</v>
      </c>
    </row>
    <row r="54" spans="1:14" ht="16.5" hidden="1" customHeight="1" x14ac:dyDescent="0.25">
      <c r="A54" s="266">
        <v>5038</v>
      </c>
      <c r="B54" s="83">
        <v>717500</v>
      </c>
      <c r="C54" s="84" t="s">
        <v>61</v>
      </c>
      <c r="D54" s="84"/>
      <c r="E54" s="106"/>
      <c r="F54" s="106"/>
      <c r="G54" s="106">
        <f t="shared" si="0"/>
        <v>0</v>
      </c>
      <c r="H54" s="106"/>
      <c r="I54" s="106"/>
      <c r="J54" s="106"/>
      <c r="K54" s="106"/>
      <c r="L54" s="106"/>
      <c r="M54" s="107"/>
      <c r="N54" s="137" t="e">
        <f t="shared" si="3"/>
        <v>#DIV/0!</v>
      </c>
    </row>
    <row r="55" spans="1:14" ht="16.5" hidden="1" customHeight="1" x14ac:dyDescent="0.25">
      <c r="A55" s="266">
        <v>5039</v>
      </c>
      <c r="B55" s="83">
        <v>717600</v>
      </c>
      <c r="C55" s="84" t="s">
        <v>62</v>
      </c>
      <c r="D55" s="84"/>
      <c r="E55" s="106"/>
      <c r="F55" s="106"/>
      <c r="G55" s="106">
        <f t="shared" si="0"/>
        <v>0</v>
      </c>
      <c r="H55" s="106"/>
      <c r="I55" s="106"/>
      <c r="J55" s="106"/>
      <c r="K55" s="106"/>
      <c r="L55" s="106"/>
      <c r="M55" s="107"/>
      <c r="N55" s="137" t="e">
        <f t="shared" si="3"/>
        <v>#DIV/0!</v>
      </c>
    </row>
    <row r="56" spans="1:14" ht="16.5" hidden="1" customHeight="1" x14ac:dyDescent="0.25">
      <c r="A56" s="490">
        <v>5040</v>
      </c>
      <c r="B56" s="488">
        <v>719000</v>
      </c>
      <c r="C56" s="82" t="s">
        <v>63</v>
      </c>
      <c r="D56" s="82">
        <f>SUM(D57:D62)</f>
        <v>0</v>
      </c>
      <c r="E56" s="102">
        <f>SUM(E57:E62)</f>
        <v>0</v>
      </c>
      <c r="F56" s="102">
        <f>SUM(F57:F62)</f>
        <v>0</v>
      </c>
      <c r="G56" s="102">
        <f t="shared" si="0"/>
        <v>0</v>
      </c>
      <c r="H56" s="102">
        <f t="shared" ref="H56:M56" si="12">SUM(H57:H62)</f>
        <v>0</v>
      </c>
      <c r="I56" s="102">
        <f t="shared" si="12"/>
        <v>0</v>
      </c>
      <c r="J56" s="102">
        <f t="shared" si="12"/>
        <v>0</v>
      </c>
      <c r="K56" s="102">
        <f t="shared" si="12"/>
        <v>0</v>
      </c>
      <c r="L56" s="102">
        <f t="shared" si="12"/>
        <v>0</v>
      </c>
      <c r="M56" s="103">
        <f t="shared" si="12"/>
        <v>0</v>
      </c>
      <c r="N56" s="137" t="e">
        <f t="shared" si="3"/>
        <v>#DIV/0!</v>
      </c>
    </row>
    <row r="57" spans="1:14" ht="16.5" hidden="1" customHeight="1" x14ac:dyDescent="0.25">
      <c r="A57" s="266">
        <v>5041</v>
      </c>
      <c r="B57" s="83">
        <v>719100</v>
      </c>
      <c r="C57" s="84" t="s">
        <v>64</v>
      </c>
      <c r="D57" s="84"/>
      <c r="E57" s="106"/>
      <c r="F57" s="106"/>
      <c r="G57" s="106">
        <f t="shared" si="0"/>
        <v>0</v>
      </c>
      <c r="H57" s="106"/>
      <c r="I57" s="106"/>
      <c r="J57" s="106"/>
      <c r="K57" s="106"/>
      <c r="L57" s="106"/>
      <c r="M57" s="107"/>
      <c r="N57" s="137" t="e">
        <f t="shared" si="3"/>
        <v>#DIV/0!</v>
      </c>
    </row>
    <row r="58" spans="1:14" ht="16.5" hidden="1" customHeight="1" x14ac:dyDescent="0.25">
      <c r="A58" s="266">
        <v>5042</v>
      </c>
      <c r="B58" s="83">
        <v>719200</v>
      </c>
      <c r="C58" s="84" t="s">
        <v>65</v>
      </c>
      <c r="D58" s="84"/>
      <c r="E58" s="106"/>
      <c r="F58" s="106"/>
      <c r="G58" s="106">
        <f t="shared" si="0"/>
        <v>0</v>
      </c>
      <c r="H58" s="106"/>
      <c r="I58" s="106"/>
      <c r="J58" s="106"/>
      <c r="K58" s="106"/>
      <c r="L58" s="106"/>
      <c r="M58" s="107"/>
      <c r="N58" s="137" t="e">
        <f t="shared" si="3"/>
        <v>#DIV/0!</v>
      </c>
    </row>
    <row r="59" spans="1:14" ht="16.5" hidden="1" customHeight="1" x14ac:dyDescent="0.25">
      <c r="A59" s="266">
        <v>5043</v>
      </c>
      <c r="B59" s="83">
        <v>719300</v>
      </c>
      <c r="C59" s="84" t="s">
        <v>66</v>
      </c>
      <c r="D59" s="84"/>
      <c r="E59" s="106"/>
      <c r="F59" s="106"/>
      <c r="G59" s="106">
        <f t="shared" si="0"/>
        <v>0</v>
      </c>
      <c r="H59" s="106"/>
      <c r="I59" s="106"/>
      <c r="J59" s="106"/>
      <c r="K59" s="106"/>
      <c r="L59" s="106"/>
      <c r="M59" s="107"/>
      <c r="N59" s="137" t="e">
        <f t="shared" si="3"/>
        <v>#DIV/0!</v>
      </c>
    </row>
    <row r="60" spans="1:14" ht="16.5" hidden="1" customHeight="1" x14ac:dyDescent="0.25">
      <c r="A60" s="266">
        <v>5044</v>
      </c>
      <c r="B60" s="83">
        <v>719400</v>
      </c>
      <c r="C60" s="84" t="s">
        <v>67</v>
      </c>
      <c r="D60" s="84"/>
      <c r="E60" s="106"/>
      <c r="F60" s="106"/>
      <c r="G60" s="106">
        <f t="shared" si="0"/>
        <v>0</v>
      </c>
      <c r="H60" s="106"/>
      <c r="I60" s="106"/>
      <c r="J60" s="106"/>
      <c r="K60" s="106"/>
      <c r="L60" s="106"/>
      <c r="M60" s="107"/>
      <c r="N60" s="137" t="e">
        <f t="shared" si="3"/>
        <v>#DIV/0!</v>
      </c>
    </row>
    <row r="61" spans="1:14" ht="16.5" hidden="1" customHeight="1" x14ac:dyDescent="0.25">
      <c r="A61" s="266">
        <v>5045</v>
      </c>
      <c r="B61" s="83">
        <v>719500</v>
      </c>
      <c r="C61" s="84" t="s">
        <v>68</v>
      </c>
      <c r="D61" s="84"/>
      <c r="E61" s="106"/>
      <c r="F61" s="106"/>
      <c r="G61" s="106">
        <f t="shared" si="0"/>
        <v>0</v>
      </c>
      <c r="H61" s="106"/>
      <c r="I61" s="106"/>
      <c r="J61" s="106"/>
      <c r="K61" s="106"/>
      <c r="L61" s="106"/>
      <c r="M61" s="107"/>
      <c r="N61" s="137" t="e">
        <f t="shared" si="3"/>
        <v>#DIV/0!</v>
      </c>
    </row>
    <row r="62" spans="1:14" ht="16.5" hidden="1" customHeight="1" x14ac:dyDescent="0.25">
      <c r="A62" s="266">
        <v>5046</v>
      </c>
      <c r="B62" s="83">
        <v>719600</v>
      </c>
      <c r="C62" s="84" t="s">
        <v>69</v>
      </c>
      <c r="D62" s="84"/>
      <c r="E62" s="106"/>
      <c r="F62" s="106"/>
      <c r="G62" s="106">
        <f t="shared" si="0"/>
        <v>0</v>
      </c>
      <c r="H62" s="106"/>
      <c r="I62" s="106"/>
      <c r="J62" s="106"/>
      <c r="K62" s="106"/>
      <c r="L62" s="106"/>
      <c r="M62" s="107"/>
      <c r="N62" s="137" t="e">
        <f t="shared" si="3"/>
        <v>#DIV/0!</v>
      </c>
    </row>
    <row r="63" spans="1:14" ht="16.5" hidden="1" customHeight="1" x14ac:dyDescent="0.25">
      <c r="A63" s="490">
        <v>5047</v>
      </c>
      <c r="B63" s="488">
        <v>720000</v>
      </c>
      <c r="C63" s="82" t="s">
        <v>70</v>
      </c>
      <c r="D63" s="82">
        <f>D64+D69</f>
        <v>0</v>
      </c>
      <c r="E63" s="100">
        <f>E64+E69</f>
        <v>0</v>
      </c>
      <c r="F63" s="100">
        <f>F64+F69</f>
        <v>0</v>
      </c>
      <c r="G63" s="100">
        <f t="shared" si="0"/>
        <v>0</v>
      </c>
      <c r="H63" s="100">
        <f t="shared" ref="H63:M63" si="13">H64+H69</f>
        <v>0</v>
      </c>
      <c r="I63" s="100">
        <f t="shared" si="13"/>
        <v>0</v>
      </c>
      <c r="J63" s="100">
        <f t="shared" si="13"/>
        <v>0</v>
      </c>
      <c r="K63" s="100">
        <f t="shared" si="13"/>
        <v>0</v>
      </c>
      <c r="L63" s="100">
        <f t="shared" si="13"/>
        <v>0</v>
      </c>
      <c r="M63" s="101">
        <f t="shared" si="13"/>
        <v>0</v>
      </c>
      <c r="N63" s="137" t="e">
        <f t="shared" si="3"/>
        <v>#DIV/0!</v>
      </c>
    </row>
    <row r="64" spans="1:14" ht="16.5" hidden="1" customHeight="1" x14ac:dyDescent="0.25">
      <c r="A64" s="490">
        <v>5048</v>
      </c>
      <c r="B64" s="488">
        <v>721000</v>
      </c>
      <c r="C64" s="82" t="s">
        <v>71</v>
      </c>
      <c r="D64" s="82">
        <f>SUM(D65:D68)</f>
        <v>0</v>
      </c>
      <c r="E64" s="100">
        <f>SUM(E65:E68)</f>
        <v>0</v>
      </c>
      <c r="F64" s="100">
        <f>SUM(F65:F68)</f>
        <v>0</v>
      </c>
      <c r="G64" s="100">
        <f t="shared" si="0"/>
        <v>0</v>
      </c>
      <c r="H64" s="100">
        <f t="shared" ref="H64:M64" si="14">SUM(H65:H68)</f>
        <v>0</v>
      </c>
      <c r="I64" s="100">
        <f t="shared" si="14"/>
        <v>0</v>
      </c>
      <c r="J64" s="100">
        <f t="shared" si="14"/>
        <v>0</v>
      </c>
      <c r="K64" s="100">
        <f t="shared" si="14"/>
        <v>0</v>
      </c>
      <c r="L64" s="100">
        <f t="shared" si="14"/>
        <v>0</v>
      </c>
      <c r="M64" s="101">
        <f t="shared" si="14"/>
        <v>0</v>
      </c>
      <c r="N64" s="137" t="e">
        <f t="shared" si="3"/>
        <v>#DIV/0!</v>
      </c>
    </row>
    <row r="65" spans="1:14" ht="16.5" hidden="1" customHeight="1" x14ac:dyDescent="0.25">
      <c r="A65" s="266">
        <v>5049</v>
      </c>
      <c r="B65" s="83">
        <v>721100</v>
      </c>
      <c r="C65" s="84" t="s">
        <v>72</v>
      </c>
      <c r="D65" s="84"/>
      <c r="E65" s="108"/>
      <c r="F65" s="108"/>
      <c r="G65" s="109">
        <f t="shared" si="0"/>
        <v>0</v>
      </c>
      <c r="H65" s="108"/>
      <c r="I65" s="108"/>
      <c r="J65" s="108"/>
      <c r="K65" s="108"/>
      <c r="L65" s="108"/>
      <c r="M65" s="110"/>
      <c r="N65" s="137" t="e">
        <f t="shared" si="3"/>
        <v>#DIV/0!</v>
      </c>
    </row>
    <row r="66" spans="1:14" ht="16.5" hidden="1" customHeight="1" x14ac:dyDescent="0.25">
      <c r="A66" s="266">
        <v>5050</v>
      </c>
      <c r="B66" s="83">
        <v>721200</v>
      </c>
      <c r="C66" s="84" t="s">
        <v>73</v>
      </c>
      <c r="D66" s="84"/>
      <c r="E66" s="108"/>
      <c r="F66" s="108"/>
      <c r="G66" s="109">
        <f t="shared" si="0"/>
        <v>0</v>
      </c>
      <c r="H66" s="108"/>
      <c r="I66" s="108"/>
      <c r="J66" s="108"/>
      <c r="K66" s="108"/>
      <c r="L66" s="108"/>
      <c r="M66" s="110"/>
      <c r="N66" s="137" t="e">
        <f t="shared" si="3"/>
        <v>#DIV/0!</v>
      </c>
    </row>
    <row r="67" spans="1:14" ht="16.5" hidden="1" customHeight="1" x14ac:dyDescent="0.25">
      <c r="A67" s="266">
        <v>5051</v>
      </c>
      <c r="B67" s="83">
        <v>721300</v>
      </c>
      <c r="C67" s="84" t="s">
        <v>74</v>
      </c>
      <c r="D67" s="84"/>
      <c r="E67" s="108"/>
      <c r="F67" s="108"/>
      <c r="G67" s="109">
        <f t="shared" si="0"/>
        <v>0</v>
      </c>
      <c r="H67" s="108"/>
      <c r="I67" s="108"/>
      <c r="J67" s="108"/>
      <c r="K67" s="108"/>
      <c r="L67" s="108"/>
      <c r="M67" s="110"/>
      <c r="N67" s="137" t="e">
        <f t="shared" si="3"/>
        <v>#DIV/0!</v>
      </c>
    </row>
    <row r="68" spans="1:14" ht="16.5" hidden="1" customHeight="1" x14ac:dyDescent="0.25">
      <c r="A68" s="266">
        <v>5052</v>
      </c>
      <c r="B68" s="83">
        <v>721400</v>
      </c>
      <c r="C68" s="84" t="s">
        <v>75</v>
      </c>
      <c r="D68" s="84"/>
      <c r="E68" s="108"/>
      <c r="F68" s="108"/>
      <c r="G68" s="109">
        <f t="shared" si="0"/>
        <v>0</v>
      </c>
      <c r="H68" s="108"/>
      <c r="I68" s="108"/>
      <c r="J68" s="108"/>
      <c r="K68" s="108"/>
      <c r="L68" s="108"/>
      <c r="M68" s="110"/>
      <c r="N68" s="137" t="e">
        <f t="shared" si="3"/>
        <v>#DIV/0!</v>
      </c>
    </row>
    <row r="69" spans="1:14" ht="16.5" hidden="1" customHeight="1" x14ac:dyDescent="0.25">
      <c r="A69" s="490">
        <v>5053</v>
      </c>
      <c r="B69" s="488">
        <v>722000</v>
      </c>
      <c r="C69" s="82" t="s">
        <v>76</v>
      </c>
      <c r="D69" s="82">
        <f>SUM(D70:D72)</f>
        <v>0</v>
      </c>
      <c r="E69" s="100">
        <f>SUM(E70:E72)</f>
        <v>0</v>
      </c>
      <c r="F69" s="100">
        <f>SUM(F70:F72)</f>
        <v>0</v>
      </c>
      <c r="G69" s="100">
        <f t="shared" si="0"/>
        <v>0</v>
      </c>
      <c r="H69" s="100">
        <f t="shared" ref="H69:M69" si="15">SUM(H70:H72)</f>
        <v>0</v>
      </c>
      <c r="I69" s="100">
        <f t="shared" si="15"/>
        <v>0</v>
      </c>
      <c r="J69" s="100">
        <f t="shared" si="15"/>
        <v>0</v>
      </c>
      <c r="K69" s="100">
        <f t="shared" si="15"/>
        <v>0</v>
      </c>
      <c r="L69" s="100">
        <f t="shared" si="15"/>
        <v>0</v>
      </c>
      <c r="M69" s="101">
        <f t="shared" si="15"/>
        <v>0</v>
      </c>
      <c r="N69" s="137" t="e">
        <f t="shared" si="3"/>
        <v>#DIV/0!</v>
      </c>
    </row>
    <row r="70" spans="1:14" ht="16.5" hidden="1" customHeight="1" x14ac:dyDescent="0.25">
      <c r="A70" s="266">
        <v>5054</v>
      </c>
      <c r="B70" s="83">
        <v>722100</v>
      </c>
      <c r="C70" s="84" t="s">
        <v>77</v>
      </c>
      <c r="D70" s="84"/>
      <c r="E70" s="108"/>
      <c r="F70" s="108"/>
      <c r="G70" s="109">
        <f t="shared" si="0"/>
        <v>0</v>
      </c>
      <c r="H70" s="108"/>
      <c r="I70" s="108"/>
      <c r="J70" s="108"/>
      <c r="K70" s="108"/>
      <c r="L70" s="108"/>
      <c r="M70" s="110"/>
      <c r="N70" s="137" t="e">
        <f t="shared" si="3"/>
        <v>#DIV/0!</v>
      </c>
    </row>
    <row r="71" spans="1:14" ht="16.5" hidden="1" customHeight="1" x14ac:dyDescent="0.25">
      <c r="A71" s="266">
        <v>5055</v>
      </c>
      <c r="B71" s="83">
        <v>722200</v>
      </c>
      <c r="C71" s="84" t="s">
        <v>78</v>
      </c>
      <c r="D71" s="84"/>
      <c r="E71" s="108"/>
      <c r="F71" s="108"/>
      <c r="G71" s="109">
        <f t="shared" si="0"/>
        <v>0</v>
      </c>
      <c r="H71" s="108"/>
      <c r="I71" s="108"/>
      <c r="J71" s="108"/>
      <c r="K71" s="108"/>
      <c r="L71" s="108"/>
      <c r="M71" s="110"/>
      <c r="N71" s="137" t="e">
        <f t="shared" si="3"/>
        <v>#DIV/0!</v>
      </c>
    </row>
    <row r="72" spans="1:14" ht="16.5" hidden="1" customHeight="1" x14ac:dyDescent="0.25">
      <c r="A72" s="266">
        <v>5056</v>
      </c>
      <c r="B72" s="83">
        <v>722300</v>
      </c>
      <c r="C72" s="84" t="s">
        <v>79</v>
      </c>
      <c r="D72" s="84"/>
      <c r="E72" s="108"/>
      <c r="F72" s="108"/>
      <c r="G72" s="109">
        <f t="shared" si="0"/>
        <v>0</v>
      </c>
      <c r="H72" s="108"/>
      <c r="I72" s="108"/>
      <c r="J72" s="108"/>
      <c r="K72" s="108"/>
      <c r="L72" s="108"/>
      <c r="M72" s="110"/>
      <c r="N72" s="137" t="e">
        <f t="shared" si="3"/>
        <v>#DIV/0!</v>
      </c>
    </row>
    <row r="73" spans="1:14" ht="16.5" hidden="1" customHeight="1" x14ac:dyDescent="0.25">
      <c r="A73" s="645" t="s">
        <v>0</v>
      </c>
      <c r="B73" s="646" t="s">
        <v>1</v>
      </c>
      <c r="C73" s="585" t="s">
        <v>2</v>
      </c>
      <c r="D73" s="486" t="s">
        <v>3</v>
      </c>
      <c r="E73" s="575" t="s">
        <v>3</v>
      </c>
      <c r="F73" s="487" t="s">
        <v>3</v>
      </c>
      <c r="G73" s="575" t="s">
        <v>4</v>
      </c>
      <c r="H73" s="575"/>
      <c r="I73" s="575"/>
      <c r="J73" s="575"/>
      <c r="K73" s="575"/>
      <c r="L73" s="575"/>
      <c r="M73" s="582"/>
      <c r="N73" s="137" t="e">
        <f t="shared" si="3"/>
        <v>#VALUE!</v>
      </c>
    </row>
    <row r="74" spans="1:14" ht="16.5" hidden="1" customHeight="1" x14ac:dyDescent="0.25">
      <c r="A74" s="645"/>
      <c r="B74" s="646"/>
      <c r="C74" s="585"/>
      <c r="D74" s="486"/>
      <c r="E74" s="575"/>
      <c r="F74" s="487"/>
      <c r="G74" s="581" t="s">
        <v>5</v>
      </c>
      <c r="H74" s="575" t="s">
        <v>6</v>
      </c>
      <c r="I74" s="575"/>
      <c r="J74" s="575"/>
      <c r="K74" s="575"/>
      <c r="L74" s="575" t="s">
        <v>7</v>
      </c>
      <c r="M74" s="582" t="s">
        <v>8</v>
      </c>
      <c r="N74" s="137" t="e">
        <f t="shared" ref="N74:N137" si="16">G74/F74</f>
        <v>#VALUE!</v>
      </c>
    </row>
    <row r="75" spans="1:14" ht="16.5" hidden="1" customHeight="1" x14ac:dyDescent="0.25">
      <c r="A75" s="645"/>
      <c r="B75" s="646"/>
      <c r="C75" s="585"/>
      <c r="D75" s="486"/>
      <c r="E75" s="575"/>
      <c r="F75" s="487"/>
      <c r="G75" s="581"/>
      <c r="H75" s="487" t="s">
        <v>9</v>
      </c>
      <c r="I75" s="487" t="s">
        <v>10</v>
      </c>
      <c r="J75" s="487" t="s">
        <v>11</v>
      </c>
      <c r="K75" s="487" t="s">
        <v>12</v>
      </c>
      <c r="L75" s="575"/>
      <c r="M75" s="582"/>
      <c r="N75" s="137" t="e">
        <f t="shared" si="16"/>
        <v>#DIV/0!</v>
      </c>
    </row>
    <row r="76" spans="1:14" ht="16.5" hidden="1" customHeight="1" x14ac:dyDescent="0.25">
      <c r="A76" s="270" t="s">
        <v>18</v>
      </c>
      <c r="B76" s="491" t="s">
        <v>19</v>
      </c>
      <c r="C76" s="485" t="s">
        <v>20</v>
      </c>
      <c r="D76" s="485" t="s">
        <v>21</v>
      </c>
      <c r="E76" s="86" t="s">
        <v>21</v>
      </c>
      <c r="F76" s="86" t="s">
        <v>21</v>
      </c>
      <c r="G76" s="86" t="s">
        <v>22</v>
      </c>
      <c r="H76" s="86" t="s">
        <v>23</v>
      </c>
      <c r="I76" s="86" t="s">
        <v>24</v>
      </c>
      <c r="J76" s="86" t="s">
        <v>25</v>
      </c>
      <c r="K76" s="86" t="s">
        <v>26</v>
      </c>
      <c r="L76" s="86" t="s">
        <v>27</v>
      </c>
      <c r="M76" s="98" t="s">
        <v>28</v>
      </c>
      <c r="N76" s="137">
        <f t="shared" si="16"/>
        <v>1.25</v>
      </c>
    </row>
    <row r="77" spans="1:14" ht="16.5" hidden="1" customHeight="1" x14ac:dyDescent="0.25">
      <c r="A77" s="490">
        <v>5057</v>
      </c>
      <c r="B77" s="488">
        <v>730000</v>
      </c>
      <c r="C77" s="82" t="s">
        <v>80</v>
      </c>
      <c r="D77" s="82">
        <f>D78+D81+D86</f>
        <v>0</v>
      </c>
      <c r="E77" s="100">
        <f>E78+E81+E86</f>
        <v>0</v>
      </c>
      <c r="F77" s="100">
        <f>F78+F81+F86</f>
        <v>0</v>
      </c>
      <c r="G77" s="100">
        <f t="shared" ref="G77:G86" si="17">SUM(H77:M77)</f>
        <v>0</v>
      </c>
      <c r="H77" s="100">
        <f t="shared" ref="H77:M77" si="18">H78+H81+H86</f>
        <v>0</v>
      </c>
      <c r="I77" s="100">
        <f t="shared" si="18"/>
        <v>0</v>
      </c>
      <c r="J77" s="100">
        <f t="shared" si="18"/>
        <v>0</v>
      </c>
      <c r="K77" s="100">
        <f t="shared" si="18"/>
        <v>0</v>
      </c>
      <c r="L77" s="100">
        <f t="shared" si="18"/>
        <v>0</v>
      </c>
      <c r="M77" s="101">
        <f t="shared" si="18"/>
        <v>0</v>
      </c>
      <c r="N77" s="137" t="e">
        <f t="shared" si="16"/>
        <v>#DIV/0!</v>
      </c>
    </row>
    <row r="78" spans="1:14" ht="16.5" hidden="1" customHeight="1" x14ac:dyDescent="0.25">
      <c r="A78" s="490">
        <v>5058</v>
      </c>
      <c r="B78" s="488">
        <v>731000</v>
      </c>
      <c r="C78" s="82" t="s">
        <v>81</v>
      </c>
      <c r="D78" s="82">
        <f>D79+D80</f>
        <v>0</v>
      </c>
      <c r="E78" s="100">
        <f>E79+E80</f>
        <v>0</v>
      </c>
      <c r="F78" s="100">
        <f>F79+F80</f>
        <v>0</v>
      </c>
      <c r="G78" s="100">
        <f t="shared" si="17"/>
        <v>0</v>
      </c>
      <c r="H78" s="100">
        <f t="shared" ref="H78:M78" si="19">H79+H80</f>
        <v>0</v>
      </c>
      <c r="I78" s="100">
        <f t="shared" si="19"/>
        <v>0</v>
      </c>
      <c r="J78" s="100">
        <f t="shared" si="19"/>
        <v>0</v>
      </c>
      <c r="K78" s="100">
        <f t="shared" si="19"/>
        <v>0</v>
      </c>
      <c r="L78" s="100">
        <f t="shared" si="19"/>
        <v>0</v>
      </c>
      <c r="M78" s="101">
        <f t="shared" si="19"/>
        <v>0</v>
      </c>
      <c r="N78" s="137" t="e">
        <f t="shared" si="16"/>
        <v>#DIV/0!</v>
      </c>
    </row>
    <row r="79" spans="1:14" ht="16.5" hidden="1" customHeight="1" x14ac:dyDescent="0.25">
      <c r="A79" s="266">
        <v>5059</v>
      </c>
      <c r="B79" s="83">
        <v>731100</v>
      </c>
      <c r="C79" s="84" t="s">
        <v>82</v>
      </c>
      <c r="D79" s="84"/>
      <c r="E79" s="108"/>
      <c r="F79" s="108"/>
      <c r="G79" s="109">
        <f t="shared" si="17"/>
        <v>0</v>
      </c>
      <c r="H79" s="108"/>
      <c r="I79" s="108"/>
      <c r="J79" s="108"/>
      <c r="K79" s="108"/>
      <c r="L79" s="108"/>
      <c r="M79" s="110"/>
      <c r="N79" s="137" t="e">
        <f t="shared" si="16"/>
        <v>#DIV/0!</v>
      </c>
    </row>
    <row r="80" spans="1:14" ht="16.5" hidden="1" customHeight="1" x14ac:dyDescent="0.25">
      <c r="A80" s="266">
        <v>5060</v>
      </c>
      <c r="B80" s="83">
        <v>731200</v>
      </c>
      <c r="C80" s="84" t="s">
        <v>83</v>
      </c>
      <c r="D80" s="84"/>
      <c r="E80" s="108"/>
      <c r="F80" s="108"/>
      <c r="G80" s="109">
        <f t="shared" si="17"/>
        <v>0</v>
      </c>
      <c r="H80" s="108"/>
      <c r="I80" s="108"/>
      <c r="J80" s="108"/>
      <c r="K80" s="108"/>
      <c r="L80" s="108"/>
      <c r="M80" s="110"/>
      <c r="N80" s="137" t="e">
        <f t="shared" si="16"/>
        <v>#DIV/0!</v>
      </c>
    </row>
    <row r="81" spans="1:14" ht="16.5" hidden="1" customHeight="1" x14ac:dyDescent="0.25">
      <c r="A81" s="490">
        <v>5061</v>
      </c>
      <c r="B81" s="488">
        <v>732000</v>
      </c>
      <c r="C81" s="82" t="s">
        <v>84</v>
      </c>
      <c r="D81" s="82">
        <f>D82+D83+D84+D85</f>
        <v>0</v>
      </c>
      <c r="E81" s="100">
        <f>E82+E83+E84+E85</f>
        <v>0</v>
      </c>
      <c r="F81" s="100">
        <f>F82+F83+F84+F85</f>
        <v>0</v>
      </c>
      <c r="G81" s="100">
        <f t="shared" si="17"/>
        <v>0</v>
      </c>
      <c r="H81" s="100">
        <f t="shared" ref="H81:M81" si="20">H82+H83+H84+H85</f>
        <v>0</v>
      </c>
      <c r="I81" s="100">
        <f t="shared" si="20"/>
        <v>0</v>
      </c>
      <c r="J81" s="100">
        <f t="shared" si="20"/>
        <v>0</v>
      </c>
      <c r="K81" s="100">
        <f t="shared" si="20"/>
        <v>0</v>
      </c>
      <c r="L81" s="100">
        <f t="shared" si="20"/>
        <v>0</v>
      </c>
      <c r="M81" s="101">
        <f t="shared" si="20"/>
        <v>0</v>
      </c>
      <c r="N81" s="137" t="e">
        <f t="shared" si="16"/>
        <v>#DIV/0!</v>
      </c>
    </row>
    <row r="82" spans="1:14" ht="16.5" hidden="1" customHeight="1" x14ac:dyDescent="0.25">
      <c r="A82" s="266">
        <v>5062</v>
      </c>
      <c r="B82" s="83">
        <v>732100</v>
      </c>
      <c r="C82" s="84" t="s">
        <v>85</v>
      </c>
      <c r="D82" s="84"/>
      <c r="E82" s="108"/>
      <c r="F82" s="108"/>
      <c r="G82" s="109">
        <f t="shared" si="17"/>
        <v>0</v>
      </c>
      <c r="H82" s="108"/>
      <c r="I82" s="108"/>
      <c r="J82" s="108"/>
      <c r="K82" s="108"/>
      <c r="L82" s="108"/>
      <c r="M82" s="110"/>
      <c r="N82" s="137" t="e">
        <f t="shared" si="16"/>
        <v>#DIV/0!</v>
      </c>
    </row>
    <row r="83" spans="1:14" ht="16.5" hidden="1" customHeight="1" x14ac:dyDescent="0.25">
      <c r="A83" s="266">
        <v>5063</v>
      </c>
      <c r="B83" s="83">
        <v>732200</v>
      </c>
      <c r="C83" s="84" t="s">
        <v>86</v>
      </c>
      <c r="D83" s="84"/>
      <c r="E83" s="108"/>
      <c r="F83" s="108"/>
      <c r="G83" s="109">
        <f t="shared" si="17"/>
        <v>0</v>
      </c>
      <c r="H83" s="108"/>
      <c r="I83" s="108"/>
      <c r="J83" s="108"/>
      <c r="K83" s="108"/>
      <c r="L83" s="108"/>
      <c r="M83" s="110"/>
      <c r="N83" s="137" t="e">
        <f t="shared" si="16"/>
        <v>#DIV/0!</v>
      </c>
    </row>
    <row r="84" spans="1:14" ht="16.5" hidden="1" customHeight="1" x14ac:dyDescent="0.25">
      <c r="A84" s="266">
        <v>5064</v>
      </c>
      <c r="B84" s="83">
        <v>732300</v>
      </c>
      <c r="C84" s="84" t="s">
        <v>87</v>
      </c>
      <c r="D84" s="84"/>
      <c r="E84" s="108"/>
      <c r="F84" s="108"/>
      <c r="G84" s="109">
        <f t="shared" si="17"/>
        <v>0</v>
      </c>
      <c r="H84" s="108"/>
      <c r="I84" s="108"/>
      <c r="J84" s="108"/>
      <c r="K84" s="108"/>
      <c r="L84" s="108"/>
      <c r="M84" s="110"/>
      <c r="N84" s="137" t="e">
        <f t="shared" si="16"/>
        <v>#DIV/0!</v>
      </c>
    </row>
    <row r="85" spans="1:14" ht="16.5" hidden="1" customHeight="1" x14ac:dyDescent="0.25">
      <c r="A85" s="266">
        <v>5065</v>
      </c>
      <c r="B85" s="83">
        <v>732400</v>
      </c>
      <c r="C85" s="84" t="s">
        <v>88</v>
      </c>
      <c r="D85" s="84"/>
      <c r="E85" s="108"/>
      <c r="F85" s="108"/>
      <c r="G85" s="109">
        <f t="shared" si="17"/>
        <v>0</v>
      </c>
      <c r="H85" s="108"/>
      <c r="I85" s="108"/>
      <c r="J85" s="108"/>
      <c r="K85" s="108"/>
      <c r="L85" s="108"/>
      <c r="M85" s="110"/>
      <c r="N85" s="137" t="e">
        <f t="shared" si="16"/>
        <v>#DIV/0!</v>
      </c>
    </row>
    <row r="86" spans="1:14" ht="16.5" hidden="1" customHeight="1" x14ac:dyDescent="0.25">
      <c r="A86" s="490">
        <v>5066</v>
      </c>
      <c r="B86" s="488">
        <v>733000</v>
      </c>
      <c r="C86" s="82" t="s">
        <v>89</v>
      </c>
      <c r="D86" s="82">
        <f>D87+D88</f>
        <v>0</v>
      </c>
      <c r="E86" s="100">
        <f>E87+E88</f>
        <v>0</v>
      </c>
      <c r="F86" s="100">
        <f>F87+F88</f>
        <v>0</v>
      </c>
      <c r="G86" s="100">
        <f t="shared" si="17"/>
        <v>0</v>
      </c>
      <c r="H86" s="100">
        <f t="shared" ref="H86:M86" si="21">H87+H88</f>
        <v>0</v>
      </c>
      <c r="I86" s="100">
        <f t="shared" si="21"/>
        <v>0</v>
      </c>
      <c r="J86" s="100">
        <f t="shared" si="21"/>
        <v>0</v>
      </c>
      <c r="K86" s="100">
        <f t="shared" si="21"/>
        <v>0</v>
      </c>
      <c r="L86" s="100">
        <f t="shared" si="21"/>
        <v>0</v>
      </c>
      <c r="M86" s="101">
        <f t="shared" si="21"/>
        <v>0</v>
      </c>
      <c r="N86" s="137" t="e">
        <f t="shared" si="16"/>
        <v>#DIV/0!</v>
      </c>
    </row>
    <row r="87" spans="1:14" ht="16.5" hidden="1" customHeight="1" x14ac:dyDescent="0.25">
      <c r="A87" s="266">
        <v>5067</v>
      </c>
      <c r="B87" s="83">
        <v>733100</v>
      </c>
      <c r="C87" s="84" t="s">
        <v>90</v>
      </c>
      <c r="D87" s="84"/>
      <c r="E87" s="108"/>
      <c r="F87" s="108"/>
      <c r="G87" s="109">
        <f t="shared" ref="G87:G122" si="22">SUM(H87:M87)</f>
        <v>0</v>
      </c>
      <c r="H87" s="108"/>
      <c r="I87" s="108"/>
      <c r="J87" s="108"/>
      <c r="K87" s="108"/>
      <c r="L87" s="108"/>
      <c r="M87" s="110"/>
      <c r="N87" s="137" t="e">
        <f t="shared" si="16"/>
        <v>#DIV/0!</v>
      </c>
    </row>
    <row r="88" spans="1:14" ht="16.5" hidden="1" customHeight="1" x14ac:dyDescent="0.25">
      <c r="A88" s="266">
        <v>5068</v>
      </c>
      <c r="B88" s="83">
        <v>733200</v>
      </c>
      <c r="C88" s="84" t="s">
        <v>91</v>
      </c>
      <c r="D88" s="84"/>
      <c r="E88" s="108"/>
      <c r="F88" s="108"/>
      <c r="G88" s="109">
        <f t="shared" si="22"/>
        <v>0</v>
      </c>
      <c r="H88" s="108"/>
      <c r="I88" s="108"/>
      <c r="J88" s="108"/>
      <c r="K88" s="108"/>
      <c r="L88" s="108"/>
      <c r="M88" s="110"/>
      <c r="N88" s="137" t="e">
        <f t="shared" si="16"/>
        <v>#DIV/0!</v>
      </c>
    </row>
    <row r="89" spans="1:14" ht="12.75" customHeight="1" x14ac:dyDescent="0.25">
      <c r="A89" s="490">
        <v>5069</v>
      </c>
      <c r="B89" s="488">
        <v>740000</v>
      </c>
      <c r="C89" s="82" t="s">
        <v>92</v>
      </c>
      <c r="D89" s="82">
        <f>D90+D97+D102+D113+D116</f>
        <v>185</v>
      </c>
      <c r="E89" s="100">
        <f>E90+E97+E102+E113+E116</f>
        <v>15300</v>
      </c>
      <c r="F89" s="100">
        <f>F90+F97+F102+F113+F116</f>
        <v>15485</v>
      </c>
      <c r="G89" s="100">
        <f t="shared" si="22"/>
        <v>5821</v>
      </c>
      <c r="H89" s="100">
        <f t="shared" ref="H89:M89" si="23">H90+H97+H102+H113+H116</f>
        <v>140</v>
      </c>
      <c r="I89" s="100">
        <f t="shared" si="23"/>
        <v>0</v>
      </c>
      <c r="J89" s="100">
        <f t="shared" si="23"/>
        <v>0</v>
      </c>
      <c r="K89" s="100">
        <f t="shared" si="23"/>
        <v>0</v>
      </c>
      <c r="L89" s="100">
        <f t="shared" si="23"/>
        <v>0</v>
      </c>
      <c r="M89" s="101">
        <f t="shared" si="23"/>
        <v>5681</v>
      </c>
      <c r="N89" s="137">
        <f t="shared" si="16"/>
        <v>0.37591217307071362</v>
      </c>
    </row>
    <row r="90" spans="1:14" ht="12.75" customHeight="1" x14ac:dyDescent="0.25">
      <c r="A90" s="490">
        <v>5070</v>
      </c>
      <c r="B90" s="488">
        <v>741000</v>
      </c>
      <c r="C90" s="82" t="s">
        <v>93</v>
      </c>
      <c r="D90" s="82">
        <f>SUM(D91:D96)</f>
        <v>0</v>
      </c>
      <c r="E90" s="100">
        <f>SUM(E91:E96)</f>
        <v>1500</v>
      </c>
      <c r="F90" s="100">
        <f>SUM(F91:F96)</f>
        <v>1500</v>
      </c>
      <c r="G90" s="100">
        <f t="shared" si="22"/>
        <v>0</v>
      </c>
      <c r="H90" s="100">
        <f t="shared" ref="H90:M90" si="24">SUM(H91:H96)</f>
        <v>0</v>
      </c>
      <c r="I90" s="100">
        <f t="shared" si="24"/>
        <v>0</v>
      </c>
      <c r="J90" s="100">
        <f t="shared" si="24"/>
        <v>0</v>
      </c>
      <c r="K90" s="100">
        <f t="shared" si="24"/>
        <v>0</v>
      </c>
      <c r="L90" s="100">
        <f t="shared" si="24"/>
        <v>0</v>
      </c>
      <c r="M90" s="101">
        <f t="shared" si="24"/>
        <v>0</v>
      </c>
      <c r="N90" s="137">
        <f t="shared" si="16"/>
        <v>0</v>
      </c>
    </row>
    <row r="91" spans="1:14" ht="16.5" hidden="1" customHeight="1" x14ac:dyDescent="0.25">
      <c r="A91" s="266">
        <v>5071</v>
      </c>
      <c r="B91" s="83">
        <v>741100</v>
      </c>
      <c r="C91" s="84" t="s">
        <v>94</v>
      </c>
      <c r="D91" s="84"/>
      <c r="E91" s="108"/>
      <c r="F91" s="108"/>
      <c r="G91" s="109">
        <f t="shared" si="22"/>
        <v>0</v>
      </c>
      <c r="H91" s="108"/>
      <c r="I91" s="108"/>
      <c r="J91" s="108"/>
      <c r="K91" s="108"/>
      <c r="L91" s="108"/>
      <c r="M91" s="110"/>
      <c r="N91" s="137" t="e">
        <f t="shared" si="16"/>
        <v>#DIV/0!</v>
      </c>
    </row>
    <row r="92" spans="1:14" ht="16.5" hidden="1" customHeight="1" x14ac:dyDescent="0.25">
      <c r="A92" s="266">
        <v>5072</v>
      </c>
      <c r="B92" s="83">
        <v>741200</v>
      </c>
      <c r="C92" s="84" t="s">
        <v>95</v>
      </c>
      <c r="D92" s="84"/>
      <c r="E92" s="108"/>
      <c r="F92" s="108"/>
      <c r="G92" s="109">
        <f t="shared" si="22"/>
        <v>0</v>
      </c>
      <c r="H92" s="108"/>
      <c r="I92" s="108"/>
      <c r="J92" s="108"/>
      <c r="K92" s="108"/>
      <c r="L92" s="108"/>
      <c r="M92" s="110"/>
      <c r="N92" s="137" t="e">
        <f t="shared" si="16"/>
        <v>#DIV/0!</v>
      </c>
    </row>
    <row r="93" spans="1:14" ht="16.5" hidden="1" customHeight="1" x14ac:dyDescent="0.25">
      <c r="A93" s="266">
        <v>5073</v>
      </c>
      <c r="B93" s="83">
        <v>741300</v>
      </c>
      <c r="C93" s="84" t="s">
        <v>96</v>
      </c>
      <c r="D93" s="84"/>
      <c r="E93" s="108"/>
      <c r="F93" s="108"/>
      <c r="G93" s="109">
        <f t="shared" si="22"/>
        <v>0</v>
      </c>
      <c r="H93" s="108"/>
      <c r="I93" s="108"/>
      <c r="J93" s="108"/>
      <c r="K93" s="108"/>
      <c r="L93" s="108"/>
      <c r="M93" s="110"/>
      <c r="N93" s="137" t="e">
        <f t="shared" si="16"/>
        <v>#DIV/0!</v>
      </c>
    </row>
    <row r="94" spans="1:14" ht="12.75" customHeight="1" x14ac:dyDescent="0.25">
      <c r="A94" s="266">
        <v>5074</v>
      </c>
      <c r="B94" s="83">
        <v>741400</v>
      </c>
      <c r="C94" s="84" t="s">
        <v>97</v>
      </c>
      <c r="D94" s="84">
        <v>0</v>
      </c>
      <c r="E94" s="111">
        <v>1500</v>
      </c>
      <c r="F94" s="111">
        <f>D94+E94</f>
        <v>1500</v>
      </c>
      <c r="G94" s="109">
        <f t="shared" si="22"/>
        <v>0</v>
      </c>
      <c r="H94" s="111"/>
      <c r="I94" s="111"/>
      <c r="J94" s="111"/>
      <c r="K94" s="111"/>
      <c r="L94" s="111"/>
      <c r="M94" s="112"/>
      <c r="N94" s="137">
        <f t="shared" si="16"/>
        <v>0</v>
      </c>
    </row>
    <row r="95" spans="1:14" ht="16.5" hidden="1" customHeight="1" x14ac:dyDescent="0.25">
      <c r="A95" s="266">
        <v>5075</v>
      </c>
      <c r="B95" s="83">
        <v>741500</v>
      </c>
      <c r="C95" s="84" t="s">
        <v>98</v>
      </c>
      <c r="D95" s="84"/>
      <c r="E95" s="108"/>
      <c r="F95" s="108"/>
      <c r="G95" s="109">
        <f t="shared" si="22"/>
        <v>0</v>
      </c>
      <c r="H95" s="108"/>
      <c r="I95" s="108"/>
      <c r="J95" s="108"/>
      <c r="K95" s="108"/>
      <c r="L95" s="108"/>
      <c r="M95" s="110"/>
      <c r="N95" s="137" t="e">
        <f t="shared" si="16"/>
        <v>#DIV/0!</v>
      </c>
    </row>
    <row r="96" spans="1:14" ht="16.5" hidden="1" customHeight="1" x14ac:dyDescent="0.25">
      <c r="A96" s="266">
        <v>5076</v>
      </c>
      <c r="B96" s="83">
        <v>741600</v>
      </c>
      <c r="C96" s="84" t="s">
        <v>99</v>
      </c>
      <c r="D96" s="84"/>
      <c r="E96" s="108"/>
      <c r="F96" s="108"/>
      <c r="G96" s="109">
        <f t="shared" si="22"/>
        <v>0</v>
      </c>
      <c r="H96" s="108"/>
      <c r="I96" s="108"/>
      <c r="J96" s="108"/>
      <c r="K96" s="108"/>
      <c r="L96" s="108"/>
      <c r="M96" s="110"/>
      <c r="N96" s="137" t="e">
        <f t="shared" si="16"/>
        <v>#DIV/0!</v>
      </c>
    </row>
    <row r="97" spans="1:14" ht="12.75" customHeight="1" x14ac:dyDescent="0.25">
      <c r="A97" s="490">
        <v>5077</v>
      </c>
      <c r="B97" s="488">
        <v>742000</v>
      </c>
      <c r="C97" s="82" t="s">
        <v>100</v>
      </c>
      <c r="D97" s="82">
        <f>SUM(D98:D101)</f>
        <v>0</v>
      </c>
      <c r="E97" s="100">
        <f>SUM(E98:E101)</f>
        <v>13700</v>
      </c>
      <c r="F97" s="100">
        <f>SUM(F98:F101)</f>
        <v>13700</v>
      </c>
      <c r="G97" s="100">
        <f t="shared" si="22"/>
        <v>5635</v>
      </c>
      <c r="H97" s="100">
        <f t="shared" ref="H97:M97" si="25">SUM(H98:H101)</f>
        <v>140</v>
      </c>
      <c r="I97" s="100">
        <f t="shared" si="25"/>
        <v>0</v>
      </c>
      <c r="J97" s="100">
        <f t="shared" si="25"/>
        <v>0</v>
      </c>
      <c r="K97" s="100">
        <f t="shared" si="25"/>
        <v>0</v>
      </c>
      <c r="L97" s="100">
        <f t="shared" si="25"/>
        <v>0</v>
      </c>
      <c r="M97" s="101">
        <f t="shared" si="25"/>
        <v>5495</v>
      </c>
      <c r="N97" s="137">
        <f t="shared" si="16"/>
        <v>0.41131386861313868</v>
      </c>
    </row>
    <row r="98" spans="1:14" ht="12.75" customHeight="1" x14ac:dyDescent="0.25">
      <c r="A98" s="266">
        <v>5078</v>
      </c>
      <c r="B98" s="83">
        <v>742100</v>
      </c>
      <c r="C98" s="84" t="s">
        <v>101</v>
      </c>
      <c r="D98" s="84">
        <v>0</v>
      </c>
      <c r="E98" s="108">
        <v>5000</v>
      </c>
      <c r="F98" s="108">
        <f>D98+E98</f>
        <v>5000</v>
      </c>
      <c r="G98" s="109">
        <f t="shared" si="22"/>
        <v>2518</v>
      </c>
      <c r="H98" s="108"/>
      <c r="I98" s="108"/>
      <c r="J98" s="108"/>
      <c r="K98" s="108"/>
      <c r="L98" s="108"/>
      <c r="M98" s="110">
        <v>2518</v>
      </c>
      <c r="N98" s="137">
        <f t="shared" si="16"/>
        <v>0.50360000000000005</v>
      </c>
    </row>
    <row r="99" spans="1:14" ht="16.5" hidden="1" customHeight="1" x14ac:dyDescent="0.25">
      <c r="A99" s="266">
        <v>5079</v>
      </c>
      <c r="B99" s="83">
        <v>742200</v>
      </c>
      <c r="C99" s="84" t="s">
        <v>102</v>
      </c>
      <c r="D99" s="84"/>
      <c r="E99" s="108"/>
      <c r="F99" s="108">
        <f t="shared" ref="F99:F112" si="26">D99+E99</f>
        <v>0</v>
      </c>
      <c r="G99" s="109">
        <f t="shared" si="22"/>
        <v>0</v>
      </c>
      <c r="H99" s="108"/>
      <c r="I99" s="108"/>
      <c r="J99" s="108"/>
      <c r="K99" s="108"/>
      <c r="L99" s="108"/>
      <c r="M99" s="110"/>
      <c r="N99" s="137" t="e">
        <f t="shared" si="16"/>
        <v>#DIV/0!</v>
      </c>
    </row>
    <row r="100" spans="1:14" ht="15.75" customHeight="1" x14ac:dyDescent="0.25">
      <c r="A100" s="266">
        <v>5080</v>
      </c>
      <c r="B100" s="83">
        <v>742300</v>
      </c>
      <c r="C100" s="84" t="s">
        <v>103</v>
      </c>
      <c r="D100" s="84">
        <v>0</v>
      </c>
      <c r="E100" s="108">
        <v>8700</v>
      </c>
      <c r="F100" s="108">
        <f t="shared" si="26"/>
        <v>8700</v>
      </c>
      <c r="G100" s="109">
        <f t="shared" si="22"/>
        <v>3117</v>
      </c>
      <c r="H100" s="108">
        <v>140</v>
      </c>
      <c r="I100" s="108"/>
      <c r="J100" s="108"/>
      <c r="K100" s="108"/>
      <c r="L100" s="108"/>
      <c r="M100" s="110">
        <v>2977</v>
      </c>
      <c r="N100" s="137">
        <f t="shared" si="16"/>
        <v>0.3582758620689655</v>
      </c>
    </row>
    <row r="101" spans="1:14" ht="16.5" hidden="1" customHeight="1" x14ac:dyDescent="0.25">
      <c r="A101" s="266">
        <v>5081</v>
      </c>
      <c r="B101" s="83">
        <v>742400</v>
      </c>
      <c r="C101" s="84" t="s">
        <v>104</v>
      </c>
      <c r="D101" s="84"/>
      <c r="E101" s="108"/>
      <c r="F101" s="108">
        <f t="shared" si="26"/>
        <v>0</v>
      </c>
      <c r="G101" s="109">
        <f t="shared" si="22"/>
        <v>0</v>
      </c>
      <c r="H101" s="108"/>
      <c r="I101" s="108"/>
      <c r="J101" s="108"/>
      <c r="K101" s="108"/>
      <c r="L101" s="108"/>
      <c r="M101" s="110"/>
      <c r="N101" s="137" t="e">
        <f t="shared" si="16"/>
        <v>#DIV/0!</v>
      </c>
    </row>
    <row r="102" spans="1:14" ht="16.5" hidden="1" customHeight="1" x14ac:dyDescent="0.25">
      <c r="A102" s="490">
        <v>5082</v>
      </c>
      <c r="B102" s="488">
        <v>743000</v>
      </c>
      <c r="C102" s="82" t="s">
        <v>105</v>
      </c>
      <c r="D102" s="82"/>
      <c r="E102" s="100">
        <f>SUM(E107:E112)</f>
        <v>0</v>
      </c>
      <c r="F102" s="108">
        <f t="shared" si="26"/>
        <v>0</v>
      </c>
      <c r="G102" s="100">
        <f t="shared" si="22"/>
        <v>0</v>
      </c>
      <c r="H102" s="100">
        <f t="shared" ref="H102:M102" si="27">SUM(H107:H112)</f>
        <v>0</v>
      </c>
      <c r="I102" s="100">
        <f t="shared" si="27"/>
        <v>0</v>
      </c>
      <c r="J102" s="100">
        <f t="shared" si="27"/>
        <v>0</v>
      </c>
      <c r="K102" s="100">
        <f t="shared" si="27"/>
        <v>0</v>
      </c>
      <c r="L102" s="100">
        <f t="shared" si="27"/>
        <v>0</v>
      </c>
      <c r="M102" s="101">
        <f t="shared" si="27"/>
        <v>0</v>
      </c>
      <c r="N102" s="137" t="e">
        <f t="shared" si="16"/>
        <v>#DIV/0!</v>
      </c>
    </row>
    <row r="103" spans="1:14" ht="16.5" hidden="1" customHeight="1" x14ac:dyDescent="0.25">
      <c r="A103" s="645" t="s">
        <v>0</v>
      </c>
      <c r="B103" s="646" t="s">
        <v>1</v>
      </c>
      <c r="C103" s="585" t="s">
        <v>2</v>
      </c>
      <c r="D103" s="486"/>
      <c r="E103" s="575" t="s">
        <v>3</v>
      </c>
      <c r="F103" s="108" t="e">
        <f t="shared" si="26"/>
        <v>#VALUE!</v>
      </c>
      <c r="G103" s="575" t="s">
        <v>4</v>
      </c>
      <c r="H103" s="575"/>
      <c r="I103" s="575"/>
      <c r="J103" s="575"/>
      <c r="K103" s="575"/>
      <c r="L103" s="575"/>
      <c r="M103" s="582"/>
      <c r="N103" s="137" t="e">
        <f t="shared" si="16"/>
        <v>#VALUE!</v>
      </c>
    </row>
    <row r="104" spans="1:14" ht="16.5" hidden="1" customHeight="1" x14ac:dyDescent="0.25">
      <c r="A104" s="645"/>
      <c r="B104" s="646"/>
      <c r="C104" s="585"/>
      <c r="D104" s="486"/>
      <c r="E104" s="575"/>
      <c r="F104" s="108">
        <f t="shared" si="26"/>
        <v>0</v>
      </c>
      <c r="G104" s="581" t="s">
        <v>5</v>
      </c>
      <c r="H104" s="575" t="s">
        <v>6</v>
      </c>
      <c r="I104" s="575"/>
      <c r="J104" s="575"/>
      <c r="K104" s="575"/>
      <c r="L104" s="575" t="s">
        <v>7</v>
      </c>
      <c r="M104" s="582" t="s">
        <v>8</v>
      </c>
      <c r="N104" s="137" t="e">
        <f t="shared" si="16"/>
        <v>#VALUE!</v>
      </c>
    </row>
    <row r="105" spans="1:14" ht="16.5" hidden="1" customHeight="1" x14ac:dyDescent="0.25">
      <c r="A105" s="645"/>
      <c r="B105" s="646"/>
      <c r="C105" s="585"/>
      <c r="D105" s="486"/>
      <c r="E105" s="575"/>
      <c r="F105" s="108">
        <f t="shared" si="26"/>
        <v>0</v>
      </c>
      <c r="G105" s="581"/>
      <c r="H105" s="487" t="s">
        <v>9</v>
      </c>
      <c r="I105" s="487" t="s">
        <v>10</v>
      </c>
      <c r="J105" s="487" t="s">
        <v>11</v>
      </c>
      <c r="K105" s="487" t="s">
        <v>12</v>
      </c>
      <c r="L105" s="575"/>
      <c r="M105" s="582"/>
      <c r="N105" s="137" t="e">
        <f t="shared" si="16"/>
        <v>#DIV/0!</v>
      </c>
    </row>
    <row r="106" spans="1:14" ht="16.5" hidden="1" customHeight="1" x14ac:dyDescent="0.25">
      <c r="A106" s="270" t="s">
        <v>18</v>
      </c>
      <c r="B106" s="491" t="s">
        <v>19</v>
      </c>
      <c r="C106" s="485" t="s">
        <v>20</v>
      </c>
      <c r="D106" s="485"/>
      <c r="E106" s="86" t="s">
        <v>21</v>
      </c>
      <c r="F106" s="108">
        <f t="shared" si="26"/>
        <v>4</v>
      </c>
      <c r="G106" s="86" t="s">
        <v>22</v>
      </c>
      <c r="H106" s="86" t="s">
        <v>23</v>
      </c>
      <c r="I106" s="86" t="s">
        <v>24</v>
      </c>
      <c r="J106" s="86" t="s">
        <v>25</v>
      </c>
      <c r="K106" s="86" t="s">
        <v>26</v>
      </c>
      <c r="L106" s="86" t="s">
        <v>27</v>
      </c>
      <c r="M106" s="98" t="s">
        <v>28</v>
      </c>
      <c r="N106" s="137">
        <f t="shared" si="16"/>
        <v>1.25</v>
      </c>
    </row>
    <row r="107" spans="1:14" ht="16.5" hidden="1" customHeight="1" x14ac:dyDescent="0.25">
      <c r="A107" s="266">
        <v>5083</v>
      </c>
      <c r="B107" s="83">
        <v>743100</v>
      </c>
      <c r="C107" s="84" t="s">
        <v>106</v>
      </c>
      <c r="D107" s="84"/>
      <c r="E107" s="108"/>
      <c r="F107" s="108">
        <f t="shared" si="26"/>
        <v>0</v>
      </c>
      <c r="G107" s="109">
        <f t="shared" si="22"/>
        <v>0</v>
      </c>
      <c r="H107" s="108"/>
      <c r="I107" s="108"/>
      <c r="J107" s="108"/>
      <c r="K107" s="108"/>
      <c r="L107" s="108"/>
      <c r="M107" s="110"/>
      <c r="N107" s="137" t="e">
        <f t="shared" si="16"/>
        <v>#DIV/0!</v>
      </c>
    </row>
    <row r="108" spans="1:14" ht="16.5" hidden="1" customHeight="1" x14ac:dyDescent="0.25">
      <c r="A108" s="266">
        <v>5084</v>
      </c>
      <c r="B108" s="83">
        <v>743200</v>
      </c>
      <c r="C108" s="84" t="s">
        <v>107</v>
      </c>
      <c r="D108" s="84"/>
      <c r="E108" s="108"/>
      <c r="F108" s="108">
        <f t="shared" si="26"/>
        <v>0</v>
      </c>
      <c r="G108" s="109">
        <f t="shared" si="22"/>
        <v>0</v>
      </c>
      <c r="H108" s="108"/>
      <c r="I108" s="108"/>
      <c r="J108" s="108"/>
      <c r="K108" s="108"/>
      <c r="L108" s="108"/>
      <c r="M108" s="110"/>
      <c r="N108" s="137" t="e">
        <f t="shared" si="16"/>
        <v>#DIV/0!</v>
      </c>
    </row>
    <row r="109" spans="1:14" ht="16.5" hidden="1" customHeight="1" x14ac:dyDescent="0.25">
      <c r="A109" s="266">
        <v>5085</v>
      </c>
      <c r="B109" s="83">
        <v>743300</v>
      </c>
      <c r="C109" s="84" t="s">
        <v>108</v>
      </c>
      <c r="D109" s="84"/>
      <c r="E109" s="108"/>
      <c r="F109" s="108">
        <f t="shared" si="26"/>
        <v>0</v>
      </c>
      <c r="G109" s="109">
        <f t="shared" si="22"/>
        <v>0</v>
      </c>
      <c r="H109" s="108"/>
      <c r="I109" s="108"/>
      <c r="J109" s="108"/>
      <c r="K109" s="108"/>
      <c r="L109" s="108"/>
      <c r="M109" s="110"/>
      <c r="N109" s="137" t="e">
        <f t="shared" si="16"/>
        <v>#DIV/0!</v>
      </c>
    </row>
    <row r="110" spans="1:14" ht="16.5" hidden="1" customHeight="1" x14ac:dyDescent="0.25">
      <c r="A110" s="266">
        <v>5086</v>
      </c>
      <c r="B110" s="83">
        <v>743400</v>
      </c>
      <c r="C110" s="84" t="s">
        <v>109</v>
      </c>
      <c r="D110" s="84"/>
      <c r="E110" s="108"/>
      <c r="F110" s="108">
        <f t="shared" si="26"/>
        <v>0</v>
      </c>
      <c r="G110" s="109">
        <f t="shared" si="22"/>
        <v>0</v>
      </c>
      <c r="H110" s="108"/>
      <c r="I110" s="108"/>
      <c r="J110" s="108"/>
      <c r="K110" s="108"/>
      <c r="L110" s="108"/>
      <c r="M110" s="110"/>
      <c r="N110" s="137" t="e">
        <f t="shared" si="16"/>
        <v>#DIV/0!</v>
      </c>
    </row>
    <row r="111" spans="1:14" ht="16.5" hidden="1" customHeight="1" x14ac:dyDescent="0.25">
      <c r="A111" s="266">
        <v>5087</v>
      </c>
      <c r="B111" s="83">
        <v>743500</v>
      </c>
      <c r="C111" s="84" t="s">
        <v>110</v>
      </c>
      <c r="D111" s="84"/>
      <c r="E111" s="108"/>
      <c r="F111" s="108">
        <f t="shared" si="26"/>
        <v>0</v>
      </c>
      <c r="G111" s="109">
        <f t="shared" si="22"/>
        <v>0</v>
      </c>
      <c r="H111" s="108"/>
      <c r="I111" s="108"/>
      <c r="J111" s="108"/>
      <c r="K111" s="108"/>
      <c r="L111" s="108"/>
      <c r="M111" s="110"/>
      <c r="N111" s="137" t="e">
        <f t="shared" si="16"/>
        <v>#DIV/0!</v>
      </c>
    </row>
    <row r="112" spans="1:14" ht="1.5" hidden="1" customHeight="1" x14ac:dyDescent="0.25">
      <c r="A112" s="266">
        <v>5088</v>
      </c>
      <c r="B112" s="83">
        <v>743900</v>
      </c>
      <c r="C112" s="84" t="s">
        <v>111</v>
      </c>
      <c r="D112" s="84"/>
      <c r="E112" s="108"/>
      <c r="F112" s="108">
        <f t="shared" si="26"/>
        <v>0</v>
      </c>
      <c r="G112" s="109">
        <f t="shared" si="22"/>
        <v>0</v>
      </c>
      <c r="H112" s="108"/>
      <c r="I112" s="108"/>
      <c r="J112" s="108"/>
      <c r="K112" s="108"/>
      <c r="L112" s="108"/>
      <c r="M112" s="110"/>
      <c r="N112" s="137" t="e">
        <f t="shared" si="16"/>
        <v>#DIV/0!</v>
      </c>
    </row>
    <row r="113" spans="1:14" ht="12.75" customHeight="1" x14ac:dyDescent="0.25">
      <c r="A113" s="490">
        <v>5089</v>
      </c>
      <c r="B113" s="488">
        <v>744000</v>
      </c>
      <c r="C113" s="82" t="s">
        <v>533</v>
      </c>
      <c r="D113" s="82">
        <f>D114+D115</f>
        <v>185</v>
      </c>
      <c r="E113" s="100">
        <f>E114+E115</f>
        <v>100</v>
      </c>
      <c r="F113" s="100">
        <f>F114+F115</f>
        <v>285</v>
      </c>
      <c r="G113" s="100">
        <f t="shared" si="22"/>
        <v>186</v>
      </c>
      <c r="H113" s="100">
        <f t="shared" ref="H113:M113" si="28">H114+H115</f>
        <v>0</v>
      </c>
      <c r="I113" s="100">
        <f t="shared" si="28"/>
        <v>0</v>
      </c>
      <c r="J113" s="100">
        <f t="shared" si="28"/>
        <v>0</v>
      </c>
      <c r="K113" s="100">
        <f t="shared" si="28"/>
        <v>0</v>
      </c>
      <c r="L113" s="100">
        <f t="shared" si="28"/>
        <v>0</v>
      </c>
      <c r="M113" s="101">
        <f t="shared" si="28"/>
        <v>186</v>
      </c>
      <c r="N113" s="137">
        <f t="shared" si="16"/>
        <v>0.65263157894736845</v>
      </c>
    </row>
    <row r="114" spans="1:14" ht="12.75" customHeight="1" x14ac:dyDescent="0.25">
      <c r="A114" s="266">
        <v>5090</v>
      </c>
      <c r="B114" s="83">
        <v>744100</v>
      </c>
      <c r="C114" s="84" t="s">
        <v>113</v>
      </c>
      <c r="D114" s="84">
        <v>185</v>
      </c>
      <c r="E114" s="108">
        <v>100</v>
      </c>
      <c r="F114" s="108">
        <f>D114+E114</f>
        <v>285</v>
      </c>
      <c r="G114" s="109">
        <f t="shared" si="22"/>
        <v>186</v>
      </c>
      <c r="H114" s="108"/>
      <c r="I114" s="108"/>
      <c r="J114" s="108"/>
      <c r="K114" s="108"/>
      <c r="L114" s="108"/>
      <c r="M114" s="110">
        <v>186</v>
      </c>
      <c r="N114" s="137">
        <f t="shared" si="16"/>
        <v>0.65263157894736845</v>
      </c>
    </row>
    <row r="115" spans="1:14" ht="16.5" hidden="1" customHeight="1" x14ac:dyDescent="0.25">
      <c r="A115" s="266">
        <v>5091</v>
      </c>
      <c r="B115" s="83">
        <v>744200</v>
      </c>
      <c r="C115" s="84" t="s">
        <v>114</v>
      </c>
      <c r="D115" s="84"/>
      <c r="E115" s="108"/>
      <c r="F115" s="108"/>
      <c r="G115" s="109">
        <f t="shared" si="22"/>
        <v>0</v>
      </c>
      <c r="H115" s="108"/>
      <c r="I115" s="108"/>
      <c r="J115" s="108"/>
      <c r="K115" s="108"/>
      <c r="L115" s="108"/>
      <c r="M115" s="110"/>
      <c r="N115" s="137" t="e">
        <f t="shared" si="16"/>
        <v>#DIV/0!</v>
      </c>
    </row>
    <row r="116" spans="1:14" ht="16.5" hidden="1" customHeight="1" x14ac:dyDescent="0.25">
      <c r="A116" s="490">
        <v>5092</v>
      </c>
      <c r="B116" s="488">
        <v>745000</v>
      </c>
      <c r="C116" s="82" t="s">
        <v>115</v>
      </c>
      <c r="D116" s="82"/>
      <c r="E116" s="100">
        <f>E117</f>
        <v>0</v>
      </c>
      <c r="F116" s="100">
        <f>F117</f>
        <v>0</v>
      </c>
      <c r="G116" s="100">
        <f t="shared" si="22"/>
        <v>0</v>
      </c>
      <c r="H116" s="100">
        <f t="shared" ref="H116:M116" si="29">H117</f>
        <v>0</v>
      </c>
      <c r="I116" s="100">
        <f t="shared" si="29"/>
        <v>0</v>
      </c>
      <c r="J116" s="100">
        <f t="shared" si="29"/>
        <v>0</v>
      </c>
      <c r="K116" s="100">
        <f t="shared" si="29"/>
        <v>0</v>
      </c>
      <c r="L116" s="100">
        <f t="shared" si="29"/>
        <v>0</v>
      </c>
      <c r="M116" s="101">
        <f t="shared" si="29"/>
        <v>0</v>
      </c>
      <c r="N116" s="137" t="e">
        <f t="shared" si="16"/>
        <v>#DIV/0!</v>
      </c>
    </row>
    <row r="117" spans="1:14" ht="16.5" hidden="1" customHeight="1" x14ac:dyDescent="0.25">
      <c r="A117" s="266">
        <v>5093</v>
      </c>
      <c r="B117" s="83">
        <v>745100</v>
      </c>
      <c r="C117" s="84" t="s">
        <v>116</v>
      </c>
      <c r="D117" s="84"/>
      <c r="E117" s="108"/>
      <c r="F117" s="108"/>
      <c r="G117" s="109">
        <f t="shared" si="22"/>
        <v>0</v>
      </c>
      <c r="H117" s="108"/>
      <c r="I117" s="108"/>
      <c r="J117" s="108"/>
      <c r="K117" s="108"/>
      <c r="L117" s="108"/>
      <c r="M117" s="110"/>
      <c r="N117" s="137" t="e">
        <f t="shared" si="16"/>
        <v>#DIV/0!</v>
      </c>
    </row>
    <row r="118" spans="1:14" ht="16.5" hidden="1" customHeight="1" x14ac:dyDescent="0.25">
      <c r="A118" s="490">
        <v>5094</v>
      </c>
      <c r="B118" s="488">
        <v>770000</v>
      </c>
      <c r="C118" s="82" t="s">
        <v>117</v>
      </c>
      <c r="D118" s="82"/>
      <c r="E118" s="100">
        <f>E119+E121</f>
        <v>0</v>
      </c>
      <c r="F118" s="100">
        <f>F119+F121</f>
        <v>0</v>
      </c>
      <c r="G118" s="100">
        <f t="shared" si="22"/>
        <v>0</v>
      </c>
      <c r="H118" s="100">
        <f t="shared" ref="H118:M118" si="30">H119+H121</f>
        <v>0</v>
      </c>
      <c r="I118" s="100">
        <f t="shared" si="30"/>
        <v>0</v>
      </c>
      <c r="J118" s="100">
        <f t="shared" si="30"/>
        <v>0</v>
      </c>
      <c r="K118" s="100">
        <f t="shared" si="30"/>
        <v>0</v>
      </c>
      <c r="L118" s="100">
        <f t="shared" si="30"/>
        <v>0</v>
      </c>
      <c r="M118" s="101">
        <f t="shared" si="30"/>
        <v>0</v>
      </c>
      <c r="N118" s="137" t="e">
        <f t="shared" si="16"/>
        <v>#DIV/0!</v>
      </c>
    </row>
    <row r="119" spans="1:14" ht="16.5" hidden="1" customHeight="1" x14ac:dyDescent="0.25">
      <c r="A119" s="490">
        <v>5095</v>
      </c>
      <c r="B119" s="488">
        <v>771000</v>
      </c>
      <c r="C119" s="82" t="s">
        <v>118</v>
      </c>
      <c r="D119" s="82"/>
      <c r="E119" s="100">
        <f>E120</f>
        <v>0</v>
      </c>
      <c r="F119" s="100">
        <f>F120</f>
        <v>0</v>
      </c>
      <c r="G119" s="100">
        <f t="shared" si="22"/>
        <v>0</v>
      </c>
      <c r="H119" s="100">
        <f t="shared" ref="H119:M119" si="31">H120</f>
        <v>0</v>
      </c>
      <c r="I119" s="100">
        <f t="shared" si="31"/>
        <v>0</v>
      </c>
      <c r="J119" s="100">
        <f t="shared" si="31"/>
        <v>0</v>
      </c>
      <c r="K119" s="100">
        <f t="shared" si="31"/>
        <v>0</v>
      </c>
      <c r="L119" s="100">
        <f t="shared" si="31"/>
        <v>0</v>
      </c>
      <c r="M119" s="101">
        <f t="shared" si="31"/>
        <v>0</v>
      </c>
      <c r="N119" s="137" t="e">
        <f t="shared" si="16"/>
        <v>#DIV/0!</v>
      </c>
    </row>
    <row r="120" spans="1:14" ht="16.5" hidden="1" customHeight="1" x14ac:dyDescent="0.25">
      <c r="A120" s="266">
        <v>5096</v>
      </c>
      <c r="B120" s="83">
        <v>771100</v>
      </c>
      <c r="C120" s="84" t="s">
        <v>119</v>
      </c>
      <c r="D120" s="84"/>
      <c r="E120" s="108"/>
      <c r="F120" s="108"/>
      <c r="G120" s="109">
        <f t="shared" si="22"/>
        <v>0</v>
      </c>
      <c r="H120" s="108"/>
      <c r="I120" s="108"/>
      <c r="J120" s="108"/>
      <c r="K120" s="108"/>
      <c r="L120" s="108"/>
      <c r="M120" s="110"/>
      <c r="N120" s="137" t="e">
        <f t="shared" si="16"/>
        <v>#DIV/0!</v>
      </c>
    </row>
    <row r="121" spans="1:14" ht="16.5" hidden="1" customHeight="1" x14ac:dyDescent="0.25">
      <c r="A121" s="490">
        <v>5097</v>
      </c>
      <c r="B121" s="488">
        <v>772000</v>
      </c>
      <c r="C121" s="82" t="s">
        <v>120</v>
      </c>
      <c r="D121" s="82"/>
      <c r="E121" s="100">
        <f>E122</f>
        <v>0</v>
      </c>
      <c r="F121" s="100">
        <f>F122</f>
        <v>0</v>
      </c>
      <c r="G121" s="100">
        <f t="shared" si="22"/>
        <v>0</v>
      </c>
      <c r="H121" s="100">
        <f t="shared" ref="H121:M121" si="32">H122</f>
        <v>0</v>
      </c>
      <c r="I121" s="100">
        <f t="shared" si="32"/>
        <v>0</v>
      </c>
      <c r="J121" s="100">
        <f t="shared" si="32"/>
        <v>0</v>
      </c>
      <c r="K121" s="100">
        <f t="shared" si="32"/>
        <v>0</v>
      </c>
      <c r="L121" s="100">
        <f t="shared" si="32"/>
        <v>0</v>
      </c>
      <c r="M121" s="101">
        <f t="shared" si="32"/>
        <v>0</v>
      </c>
      <c r="N121" s="137" t="e">
        <f t="shared" si="16"/>
        <v>#DIV/0!</v>
      </c>
    </row>
    <row r="122" spans="1:14" ht="16.5" hidden="1" customHeight="1" x14ac:dyDescent="0.25">
      <c r="A122" s="266">
        <v>5098</v>
      </c>
      <c r="B122" s="83">
        <v>772100</v>
      </c>
      <c r="C122" s="84" t="s">
        <v>121</v>
      </c>
      <c r="D122" s="84"/>
      <c r="E122" s="108"/>
      <c r="F122" s="108"/>
      <c r="G122" s="109">
        <f t="shared" si="22"/>
        <v>0</v>
      </c>
      <c r="H122" s="108"/>
      <c r="I122" s="108"/>
      <c r="J122" s="108"/>
      <c r="K122" s="108"/>
      <c r="L122" s="108"/>
      <c r="M122" s="110"/>
      <c r="N122" s="137" t="e">
        <f t="shared" si="16"/>
        <v>#DIV/0!</v>
      </c>
    </row>
    <row r="123" spans="1:14" ht="12.75" customHeight="1" x14ac:dyDescent="0.25">
      <c r="A123" s="490">
        <v>5099</v>
      </c>
      <c r="B123" s="488">
        <v>780000</v>
      </c>
      <c r="C123" s="82" t="s">
        <v>122</v>
      </c>
      <c r="D123" s="100">
        <f>D124</f>
        <v>63470</v>
      </c>
      <c r="E123" s="100">
        <f>E124</f>
        <v>1597834</v>
      </c>
      <c r="F123" s="100">
        <f>F124</f>
        <v>1661304</v>
      </c>
      <c r="G123" s="100">
        <f t="shared" ref="G123:G162" si="33">SUM(H123:M123)</f>
        <v>785888</v>
      </c>
      <c r="H123" s="100">
        <f t="shared" ref="H123:M123" si="34">H124</f>
        <v>0</v>
      </c>
      <c r="I123" s="100">
        <f t="shared" si="34"/>
        <v>0</v>
      </c>
      <c r="J123" s="100">
        <f t="shared" si="34"/>
        <v>0</v>
      </c>
      <c r="K123" s="100">
        <f t="shared" si="34"/>
        <v>785888</v>
      </c>
      <c r="L123" s="100">
        <f t="shared" si="34"/>
        <v>0</v>
      </c>
      <c r="M123" s="101">
        <f t="shared" si="34"/>
        <v>0</v>
      </c>
      <c r="N123" s="137">
        <f t="shared" si="16"/>
        <v>0.47305490145090845</v>
      </c>
    </row>
    <row r="124" spans="1:14" ht="12.75" customHeight="1" x14ac:dyDescent="0.25">
      <c r="A124" s="490">
        <v>5100</v>
      </c>
      <c r="B124" s="488">
        <v>781000</v>
      </c>
      <c r="C124" s="82" t="s">
        <v>123</v>
      </c>
      <c r="D124" s="100">
        <f>D125+D126</f>
        <v>63470</v>
      </c>
      <c r="E124" s="100">
        <f>E125+E126</f>
        <v>1597834</v>
      </c>
      <c r="F124" s="100">
        <f>F125+F126</f>
        <v>1661304</v>
      </c>
      <c r="G124" s="100">
        <f t="shared" si="33"/>
        <v>785888</v>
      </c>
      <c r="H124" s="100">
        <f t="shared" ref="H124:M124" si="35">H125+H126</f>
        <v>0</v>
      </c>
      <c r="I124" s="100">
        <f t="shared" si="35"/>
        <v>0</v>
      </c>
      <c r="J124" s="100">
        <f t="shared" si="35"/>
        <v>0</v>
      </c>
      <c r="K124" s="100">
        <f t="shared" si="35"/>
        <v>785888</v>
      </c>
      <c r="L124" s="100">
        <f t="shared" si="35"/>
        <v>0</v>
      </c>
      <c r="M124" s="101">
        <f t="shared" si="35"/>
        <v>0</v>
      </c>
      <c r="N124" s="137">
        <f t="shared" si="16"/>
        <v>0.47305490145090845</v>
      </c>
    </row>
    <row r="125" spans="1:14" ht="12.75" customHeight="1" x14ac:dyDescent="0.25">
      <c r="A125" s="266">
        <v>5101</v>
      </c>
      <c r="B125" s="83">
        <v>781100</v>
      </c>
      <c r="C125" s="84" t="s">
        <v>124</v>
      </c>
      <c r="D125" s="108">
        <f>74584-12332+61+1158-1</f>
        <v>63470</v>
      </c>
      <c r="E125" s="108">
        <v>1597834</v>
      </c>
      <c r="F125" s="108">
        <f>D125+E125</f>
        <v>1661304</v>
      </c>
      <c r="G125" s="109">
        <f>SUM(H125:M125)</f>
        <v>785888</v>
      </c>
      <c r="H125" s="108"/>
      <c r="I125" s="108"/>
      <c r="J125" s="108"/>
      <c r="K125" s="108">
        <v>785888</v>
      </c>
      <c r="L125" s="108"/>
      <c r="M125" s="110"/>
      <c r="N125" s="137">
        <f t="shared" si="16"/>
        <v>0.47305490145090845</v>
      </c>
    </row>
    <row r="126" spans="1:14" ht="16.5" hidden="1" customHeight="1" x14ac:dyDescent="0.25">
      <c r="A126" s="266">
        <v>5102</v>
      </c>
      <c r="B126" s="83">
        <v>781300</v>
      </c>
      <c r="C126" s="84" t="s">
        <v>125</v>
      </c>
      <c r="D126" s="84">
        <f>D131</f>
        <v>0</v>
      </c>
      <c r="E126" s="108"/>
      <c r="F126" s="108"/>
      <c r="G126" s="109">
        <f t="shared" si="33"/>
        <v>0</v>
      </c>
      <c r="H126" s="108"/>
      <c r="I126" s="108"/>
      <c r="J126" s="108"/>
      <c r="K126" s="108"/>
      <c r="L126" s="108"/>
      <c r="M126" s="110"/>
      <c r="N126" s="137" t="e">
        <f t="shared" si="16"/>
        <v>#DIV/0!</v>
      </c>
    </row>
    <row r="127" spans="1:14" ht="12.75" customHeight="1" x14ac:dyDescent="0.25">
      <c r="A127" s="490">
        <v>5103</v>
      </c>
      <c r="B127" s="488">
        <v>790000</v>
      </c>
      <c r="C127" s="82" t="s">
        <v>126</v>
      </c>
      <c r="D127" s="82">
        <f>D128</f>
        <v>0</v>
      </c>
      <c r="E127" s="100">
        <f>E128</f>
        <v>30200</v>
      </c>
      <c r="F127" s="100">
        <f>F128</f>
        <v>30200</v>
      </c>
      <c r="G127" s="100">
        <f t="shared" si="33"/>
        <v>2343</v>
      </c>
      <c r="H127" s="100">
        <f t="shared" ref="H127:M127" si="36">H128</f>
        <v>2343</v>
      </c>
      <c r="I127" s="100">
        <f t="shared" si="36"/>
        <v>0</v>
      </c>
      <c r="J127" s="100">
        <f t="shared" si="36"/>
        <v>0</v>
      </c>
      <c r="K127" s="100"/>
      <c r="L127" s="100">
        <f t="shared" si="36"/>
        <v>0</v>
      </c>
      <c r="M127" s="101">
        <f t="shared" si="36"/>
        <v>0</v>
      </c>
      <c r="N127" s="137">
        <f t="shared" si="16"/>
        <v>7.7582781456953645E-2</v>
      </c>
    </row>
    <row r="128" spans="1:14" ht="12.75" customHeight="1" x14ac:dyDescent="0.25">
      <c r="A128" s="490">
        <v>5104</v>
      </c>
      <c r="B128" s="488">
        <v>791000</v>
      </c>
      <c r="C128" s="82" t="s">
        <v>127</v>
      </c>
      <c r="D128" s="82">
        <f>D133</f>
        <v>0</v>
      </c>
      <c r="E128" s="100">
        <f>E133</f>
        <v>30200</v>
      </c>
      <c r="F128" s="100">
        <f>F133</f>
        <v>30200</v>
      </c>
      <c r="G128" s="100">
        <f t="shared" si="33"/>
        <v>2343</v>
      </c>
      <c r="H128" s="100">
        <f t="shared" ref="H128:M128" si="37">H133</f>
        <v>2343</v>
      </c>
      <c r="I128" s="100">
        <f t="shared" si="37"/>
        <v>0</v>
      </c>
      <c r="J128" s="100">
        <f t="shared" si="37"/>
        <v>0</v>
      </c>
      <c r="K128" s="100">
        <f t="shared" si="37"/>
        <v>0</v>
      </c>
      <c r="L128" s="100">
        <f t="shared" si="37"/>
        <v>0</v>
      </c>
      <c r="M128" s="101">
        <f t="shared" si="37"/>
        <v>0</v>
      </c>
      <c r="N128" s="137">
        <f t="shared" si="16"/>
        <v>7.7582781456953645E-2</v>
      </c>
    </row>
    <row r="129" spans="1:14" ht="16.5" hidden="1" customHeight="1" x14ac:dyDescent="0.25">
      <c r="A129" s="645" t="s">
        <v>0</v>
      </c>
      <c r="B129" s="646" t="s">
        <v>1</v>
      </c>
      <c r="C129" s="585" t="s">
        <v>2</v>
      </c>
      <c r="D129" s="486" t="e">
        <f>D130</f>
        <v>#REF!</v>
      </c>
      <c r="E129" s="575" t="s">
        <v>3</v>
      </c>
      <c r="F129" s="487" t="s">
        <v>3</v>
      </c>
      <c r="G129" s="575" t="s">
        <v>4</v>
      </c>
      <c r="H129" s="575"/>
      <c r="I129" s="575"/>
      <c r="J129" s="575"/>
      <c r="K129" s="575"/>
      <c r="L129" s="575"/>
      <c r="M129" s="582"/>
      <c r="N129" s="137" t="e">
        <f t="shared" si="16"/>
        <v>#VALUE!</v>
      </c>
    </row>
    <row r="130" spans="1:14" ht="16.5" hidden="1" customHeight="1" x14ac:dyDescent="0.25">
      <c r="A130" s="645"/>
      <c r="B130" s="646"/>
      <c r="C130" s="585"/>
      <c r="D130" s="486" t="e">
        <f>#REF!+D82</f>
        <v>#REF!</v>
      </c>
      <c r="E130" s="575"/>
      <c r="F130" s="487"/>
      <c r="G130" s="581" t="s">
        <v>5</v>
      </c>
      <c r="H130" s="575" t="s">
        <v>6</v>
      </c>
      <c r="I130" s="575"/>
      <c r="J130" s="575"/>
      <c r="K130" s="575"/>
      <c r="L130" s="575" t="s">
        <v>7</v>
      </c>
      <c r="M130" s="582" t="s">
        <v>8</v>
      </c>
      <c r="N130" s="137" t="e">
        <f t="shared" si="16"/>
        <v>#VALUE!</v>
      </c>
    </row>
    <row r="131" spans="1:14" ht="16.5" hidden="1" customHeight="1" x14ac:dyDescent="0.25">
      <c r="A131" s="645"/>
      <c r="B131" s="646"/>
      <c r="C131" s="585"/>
      <c r="D131" s="486"/>
      <c r="E131" s="575"/>
      <c r="F131" s="487"/>
      <c r="G131" s="581"/>
      <c r="H131" s="487" t="s">
        <v>9</v>
      </c>
      <c r="I131" s="487" t="s">
        <v>10</v>
      </c>
      <c r="J131" s="487" t="s">
        <v>11</v>
      </c>
      <c r="K131" s="487" t="s">
        <v>12</v>
      </c>
      <c r="L131" s="575"/>
      <c r="M131" s="582"/>
      <c r="N131" s="137" t="e">
        <f t="shared" si="16"/>
        <v>#DIV/0!</v>
      </c>
    </row>
    <row r="132" spans="1:14" ht="16.5" hidden="1" customHeight="1" x14ac:dyDescent="0.25">
      <c r="A132" s="270" t="s">
        <v>18</v>
      </c>
      <c r="B132" s="491" t="s">
        <v>19</v>
      </c>
      <c r="C132" s="485" t="s">
        <v>20</v>
      </c>
      <c r="D132" s="485"/>
      <c r="E132" s="86" t="s">
        <v>21</v>
      </c>
      <c r="F132" s="86" t="s">
        <v>21</v>
      </c>
      <c r="G132" s="86" t="s">
        <v>22</v>
      </c>
      <c r="H132" s="86" t="s">
        <v>23</v>
      </c>
      <c r="I132" s="86" t="s">
        <v>24</v>
      </c>
      <c r="J132" s="86" t="s">
        <v>25</v>
      </c>
      <c r="K132" s="86" t="s">
        <v>26</v>
      </c>
      <c r="L132" s="86" t="s">
        <v>27</v>
      </c>
      <c r="M132" s="98" t="s">
        <v>28</v>
      </c>
      <c r="N132" s="137">
        <f t="shared" si="16"/>
        <v>1.25</v>
      </c>
    </row>
    <row r="133" spans="1:14" ht="12.75" customHeight="1" x14ac:dyDescent="0.25">
      <c r="A133" s="266">
        <v>5105</v>
      </c>
      <c r="B133" s="83">
        <v>791100</v>
      </c>
      <c r="C133" s="84" t="s">
        <v>128</v>
      </c>
      <c r="D133" s="84">
        <v>0</v>
      </c>
      <c r="E133" s="108">
        <v>30200</v>
      </c>
      <c r="F133" s="108">
        <f>D133+E133</f>
        <v>30200</v>
      </c>
      <c r="G133" s="109">
        <f t="shared" si="33"/>
        <v>2343</v>
      </c>
      <c r="H133" s="108">
        <v>2343</v>
      </c>
      <c r="I133" s="108"/>
      <c r="J133" s="108"/>
      <c r="K133" s="108"/>
      <c r="L133" s="108"/>
      <c r="M133" s="110"/>
      <c r="N133" s="137">
        <f t="shared" si="16"/>
        <v>7.7582781456953645E-2</v>
      </c>
    </row>
    <row r="134" spans="1:14" ht="12.75" customHeight="1" x14ac:dyDescent="0.25">
      <c r="A134" s="490">
        <v>5106</v>
      </c>
      <c r="B134" s="488">
        <v>800000</v>
      </c>
      <c r="C134" s="82" t="s">
        <v>534</v>
      </c>
      <c r="D134" s="82">
        <f>D135+D142+D149+D152</f>
        <v>0</v>
      </c>
      <c r="E134" s="100">
        <f>E135+E142+E149+E152</f>
        <v>200</v>
      </c>
      <c r="F134" s="100">
        <f>F135+F142+F149+F152</f>
        <v>200</v>
      </c>
      <c r="G134" s="100">
        <f t="shared" si="33"/>
        <v>18</v>
      </c>
      <c r="H134" s="100">
        <f t="shared" ref="H134:M134" si="38">H135+H142+H149+H152</f>
        <v>0</v>
      </c>
      <c r="I134" s="100">
        <f t="shared" si="38"/>
        <v>0</v>
      </c>
      <c r="J134" s="100">
        <f t="shared" si="38"/>
        <v>0</v>
      </c>
      <c r="K134" s="100">
        <f t="shared" si="38"/>
        <v>0</v>
      </c>
      <c r="L134" s="100">
        <f t="shared" si="38"/>
        <v>0</v>
      </c>
      <c r="M134" s="101">
        <f t="shared" si="38"/>
        <v>18</v>
      </c>
      <c r="N134" s="137">
        <f t="shared" si="16"/>
        <v>0.09</v>
      </c>
    </row>
    <row r="135" spans="1:14" ht="12.75" customHeight="1" x14ac:dyDescent="0.25">
      <c r="A135" s="490">
        <v>5107</v>
      </c>
      <c r="B135" s="488">
        <v>810000</v>
      </c>
      <c r="C135" s="82" t="s">
        <v>535</v>
      </c>
      <c r="D135" s="82">
        <f>D136+D138+D140</f>
        <v>0</v>
      </c>
      <c r="E135" s="100">
        <f>E136+E138+E140</f>
        <v>200</v>
      </c>
      <c r="F135" s="100">
        <f>F136+F138+F140</f>
        <v>200</v>
      </c>
      <c r="G135" s="100">
        <f t="shared" si="33"/>
        <v>18</v>
      </c>
      <c r="H135" s="100">
        <f t="shared" ref="H135:M135" si="39">H136+H138+H140</f>
        <v>0</v>
      </c>
      <c r="I135" s="100">
        <f t="shared" si="39"/>
        <v>0</v>
      </c>
      <c r="J135" s="100">
        <f t="shared" si="39"/>
        <v>0</v>
      </c>
      <c r="K135" s="100">
        <f t="shared" si="39"/>
        <v>0</v>
      </c>
      <c r="L135" s="100">
        <f t="shared" si="39"/>
        <v>0</v>
      </c>
      <c r="M135" s="101">
        <f t="shared" si="39"/>
        <v>18</v>
      </c>
      <c r="N135" s="137">
        <f t="shared" si="16"/>
        <v>0.09</v>
      </c>
    </row>
    <row r="136" spans="1:14" ht="16.5" hidden="1" customHeight="1" x14ac:dyDescent="0.25">
      <c r="A136" s="490">
        <v>5108</v>
      </c>
      <c r="B136" s="488">
        <v>811000</v>
      </c>
      <c r="C136" s="82" t="s">
        <v>131</v>
      </c>
      <c r="D136" s="82">
        <f>D137</f>
        <v>0</v>
      </c>
      <c r="E136" s="100">
        <f>E137</f>
        <v>0</v>
      </c>
      <c r="F136" s="100">
        <f>F137</f>
        <v>0</v>
      </c>
      <c r="G136" s="100">
        <f t="shared" si="33"/>
        <v>0</v>
      </c>
      <c r="H136" s="100">
        <f t="shared" ref="H136:M136" si="40">H137</f>
        <v>0</v>
      </c>
      <c r="I136" s="100">
        <f t="shared" si="40"/>
        <v>0</v>
      </c>
      <c r="J136" s="100">
        <f t="shared" si="40"/>
        <v>0</v>
      </c>
      <c r="K136" s="100">
        <f t="shared" si="40"/>
        <v>0</v>
      </c>
      <c r="L136" s="100">
        <f t="shared" si="40"/>
        <v>0</v>
      </c>
      <c r="M136" s="101">
        <f t="shared" si="40"/>
        <v>0</v>
      </c>
      <c r="N136" s="137" t="e">
        <f t="shared" si="16"/>
        <v>#DIV/0!</v>
      </c>
    </row>
    <row r="137" spans="1:14" ht="16.5" hidden="1" customHeight="1" x14ac:dyDescent="0.25">
      <c r="A137" s="266">
        <v>5109</v>
      </c>
      <c r="B137" s="83">
        <v>811100</v>
      </c>
      <c r="C137" s="84" t="s">
        <v>132</v>
      </c>
      <c r="D137" s="84"/>
      <c r="E137" s="108"/>
      <c r="F137" s="108"/>
      <c r="G137" s="109">
        <f t="shared" si="33"/>
        <v>0</v>
      </c>
      <c r="H137" s="108"/>
      <c r="I137" s="108"/>
      <c r="J137" s="108"/>
      <c r="K137" s="108"/>
      <c r="L137" s="108"/>
      <c r="M137" s="110"/>
      <c r="N137" s="137" t="e">
        <f t="shared" si="16"/>
        <v>#DIV/0!</v>
      </c>
    </row>
    <row r="138" spans="1:14" ht="12.75" customHeight="1" x14ac:dyDescent="0.25">
      <c r="A138" s="490">
        <v>5110</v>
      </c>
      <c r="B138" s="488">
        <v>812000</v>
      </c>
      <c r="C138" s="82" t="s">
        <v>133</v>
      </c>
      <c r="D138" s="82">
        <f>D139</f>
        <v>0</v>
      </c>
      <c r="E138" s="100">
        <f>E139</f>
        <v>200</v>
      </c>
      <c r="F138" s="100">
        <f>F139</f>
        <v>200</v>
      </c>
      <c r="G138" s="100">
        <f t="shared" si="33"/>
        <v>18</v>
      </c>
      <c r="H138" s="100">
        <f t="shared" ref="H138:M138" si="41">H139</f>
        <v>0</v>
      </c>
      <c r="I138" s="100">
        <f t="shared" si="41"/>
        <v>0</v>
      </c>
      <c r="J138" s="100">
        <f t="shared" si="41"/>
        <v>0</v>
      </c>
      <c r="K138" s="100">
        <f t="shared" si="41"/>
        <v>0</v>
      </c>
      <c r="L138" s="100">
        <f t="shared" si="41"/>
        <v>0</v>
      </c>
      <c r="M138" s="101">
        <f t="shared" si="41"/>
        <v>18</v>
      </c>
      <c r="N138" s="137">
        <f t="shared" ref="N138:N201" si="42">G138/F138</f>
        <v>0.09</v>
      </c>
    </row>
    <row r="139" spans="1:14" ht="12.75" customHeight="1" x14ac:dyDescent="0.25">
      <c r="A139" s="266">
        <v>5111</v>
      </c>
      <c r="B139" s="83">
        <v>812100</v>
      </c>
      <c r="C139" s="84" t="s">
        <v>134</v>
      </c>
      <c r="D139" s="84">
        <v>0</v>
      </c>
      <c r="E139" s="108">
        <v>200</v>
      </c>
      <c r="F139" s="108">
        <f>D139+E139</f>
        <v>200</v>
      </c>
      <c r="G139" s="109">
        <f t="shared" si="33"/>
        <v>18</v>
      </c>
      <c r="H139" s="108"/>
      <c r="I139" s="108"/>
      <c r="J139" s="108"/>
      <c r="K139" s="108"/>
      <c r="L139" s="108"/>
      <c r="M139" s="110">
        <v>18</v>
      </c>
      <c r="N139" s="137">
        <f t="shared" si="42"/>
        <v>0.09</v>
      </c>
    </row>
    <row r="140" spans="1:14" ht="16.5" hidden="1" customHeight="1" x14ac:dyDescent="0.25">
      <c r="A140" s="490">
        <v>5112</v>
      </c>
      <c r="B140" s="488">
        <v>813000</v>
      </c>
      <c r="C140" s="82" t="s">
        <v>135</v>
      </c>
      <c r="D140" s="82"/>
      <c r="E140" s="100">
        <f>E141</f>
        <v>0</v>
      </c>
      <c r="F140" s="100">
        <f>F141</f>
        <v>0</v>
      </c>
      <c r="G140" s="100">
        <f t="shared" si="33"/>
        <v>0</v>
      </c>
      <c r="H140" s="100">
        <f t="shared" ref="H140:M140" si="43">H141</f>
        <v>0</v>
      </c>
      <c r="I140" s="100">
        <f t="shared" si="43"/>
        <v>0</v>
      </c>
      <c r="J140" s="100">
        <f t="shared" si="43"/>
        <v>0</v>
      </c>
      <c r="K140" s="100">
        <f t="shared" si="43"/>
        <v>0</v>
      </c>
      <c r="L140" s="100">
        <f t="shared" si="43"/>
        <v>0</v>
      </c>
      <c r="M140" s="101">
        <f t="shared" si="43"/>
        <v>0</v>
      </c>
      <c r="N140" s="137" t="e">
        <f t="shared" si="42"/>
        <v>#DIV/0!</v>
      </c>
    </row>
    <row r="141" spans="1:14" ht="16.5" hidden="1" customHeight="1" x14ac:dyDescent="0.25">
      <c r="A141" s="266">
        <v>5113</v>
      </c>
      <c r="B141" s="83">
        <v>813100</v>
      </c>
      <c r="C141" s="84" t="s">
        <v>136</v>
      </c>
      <c r="D141" s="84"/>
      <c r="E141" s="108"/>
      <c r="F141" s="108"/>
      <c r="G141" s="109">
        <f t="shared" si="33"/>
        <v>0</v>
      </c>
      <c r="H141" s="108"/>
      <c r="I141" s="108"/>
      <c r="J141" s="108"/>
      <c r="K141" s="108"/>
      <c r="L141" s="108"/>
      <c r="M141" s="110"/>
      <c r="N141" s="137" t="e">
        <f t="shared" si="42"/>
        <v>#DIV/0!</v>
      </c>
    </row>
    <row r="142" spans="1:14" ht="16.5" hidden="1" customHeight="1" x14ac:dyDescent="0.25">
      <c r="A142" s="490">
        <v>5114</v>
      </c>
      <c r="B142" s="488">
        <v>820000</v>
      </c>
      <c r="C142" s="82" t="s">
        <v>137</v>
      </c>
      <c r="D142" s="82"/>
      <c r="E142" s="100">
        <f>E143+E145+E147</f>
        <v>0</v>
      </c>
      <c r="F142" s="100">
        <f>F143+F145+F147</f>
        <v>0</v>
      </c>
      <c r="G142" s="100">
        <f t="shared" si="33"/>
        <v>0</v>
      </c>
      <c r="H142" s="100">
        <f t="shared" ref="H142:M142" si="44">H143+H145+H147</f>
        <v>0</v>
      </c>
      <c r="I142" s="100">
        <f t="shared" si="44"/>
        <v>0</v>
      </c>
      <c r="J142" s="100">
        <f t="shared" si="44"/>
        <v>0</v>
      </c>
      <c r="K142" s="100">
        <f t="shared" si="44"/>
        <v>0</v>
      </c>
      <c r="L142" s="100">
        <f t="shared" si="44"/>
        <v>0</v>
      </c>
      <c r="M142" s="101">
        <f t="shared" si="44"/>
        <v>0</v>
      </c>
      <c r="N142" s="137" t="e">
        <f t="shared" si="42"/>
        <v>#DIV/0!</v>
      </c>
    </row>
    <row r="143" spans="1:14" ht="16.5" hidden="1" customHeight="1" x14ac:dyDescent="0.25">
      <c r="A143" s="490">
        <v>5115</v>
      </c>
      <c r="B143" s="488">
        <v>821000</v>
      </c>
      <c r="C143" s="82" t="s">
        <v>138</v>
      </c>
      <c r="D143" s="82"/>
      <c r="E143" s="100">
        <f>E144</f>
        <v>0</v>
      </c>
      <c r="F143" s="100">
        <f>F144</f>
        <v>0</v>
      </c>
      <c r="G143" s="100">
        <f t="shared" si="33"/>
        <v>0</v>
      </c>
      <c r="H143" s="100">
        <f t="shared" ref="H143:M143" si="45">H144</f>
        <v>0</v>
      </c>
      <c r="I143" s="100">
        <f t="shared" si="45"/>
        <v>0</v>
      </c>
      <c r="J143" s="100">
        <f t="shared" si="45"/>
        <v>0</v>
      </c>
      <c r="K143" s="100">
        <f t="shared" si="45"/>
        <v>0</v>
      </c>
      <c r="L143" s="100">
        <f t="shared" si="45"/>
        <v>0</v>
      </c>
      <c r="M143" s="101">
        <f t="shared" si="45"/>
        <v>0</v>
      </c>
      <c r="N143" s="137" t="e">
        <f t="shared" si="42"/>
        <v>#DIV/0!</v>
      </c>
    </row>
    <row r="144" spans="1:14" ht="16.5" hidden="1" customHeight="1" x14ac:dyDescent="0.25">
      <c r="A144" s="266">
        <v>5116</v>
      </c>
      <c r="B144" s="83">
        <v>821100</v>
      </c>
      <c r="C144" s="84" t="s">
        <v>139</v>
      </c>
      <c r="D144" s="84"/>
      <c r="E144" s="108"/>
      <c r="F144" s="108"/>
      <c r="G144" s="109">
        <f t="shared" si="33"/>
        <v>0</v>
      </c>
      <c r="H144" s="108"/>
      <c r="I144" s="108"/>
      <c r="J144" s="108"/>
      <c r="K144" s="108"/>
      <c r="L144" s="108"/>
      <c r="M144" s="110"/>
      <c r="N144" s="137" t="e">
        <f t="shared" si="42"/>
        <v>#DIV/0!</v>
      </c>
    </row>
    <row r="145" spans="1:14" ht="16.5" hidden="1" customHeight="1" x14ac:dyDescent="0.25">
      <c r="A145" s="490">
        <v>5117</v>
      </c>
      <c r="B145" s="488">
        <v>822000</v>
      </c>
      <c r="C145" s="82" t="s">
        <v>140</v>
      </c>
      <c r="D145" s="82"/>
      <c r="E145" s="100">
        <f>E146</f>
        <v>0</v>
      </c>
      <c r="F145" s="100">
        <f>F146</f>
        <v>0</v>
      </c>
      <c r="G145" s="100">
        <f t="shared" si="33"/>
        <v>0</v>
      </c>
      <c r="H145" s="100">
        <f t="shared" ref="H145:M145" si="46">H146</f>
        <v>0</v>
      </c>
      <c r="I145" s="100">
        <f t="shared" si="46"/>
        <v>0</v>
      </c>
      <c r="J145" s="100">
        <f t="shared" si="46"/>
        <v>0</v>
      </c>
      <c r="K145" s="100">
        <f t="shared" si="46"/>
        <v>0</v>
      </c>
      <c r="L145" s="100">
        <f t="shared" si="46"/>
        <v>0</v>
      </c>
      <c r="M145" s="101">
        <f t="shared" si="46"/>
        <v>0</v>
      </c>
      <c r="N145" s="137" t="e">
        <f t="shared" si="42"/>
        <v>#DIV/0!</v>
      </c>
    </row>
    <row r="146" spans="1:14" ht="16.5" hidden="1" customHeight="1" x14ac:dyDescent="0.25">
      <c r="A146" s="266">
        <v>5118</v>
      </c>
      <c r="B146" s="83">
        <v>822100</v>
      </c>
      <c r="C146" s="84" t="s">
        <v>141</v>
      </c>
      <c r="D146" s="84"/>
      <c r="E146" s="108"/>
      <c r="F146" s="108"/>
      <c r="G146" s="109">
        <f t="shared" si="33"/>
        <v>0</v>
      </c>
      <c r="H146" s="108"/>
      <c r="I146" s="108"/>
      <c r="J146" s="108"/>
      <c r="K146" s="108"/>
      <c r="L146" s="108"/>
      <c r="M146" s="110"/>
      <c r="N146" s="137" t="e">
        <f t="shared" si="42"/>
        <v>#DIV/0!</v>
      </c>
    </row>
    <row r="147" spans="1:14" ht="16.5" hidden="1" customHeight="1" x14ac:dyDescent="0.25">
      <c r="A147" s="490">
        <v>5119</v>
      </c>
      <c r="B147" s="488">
        <v>823000</v>
      </c>
      <c r="C147" s="82" t="s">
        <v>142</v>
      </c>
      <c r="D147" s="82"/>
      <c r="E147" s="100">
        <f>E148</f>
        <v>0</v>
      </c>
      <c r="F147" s="100">
        <f>F148</f>
        <v>0</v>
      </c>
      <c r="G147" s="100">
        <f t="shared" si="33"/>
        <v>0</v>
      </c>
      <c r="H147" s="100">
        <f t="shared" ref="H147:M147" si="47">H148</f>
        <v>0</v>
      </c>
      <c r="I147" s="100">
        <f t="shared" si="47"/>
        <v>0</v>
      </c>
      <c r="J147" s="100">
        <f t="shared" si="47"/>
        <v>0</v>
      </c>
      <c r="K147" s="100">
        <f t="shared" si="47"/>
        <v>0</v>
      </c>
      <c r="L147" s="100">
        <f t="shared" si="47"/>
        <v>0</v>
      </c>
      <c r="M147" s="101">
        <f t="shared" si="47"/>
        <v>0</v>
      </c>
      <c r="N147" s="137" t="e">
        <f t="shared" si="42"/>
        <v>#DIV/0!</v>
      </c>
    </row>
    <row r="148" spans="1:14" ht="16.5" hidden="1" customHeight="1" x14ac:dyDescent="0.25">
      <c r="A148" s="266">
        <v>5120</v>
      </c>
      <c r="B148" s="83">
        <v>823100</v>
      </c>
      <c r="C148" s="84" t="s">
        <v>143</v>
      </c>
      <c r="D148" s="84"/>
      <c r="E148" s="108"/>
      <c r="F148" s="108"/>
      <c r="G148" s="109">
        <f t="shared" si="33"/>
        <v>0</v>
      </c>
      <c r="H148" s="108"/>
      <c r="I148" s="108"/>
      <c r="J148" s="108"/>
      <c r="K148" s="108"/>
      <c r="L148" s="108"/>
      <c r="M148" s="110"/>
      <c r="N148" s="137" t="e">
        <f t="shared" si="42"/>
        <v>#DIV/0!</v>
      </c>
    </row>
    <row r="149" spans="1:14" ht="16.5" hidden="1" customHeight="1" x14ac:dyDescent="0.25">
      <c r="A149" s="490">
        <v>5121</v>
      </c>
      <c r="B149" s="488">
        <v>830000</v>
      </c>
      <c r="C149" s="82" t="s">
        <v>144</v>
      </c>
      <c r="D149" s="82"/>
      <c r="E149" s="100">
        <f>E150</f>
        <v>0</v>
      </c>
      <c r="F149" s="100">
        <f>F150</f>
        <v>0</v>
      </c>
      <c r="G149" s="100">
        <f t="shared" si="33"/>
        <v>0</v>
      </c>
      <c r="H149" s="100">
        <f t="shared" ref="H149:M150" si="48">H150</f>
        <v>0</v>
      </c>
      <c r="I149" s="100">
        <f t="shared" si="48"/>
        <v>0</v>
      </c>
      <c r="J149" s="100">
        <f t="shared" si="48"/>
        <v>0</v>
      </c>
      <c r="K149" s="100">
        <f t="shared" si="48"/>
        <v>0</v>
      </c>
      <c r="L149" s="100">
        <f t="shared" si="48"/>
        <v>0</v>
      </c>
      <c r="M149" s="101">
        <f t="shared" si="48"/>
        <v>0</v>
      </c>
      <c r="N149" s="137" t="e">
        <f t="shared" si="42"/>
        <v>#DIV/0!</v>
      </c>
    </row>
    <row r="150" spans="1:14" ht="16.5" hidden="1" customHeight="1" x14ac:dyDescent="0.25">
      <c r="A150" s="490">
        <v>5122</v>
      </c>
      <c r="B150" s="488">
        <v>831000</v>
      </c>
      <c r="C150" s="82" t="s">
        <v>145</v>
      </c>
      <c r="D150" s="82"/>
      <c r="E150" s="100">
        <f>E151</f>
        <v>0</v>
      </c>
      <c r="F150" s="100">
        <f>F151</f>
        <v>0</v>
      </c>
      <c r="G150" s="100">
        <f t="shared" si="33"/>
        <v>0</v>
      </c>
      <c r="H150" s="100">
        <f t="shared" si="48"/>
        <v>0</v>
      </c>
      <c r="I150" s="100">
        <f t="shared" si="48"/>
        <v>0</v>
      </c>
      <c r="J150" s="100">
        <f t="shared" si="48"/>
        <v>0</v>
      </c>
      <c r="K150" s="100">
        <f t="shared" si="48"/>
        <v>0</v>
      </c>
      <c r="L150" s="100">
        <f t="shared" si="48"/>
        <v>0</v>
      </c>
      <c r="M150" s="101">
        <f t="shared" si="48"/>
        <v>0</v>
      </c>
      <c r="N150" s="137" t="e">
        <f t="shared" si="42"/>
        <v>#DIV/0!</v>
      </c>
    </row>
    <row r="151" spans="1:14" ht="16.5" hidden="1" customHeight="1" x14ac:dyDescent="0.25">
      <c r="A151" s="266">
        <v>5123</v>
      </c>
      <c r="B151" s="83">
        <v>831100</v>
      </c>
      <c r="C151" s="84" t="s">
        <v>146</v>
      </c>
      <c r="D151" s="84"/>
      <c r="E151" s="108"/>
      <c r="F151" s="108"/>
      <c r="G151" s="109">
        <f t="shared" si="33"/>
        <v>0</v>
      </c>
      <c r="H151" s="108"/>
      <c r="I151" s="108"/>
      <c r="J151" s="108"/>
      <c r="K151" s="108"/>
      <c r="L151" s="108"/>
      <c r="M151" s="110"/>
      <c r="N151" s="137" t="e">
        <f t="shared" si="42"/>
        <v>#DIV/0!</v>
      </c>
    </row>
    <row r="152" spans="1:14" ht="16.5" hidden="1" customHeight="1" x14ac:dyDescent="0.25">
      <c r="A152" s="490">
        <v>5124</v>
      </c>
      <c r="B152" s="488">
        <v>840000</v>
      </c>
      <c r="C152" s="82" t="s">
        <v>147</v>
      </c>
      <c r="D152" s="82"/>
      <c r="E152" s="100">
        <f>E153+E155+E161</f>
        <v>0</v>
      </c>
      <c r="F152" s="100">
        <f>F153+F155+F161</f>
        <v>0</v>
      </c>
      <c r="G152" s="100">
        <f t="shared" si="33"/>
        <v>0</v>
      </c>
      <c r="H152" s="100">
        <f t="shared" ref="H152:M152" si="49">H153+H155+H161</f>
        <v>0</v>
      </c>
      <c r="I152" s="100">
        <f t="shared" si="49"/>
        <v>0</v>
      </c>
      <c r="J152" s="100">
        <f t="shared" si="49"/>
        <v>0</v>
      </c>
      <c r="K152" s="100">
        <f t="shared" si="49"/>
        <v>0</v>
      </c>
      <c r="L152" s="100">
        <f t="shared" si="49"/>
        <v>0</v>
      </c>
      <c r="M152" s="101">
        <f t="shared" si="49"/>
        <v>0</v>
      </c>
      <c r="N152" s="137" t="e">
        <f t="shared" si="42"/>
        <v>#DIV/0!</v>
      </c>
    </row>
    <row r="153" spans="1:14" ht="16.5" hidden="1" customHeight="1" x14ac:dyDescent="0.25">
      <c r="A153" s="490">
        <v>5125</v>
      </c>
      <c r="B153" s="488">
        <v>841000</v>
      </c>
      <c r="C153" s="82" t="s">
        <v>148</v>
      </c>
      <c r="D153" s="82"/>
      <c r="E153" s="100">
        <f>E154</f>
        <v>0</v>
      </c>
      <c r="F153" s="100">
        <f>F154</f>
        <v>0</v>
      </c>
      <c r="G153" s="100">
        <f t="shared" si="33"/>
        <v>0</v>
      </c>
      <c r="H153" s="100">
        <f t="shared" ref="H153:M153" si="50">H154</f>
        <v>0</v>
      </c>
      <c r="I153" s="100">
        <f t="shared" si="50"/>
        <v>0</v>
      </c>
      <c r="J153" s="100">
        <f t="shared" si="50"/>
        <v>0</v>
      </c>
      <c r="K153" s="100">
        <f t="shared" si="50"/>
        <v>0</v>
      </c>
      <c r="L153" s="100">
        <f t="shared" si="50"/>
        <v>0</v>
      </c>
      <c r="M153" s="101">
        <f t="shared" si="50"/>
        <v>0</v>
      </c>
      <c r="N153" s="137" t="e">
        <f t="shared" si="42"/>
        <v>#DIV/0!</v>
      </c>
    </row>
    <row r="154" spans="1:14" ht="16.5" hidden="1" customHeight="1" x14ac:dyDescent="0.25">
      <c r="A154" s="266">
        <v>5126</v>
      </c>
      <c r="B154" s="83">
        <v>841100</v>
      </c>
      <c r="C154" s="84" t="s">
        <v>149</v>
      </c>
      <c r="D154" s="84"/>
      <c r="E154" s="108"/>
      <c r="F154" s="108"/>
      <c r="G154" s="109">
        <f t="shared" si="33"/>
        <v>0</v>
      </c>
      <c r="H154" s="108"/>
      <c r="I154" s="108"/>
      <c r="J154" s="108"/>
      <c r="K154" s="108"/>
      <c r="L154" s="108"/>
      <c r="M154" s="110"/>
      <c r="N154" s="137" t="e">
        <f t="shared" si="42"/>
        <v>#DIV/0!</v>
      </c>
    </row>
    <row r="155" spans="1:14" ht="16.5" hidden="1" customHeight="1" x14ac:dyDescent="0.25">
      <c r="A155" s="490">
        <v>5127</v>
      </c>
      <c r="B155" s="488">
        <v>842000</v>
      </c>
      <c r="C155" s="82" t="s">
        <v>150</v>
      </c>
      <c r="D155" s="82"/>
      <c r="E155" s="100">
        <f>E160</f>
        <v>0</v>
      </c>
      <c r="F155" s="100">
        <f>F160</f>
        <v>0</v>
      </c>
      <c r="G155" s="100">
        <f t="shared" si="33"/>
        <v>0</v>
      </c>
      <c r="H155" s="100">
        <f t="shared" ref="H155:M155" si="51">H160</f>
        <v>0</v>
      </c>
      <c r="I155" s="100">
        <f t="shared" si="51"/>
        <v>0</v>
      </c>
      <c r="J155" s="100">
        <f t="shared" si="51"/>
        <v>0</v>
      </c>
      <c r="K155" s="100">
        <f t="shared" si="51"/>
        <v>0</v>
      </c>
      <c r="L155" s="100">
        <f t="shared" si="51"/>
        <v>0</v>
      </c>
      <c r="M155" s="101">
        <f t="shared" si="51"/>
        <v>0</v>
      </c>
      <c r="N155" s="137" t="e">
        <f t="shared" si="42"/>
        <v>#DIV/0!</v>
      </c>
    </row>
    <row r="156" spans="1:14" ht="16.5" hidden="1" customHeight="1" x14ac:dyDescent="0.25">
      <c r="A156" s="645" t="s">
        <v>0</v>
      </c>
      <c r="B156" s="646" t="s">
        <v>1</v>
      </c>
      <c r="C156" s="585" t="s">
        <v>2</v>
      </c>
      <c r="D156" s="486"/>
      <c r="E156" s="575" t="s">
        <v>3</v>
      </c>
      <c r="F156" s="487" t="s">
        <v>3</v>
      </c>
      <c r="G156" s="575" t="s">
        <v>4</v>
      </c>
      <c r="H156" s="575"/>
      <c r="I156" s="575"/>
      <c r="J156" s="575"/>
      <c r="K156" s="575"/>
      <c r="L156" s="575"/>
      <c r="M156" s="582"/>
      <c r="N156" s="137" t="e">
        <f t="shared" si="42"/>
        <v>#VALUE!</v>
      </c>
    </row>
    <row r="157" spans="1:14" ht="16.5" hidden="1" customHeight="1" x14ac:dyDescent="0.25">
      <c r="A157" s="645"/>
      <c r="B157" s="646"/>
      <c r="C157" s="585"/>
      <c r="D157" s="486"/>
      <c r="E157" s="575"/>
      <c r="F157" s="487"/>
      <c r="G157" s="581" t="s">
        <v>5</v>
      </c>
      <c r="H157" s="575" t="s">
        <v>6</v>
      </c>
      <c r="I157" s="575"/>
      <c r="J157" s="575"/>
      <c r="K157" s="575"/>
      <c r="L157" s="575" t="s">
        <v>7</v>
      </c>
      <c r="M157" s="582" t="s">
        <v>8</v>
      </c>
      <c r="N157" s="137" t="e">
        <f t="shared" si="42"/>
        <v>#VALUE!</v>
      </c>
    </row>
    <row r="158" spans="1:14" ht="16.5" hidden="1" customHeight="1" x14ac:dyDescent="0.25">
      <c r="A158" s="645"/>
      <c r="B158" s="646"/>
      <c r="C158" s="585"/>
      <c r="D158" s="486"/>
      <c r="E158" s="575"/>
      <c r="F158" s="487"/>
      <c r="G158" s="581"/>
      <c r="H158" s="487" t="s">
        <v>9</v>
      </c>
      <c r="I158" s="487" t="s">
        <v>10</v>
      </c>
      <c r="J158" s="487" t="s">
        <v>11</v>
      </c>
      <c r="K158" s="487" t="s">
        <v>12</v>
      </c>
      <c r="L158" s="575"/>
      <c r="M158" s="582"/>
      <c r="N158" s="137" t="e">
        <f t="shared" si="42"/>
        <v>#DIV/0!</v>
      </c>
    </row>
    <row r="159" spans="1:14" ht="16.5" hidden="1" customHeight="1" x14ac:dyDescent="0.25">
      <c r="A159" s="270" t="s">
        <v>18</v>
      </c>
      <c r="B159" s="491" t="s">
        <v>19</v>
      </c>
      <c r="C159" s="485" t="s">
        <v>20</v>
      </c>
      <c r="D159" s="485"/>
      <c r="E159" s="86" t="s">
        <v>21</v>
      </c>
      <c r="F159" s="86" t="s">
        <v>21</v>
      </c>
      <c r="G159" s="86" t="s">
        <v>22</v>
      </c>
      <c r="H159" s="86" t="s">
        <v>23</v>
      </c>
      <c r="I159" s="86" t="s">
        <v>24</v>
      </c>
      <c r="J159" s="86" t="s">
        <v>25</v>
      </c>
      <c r="K159" s="86" t="s">
        <v>26</v>
      </c>
      <c r="L159" s="86" t="s">
        <v>27</v>
      </c>
      <c r="M159" s="98" t="s">
        <v>28</v>
      </c>
      <c r="N159" s="137">
        <f t="shared" si="42"/>
        <v>1.25</v>
      </c>
    </row>
    <row r="160" spans="1:14" ht="16.5" hidden="1" customHeight="1" x14ac:dyDescent="0.25">
      <c r="A160" s="266">
        <v>5128</v>
      </c>
      <c r="B160" s="83">
        <v>842100</v>
      </c>
      <c r="C160" s="84" t="s">
        <v>151</v>
      </c>
      <c r="D160" s="84"/>
      <c r="E160" s="108"/>
      <c r="F160" s="108"/>
      <c r="G160" s="109">
        <f t="shared" si="33"/>
        <v>0</v>
      </c>
      <c r="H160" s="108"/>
      <c r="I160" s="108"/>
      <c r="J160" s="108"/>
      <c r="K160" s="108"/>
      <c r="L160" s="108"/>
      <c r="M160" s="110"/>
      <c r="N160" s="137" t="e">
        <f t="shared" si="42"/>
        <v>#DIV/0!</v>
      </c>
    </row>
    <row r="161" spans="1:14" ht="16.5" hidden="1" customHeight="1" x14ac:dyDescent="0.25">
      <c r="A161" s="490">
        <v>5129</v>
      </c>
      <c r="B161" s="488">
        <v>843000</v>
      </c>
      <c r="C161" s="82" t="s">
        <v>152</v>
      </c>
      <c r="D161" s="82"/>
      <c r="E161" s="100">
        <f>E162</f>
        <v>0</v>
      </c>
      <c r="F161" s="100">
        <f>F162</f>
        <v>0</v>
      </c>
      <c r="G161" s="100">
        <f t="shared" si="33"/>
        <v>0</v>
      </c>
      <c r="H161" s="100">
        <f t="shared" ref="H161:M161" si="52">H162</f>
        <v>0</v>
      </c>
      <c r="I161" s="100">
        <f t="shared" si="52"/>
        <v>0</v>
      </c>
      <c r="J161" s="100">
        <f t="shared" si="52"/>
        <v>0</v>
      </c>
      <c r="K161" s="100">
        <f t="shared" si="52"/>
        <v>0</v>
      </c>
      <c r="L161" s="100">
        <f t="shared" si="52"/>
        <v>0</v>
      </c>
      <c r="M161" s="101">
        <f t="shared" si="52"/>
        <v>0</v>
      </c>
      <c r="N161" s="137" t="e">
        <f t="shared" si="42"/>
        <v>#DIV/0!</v>
      </c>
    </row>
    <row r="162" spans="1:14" ht="16.5" hidden="1" customHeight="1" x14ac:dyDescent="0.25">
      <c r="A162" s="266">
        <v>5130</v>
      </c>
      <c r="B162" s="83">
        <v>843100</v>
      </c>
      <c r="C162" s="84" t="s">
        <v>153</v>
      </c>
      <c r="D162" s="84"/>
      <c r="E162" s="108"/>
      <c r="F162" s="108"/>
      <c r="G162" s="109">
        <f t="shared" si="33"/>
        <v>0</v>
      </c>
      <c r="H162" s="108"/>
      <c r="I162" s="108"/>
      <c r="J162" s="108"/>
      <c r="K162" s="108"/>
      <c r="L162" s="108"/>
      <c r="M162" s="110"/>
      <c r="N162" s="137" t="e">
        <f t="shared" si="42"/>
        <v>#DIV/0!</v>
      </c>
    </row>
    <row r="163" spans="1:14" ht="16.5" hidden="1" customHeight="1" x14ac:dyDescent="0.25">
      <c r="A163" s="490">
        <v>5131</v>
      </c>
      <c r="B163" s="488">
        <v>900000</v>
      </c>
      <c r="C163" s="82" t="s">
        <v>154</v>
      </c>
      <c r="D163" s="82"/>
      <c r="E163" s="100">
        <f>E164+E187</f>
        <v>0</v>
      </c>
      <c r="F163" s="100">
        <f>F164+F187</f>
        <v>0</v>
      </c>
      <c r="G163" s="100">
        <f t="shared" ref="G163:G198" si="53">SUM(H163:M163)</f>
        <v>0</v>
      </c>
      <c r="H163" s="100">
        <f t="shared" ref="H163:M163" si="54">H164+H187</f>
        <v>0</v>
      </c>
      <c r="I163" s="100">
        <f t="shared" si="54"/>
        <v>0</v>
      </c>
      <c r="J163" s="100">
        <f t="shared" si="54"/>
        <v>0</v>
      </c>
      <c r="K163" s="100">
        <f t="shared" si="54"/>
        <v>0</v>
      </c>
      <c r="L163" s="100">
        <f t="shared" si="54"/>
        <v>0</v>
      </c>
      <c r="M163" s="101">
        <f t="shared" si="54"/>
        <v>0</v>
      </c>
      <c r="N163" s="137" t="e">
        <f t="shared" si="42"/>
        <v>#DIV/0!</v>
      </c>
    </row>
    <row r="164" spans="1:14" ht="16.5" hidden="1" customHeight="1" x14ac:dyDescent="0.25">
      <c r="A164" s="490">
        <v>5132</v>
      </c>
      <c r="B164" s="488">
        <v>910000</v>
      </c>
      <c r="C164" s="82" t="s">
        <v>155</v>
      </c>
      <c r="D164" s="82"/>
      <c r="E164" s="100">
        <f>E165+E175</f>
        <v>0</v>
      </c>
      <c r="F164" s="100">
        <f>F165+F175</f>
        <v>0</v>
      </c>
      <c r="G164" s="100">
        <f t="shared" si="53"/>
        <v>0</v>
      </c>
      <c r="H164" s="100">
        <f t="shared" ref="H164:M164" si="55">H165+H175</f>
        <v>0</v>
      </c>
      <c r="I164" s="100">
        <f t="shared" si="55"/>
        <v>0</v>
      </c>
      <c r="J164" s="100">
        <f t="shared" si="55"/>
        <v>0</v>
      </c>
      <c r="K164" s="100">
        <f t="shared" si="55"/>
        <v>0</v>
      </c>
      <c r="L164" s="100">
        <f t="shared" si="55"/>
        <v>0</v>
      </c>
      <c r="M164" s="101">
        <f t="shared" si="55"/>
        <v>0</v>
      </c>
      <c r="N164" s="137" t="e">
        <f t="shared" si="42"/>
        <v>#DIV/0!</v>
      </c>
    </row>
    <row r="165" spans="1:14" ht="16.5" hidden="1" customHeight="1" x14ac:dyDescent="0.25">
      <c r="A165" s="490">
        <v>5133</v>
      </c>
      <c r="B165" s="488">
        <v>911000</v>
      </c>
      <c r="C165" s="82" t="s">
        <v>156</v>
      </c>
      <c r="D165" s="82"/>
      <c r="E165" s="100">
        <f>SUM(E166:E174)</f>
        <v>0</v>
      </c>
      <c r="F165" s="100">
        <f>SUM(F166:F174)</f>
        <v>0</v>
      </c>
      <c r="G165" s="100">
        <f t="shared" si="53"/>
        <v>0</v>
      </c>
      <c r="H165" s="100">
        <f t="shared" ref="H165:M165" si="56">SUM(H166:H174)</f>
        <v>0</v>
      </c>
      <c r="I165" s="100">
        <f t="shared" si="56"/>
        <v>0</v>
      </c>
      <c r="J165" s="100">
        <f t="shared" si="56"/>
        <v>0</v>
      </c>
      <c r="K165" s="100">
        <f t="shared" si="56"/>
        <v>0</v>
      </c>
      <c r="L165" s="100">
        <f t="shared" si="56"/>
        <v>0</v>
      </c>
      <c r="M165" s="101">
        <f t="shared" si="56"/>
        <v>0</v>
      </c>
      <c r="N165" s="137" t="e">
        <f t="shared" si="42"/>
        <v>#DIV/0!</v>
      </c>
    </row>
    <row r="166" spans="1:14" ht="16.5" hidden="1" customHeight="1" x14ac:dyDescent="0.25">
      <c r="A166" s="266">
        <v>5134</v>
      </c>
      <c r="B166" s="83">
        <v>911100</v>
      </c>
      <c r="C166" s="84" t="s">
        <v>157</v>
      </c>
      <c r="D166" s="84"/>
      <c r="E166" s="108"/>
      <c r="F166" s="108"/>
      <c r="G166" s="109">
        <f t="shared" si="53"/>
        <v>0</v>
      </c>
      <c r="H166" s="108"/>
      <c r="I166" s="108"/>
      <c r="J166" s="108"/>
      <c r="K166" s="108"/>
      <c r="L166" s="108"/>
      <c r="M166" s="110"/>
      <c r="N166" s="137" t="e">
        <f t="shared" si="42"/>
        <v>#DIV/0!</v>
      </c>
    </row>
    <row r="167" spans="1:14" ht="16.5" hidden="1" customHeight="1" x14ac:dyDescent="0.25">
      <c r="A167" s="266">
        <v>5135</v>
      </c>
      <c r="B167" s="83">
        <v>911200</v>
      </c>
      <c r="C167" s="84" t="s">
        <v>158</v>
      </c>
      <c r="D167" s="84"/>
      <c r="E167" s="108"/>
      <c r="F167" s="108"/>
      <c r="G167" s="109">
        <f t="shared" si="53"/>
        <v>0</v>
      </c>
      <c r="H167" s="108"/>
      <c r="I167" s="108"/>
      <c r="J167" s="108"/>
      <c r="K167" s="108"/>
      <c r="L167" s="108"/>
      <c r="M167" s="110"/>
      <c r="N167" s="137" t="e">
        <f t="shared" si="42"/>
        <v>#DIV/0!</v>
      </c>
    </row>
    <row r="168" spans="1:14" ht="16.5" hidden="1" customHeight="1" x14ac:dyDescent="0.25">
      <c r="A168" s="266">
        <v>5136</v>
      </c>
      <c r="B168" s="83">
        <v>911300</v>
      </c>
      <c r="C168" s="84" t="s">
        <v>159</v>
      </c>
      <c r="D168" s="84"/>
      <c r="E168" s="108"/>
      <c r="F168" s="108"/>
      <c r="G168" s="109">
        <f t="shared" si="53"/>
        <v>0</v>
      </c>
      <c r="H168" s="108"/>
      <c r="I168" s="108"/>
      <c r="J168" s="108"/>
      <c r="K168" s="108"/>
      <c r="L168" s="108"/>
      <c r="M168" s="110"/>
      <c r="N168" s="137" t="e">
        <f t="shared" si="42"/>
        <v>#DIV/0!</v>
      </c>
    </row>
    <row r="169" spans="1:14" ht="16.5" hidden="1" customHeight="1" x14ac:dyDescent="0.25">
      <c r="A169" s="266">
        <v>5137</v>
      </c>
      <c r="B169" s="83">
        <v>911400</v>
      </c>
      <c r="C169" s="84" t="s">
        <v>160</v>
      </c>
      <c r="D169" s="84"/>
      <c r="E169" s="108"/>
      <c r="F169" s="108"/>
      <c r="G169" s="109">
        <f t="shared" si="53"/>
        <v>0</v>
      </c>
      <c r="H169" s="108"/>
      <c r="I169" s="108"/>
      <c r="J169" s="108"/>
      <c r="K169" s="108"/>
      <c r="L169" s="108"/>
      <c r="M169" s="110"/>
      <c r="N169" s="137" t="e">
        <f t="shared" si="42"/>
        <v>#DIV/0!</v>
      </c>
    </row>
    <row r="170" spans="1:14" ht="16.5" hidden="1" customHeight="1" x14ac:dyDescent="0.25">
      <c r="A170" s="266">
        <v>5138</v>
      </c>
      <c r="B170" s="83">
        <v>911500</v>
      </c>
      <c r="C170" s="84" t="s">
        <v>161</v>
      </c>
      <c r="D170" s="84"/>
      <c r="E170" s="108"/>
      <c r="F170" s="108"/>
      <c r="G170" s="109">
        <f t="shared" si="53"/>
        <v>0</v>
      </c>
      <c r="H170" s="108"/>
      <c r="I170" s="108"/>
      <c r="J170" s="108"/>
      <c r="K170" s="108"/>
      <c r="L170" s="108"/>
      <c r="M170" s="110"/>
      <c r="N170" s="137" t="e">
        <f t="shared" si="42"/>
        <v>#DIV/0!</v>
      </c>
    </row>
    <row r="171" spans="1:14" ht="16.5" hidden="1" customHeight="1" x14ac:dyDescent="0.25">
      <c r="A171" s="266">
        <v>5139</v>
      </c>
      <c r="B171" s="83">
        <v>911600</v>
      </c>
      <c r="C171" s="84" t="s">
        <v>162</v>
      </c>
      <c r="D171" s="84"/>
      <c r="E171" s="108"/>
      <c r="F171" s="108"/>
      <c r="G171" s="109">
        <f t="shared" si="53"/>
        <v>0</v>
      </c>
      <c r="H171" s="108"/>
      <c r="I171" s="108"/>
      <c r="J171" s="108"/>
      <c r="K171" s="108"/>
      <c r="L171" s="108"/>
      <c r="M171" s="110"/>
      <c r="N171" s="137" t="e">
        <f t="shared" si="42"/>
        <v>#DIV/0!</v>
      </c>
    </row>
    <row r="172" spans="1:14" ht="16.5" hidden="1" customHeight="1" x14ac:dyDescent="0.25">
      <c r="A172" s="266">
        <v>5140</v>
      </c>
      <c r="B172" s="83">
        <v>911700</v>
      </c>
      <c r="C172" s="84" t="s">
        <v>163</v>
      </c>
      <c r="D172" s="84"/>
      <c r="E172" s="108"/>
      <c r="F172" s="108"/>
      <c r="G172" s="109">
        <f t="shared" si="53"/>
        <v>0</v>
      </c>
      <c r="H172" s="108"/>
      <c r="I172" s="108"/>
      <c r="J172" s="108"/>
      <c r="K172" s="108"/>
      <c r="L172" s="108"/>
      <c r="M172" s="110"/>
      <c r="N172" s="137" t="e">
        <f t="shared" si="42"/>
        <v>#DIV/0!</v>
      </c>
    </row>
    <row r="173" spans="1:14" ht="16.5" hidden="1" customHeight="1" x14ac:dyDescent="0.25">
      <c r="A173" s="266">
        <v>5141</v>
      </c>
      <c r="B173" s="83">
        <v>911800</v>
      </c>
      <c r="C173" s="84" t="s">
        <v>164</v>
      </c>
      <c r="D173" s="84"/>
      <c r="E173" s="108"/>
      <c r="F173" s="108"/>
      <c r="G173" s="109">
        <f t="shared" si="53"/>
        <v>0</v>
      </c>
      <c r="H173" s="108"/>
      <c r="I173" s="108"/>
      <c r="J173" s="108"/>
      <c r="K173" s="108"/>
      <c r="L173" s="108"/>
      <c r="M173" s="110"/>
      <c r="N173" s="137" t="e">
        <f t="shared" si="42"/>
        <v>#DIV/0!</v>
      </c>
    </row>
    <row r="174" spans="1:14" ht="16.5" hidden="1" customHeight="1" x14ac:dyDescent="0.25">
      <c r="A174" s="266">
        <v>5142</v>
      </c>
      <c r="B174" s="83">
        <v>911900</v>
      </c>
      <c r="C174" s="84" t="s">
        <v>165</v>
      </c>
      <c r="D174" s="84"/>
      <c r="E174" s="108"/>
      <c r="F174" s="108"/>
      <c r="G174" s="109">
        <f t="shared" si="53"/>
        <v>0</v>
      </c>
      <c r="H174" s="108"/>
      <c r="I174" s="108"/>
      <c r="J174" s="108"/>
      <c r="K174" s="108"/>
      <c r="L174" s="108"/>
      <c r="M174" s="110"/>
      <c r="N174" s="137" t="e">
        <f t="shared" si="42"/>
        <v>#DIV/0!</v>
      </c>
    </row>
    <row r="175" spans="1:14" ht="16.5" hidden="1" customHeight="1" x14ac:dyDescent="0.25">
      <c r="A175" s="490">
        <v>5143</v>
      </c>
      <c r="B175" s="488">
        <v>912000</v>
      </c>
      <c r="C175" s="82" t="s">
        <v>166</v>
      </c>
      <c r="D175" s="82"/>
      <c r="E175" s="100">
        <f>SUM(E176:E186)</f>
        <v>0</v>
      </c>
      <c r="F175" s="100">
        <f>SUM(F176:F186)</f>
        <v>0</v>
      </c>
      <c r="G175" s="100">
        <f t="shared" si="53"/>
        <v>0</v>
      </c>
      <c r="H175" s="100">
        <f t="shared" ref="H175:M175" si="57">SUM(H176:H186)</f>
        <v>0</v>
      </c>
      <c r="I175" s="100">
        <f t="shared" si="57"/>
        <v>0</v>
      </c>
      <c r="J175" s="100">
        <f t="shared" si="57"/>
        <v>0</v>
      </c>
      <c r="K175" s="100">
        <f t="shared" si="57"/>
        <v>0</v>
      </c>
      <c r="L175" s="100">
        <f t="shared" si="57"/>
        <v>0</v>
      </c>
      <c r="M175" s="101">
        <f t="shared" si="57"/>
        <v>0</v>
      </c>
      <c r="N175" s="137" t="e">
        <f t="shared" si="42"/>
        <v>#DIV/0!</v>
      </c>
    </row>
    <row r="176" spans="1:14" ht="16.5" hidden="1" customHeight="1" x14ac:dyDescent="0.25">
      <c r="A176" s="266">
        <v>5144</v>
      </c>
      <c r="B176" s="83">
        <v>912100</v>
      </c>
      <c r="C176" s="84" t="s">
        <v>167</v>
      </c>
      <c r="D176" s="84"/>
      <c r="E176" s="108"/>
      <c r="F176" s="108"/>
      <c r="G176" s="109">
        <f t="shared" si="53"/>
        <v>0</v>
      </c>
      <c r="H176" s="108"/>
      <c r="I176" s="108"/>
      <c r="J176" s="108"/>
      <c r="K176" s="108"/>
      <c r="L176" s="108"/>
      <c r="M176" s="110"/>
      <c r="N176" s="137" t="e">
        <f t="shared" si="42"/>
        <v>#DIV/0!</v>
      </c>
    </row>
    <row r="177" spans="1:14" ht="16.5" hidden="1" customHeight="1" x14ac:dyDescent="0.25">
      <c r="A177" s="266">
        <v>5145</v>
      </c>
      <c r="B177" s="83">
        <v>912200</v>
      </c>
      <c r="C177" s="84" t="s">
        <v>168</v>
      </c>
      <c r="D177" s="84"/>
      <c r="E177" s="108"/>
      <c r="F177" s="108"/>
      <c r="G177" s="109">
        <f t="shared" si="53"/>
        <v>0</v>
      </c>
      <c r="H177" s="108"/>
      <c r="I177" s="108"/>
      <c r="J177" s="108"/>
      <c r="K177" s="108"/>
      <c r="L177" s="108"/>
      <c r="M177" s="110"/>
      <c r="N177" s="137" t="e">
        <f t="shared" si="42"/>
        <v>#DIV/0!</v>
      </c>
    </row>
    <row r="178" spans="1:14" ht="16.5" hidden="1" customHeight="1" x14ac:dyDescent="0.25">
      <c r="A178" s="266">
        <v>5146</v>
      </c>
      <c r="B178" s="83">
        <v>912300</v>
      </c>
      <c r="C178" s="84" t="s">
        <v>169</v>
      </c>
      <c r="D178" s="84"/>
      <c r="E178" s="108"/>
      <c r="F178" s="108"/>
      <c r="G178" s="109">
        <f t="shared" si="53"/>
        <v>0</v>
      </c>
      <c r="H178" s="108"/>
      <c r="I178" s="108"/>
      <c r="J178" s="108"/>
      <c r="K178" s="108"/>
      <c r="L178" s="108"/>
      <c r="M178" s="110"/>
      <c r="N178" s="137" t="e">
        <f t="shared" si="42"/>
        <v>#DIV/0!</v>
      </c>
    </row>
    <row r="179" spans="1:14" ht="16.5" hidden="1" customHeight="1" x14ac:dyDescent="0.25">
      <c r="A179" s="266">
        <v>5147</v>
      </c>
      <c r="B179" s="83">
        <v>912400</v>
      </c>
      <c r="C179" s="84" t="s">
        <v>170</v>
      </c>
      <c r="D179" s="84"/>
      <c r="E179" s="108"/>
      <c r="F179" s="108"/>
      <c r="G179" s="109">
        <f t="shared" si="53"/>
        <v>0</v>
      </c>
      <c r="H179" s="108"/>
      <c r="I179" s="108"/>
      <c r="J179" s="108"/>
      <c r="K179" s="108"/>
      <c r="L179" s="108"/>
      <c r="M179" s="110"/>
      <c r="N179" s="137" t="e">
        <f t="shared" si="42"/>
        <v>#DIV/0!</v>
      </c>
    </row>
    <row r="180" spans="1:14" ht="16.5" hidden="1" customHeight="1" x14ac:dyDescent="0.25">
      <c r="A180" s="266">
        <v>5148</v>
      </c>
      <c r="B180" s="83">
        <v>912500</v>
      </c>
      <c r="C180" s="84" t="s">
        <v>171</v>
      </c>
      <c r="D180" s="84"/>
      <c r="E180" s="108"/>
      <c r="F180" s="108"/>
      <c r="G180" s="109">
        <f t="shared" si="53"/>
        <v>0</v>
      </c>
      <c r="H180" s="108"/>
      <c r="I180" s="108"/>
      <c r="J180" s="108"/>
      <c r="K180" s="108"/>
      <c r="L180" s="108"/>
      <c r="M180" s="110"/>
      <c r="N180" s="137" t="e">
        <f t="shared" si="42"/>
        <v>#DIV/0!</v>
      </c>
    </row>
    <row r="181" spans="1:14" ht="16.5" hidden="1" customHeight="1" x14ac:dyDescent="0.25">
      <c r="A181" s="266">
        <v>5149</v>
      </c>
      <c r="B181" s="83">
        <v>912600</v>
      </c>
      <c r="C181" s="84" t="s">
        <v>172</v>
      </c>
      <c r="D181" s="84"/>
      <c r="E181" s="108"/>
      <c r="F181" s="108"/>
      <c r="G181" s="109">
        <f t="shared" si="53"/>
        <v>0</v>
      </c>
      <c r="H181" s="108"/>
      <c r="I181" s="108"/>
      <c r="J181" s="108"/>
      <c r="K181" s="108"/>
      <c r="L181" s="108"/>
      <c r="M181" s="110"/>
      <c r="N181" s="137" t="e">
        <f t="shared" si="42"/>
        <v>#DIV/0!</v>
      </c>
    </row>
    <row r="182" spans="1:14" ht="16.5" hidden="1" customHeight="1" x14ac:dyDescent="0.25">
      <c r="A182" s="645" t="s">
        <v>0</v>
      </c>
      <c r="B182" s="646" t="s">
        <v>1</v>
      </c>
      <c r="C182" s="585" t="s">
        <v>2</v>
      </c>
      <c r="D182" s="486"/>
      <c r="E182" s="575" t="s">
        <v>3</v>
      </c>
      <c r="F182" s="487" t="s">
        <v>3</v>
      </c>
      <c r="G182" s="575" t="s">
        <v>4</v>
      </c>
      <c r="H182" s="575"/>
      <c r="I182" s="575"/>
      <c r="J182" s="575"/>
      <c r="K182" s="575"/>
      <c r="L182" s="575"/>
      <c r="M182" s="582"/>
      <c r="N182" s="137" t="e">
        <f t="shared" si="42"/>
        <v>#VALUE!</v>
      </c>
    </row>
    <row r="183" spans="1:14" ht="16.5" hidden="1" customHeight="1" x14ac:dyDescent="0.25">
      <c r="A183" s="645"/>
      <c r="B183" s="646"/>
      <c r="C183" s="585"/>
      <c r="D183" s="486"/>
      <c r="E183" s="575"/>
      <c r="F183" s="487"/>
      <c r="G183" s="581" t="s">
        <v>5</v>
      </c>
      <c r="H183" s="575" t="s">
        <v>6</v>
      </c>
      <c r="I183" s="575"/>
      <c r="J183" s="575"/>
      <c r="K183" s="575"/>
      <c r="L183" s="575" t="s">
        <v>7</v>
      </c>
      <c r="M183" s="582" t="s">
        <v>8</v>
      </c>
      <c r="N183" s="137" t="e">
        <f t="shared" si="42"/>
        <v>#VALUE!</v>
      </c>
    </row>
    <row r="184" spans="1:14" ht="16.5" hidden="1" customHeight="1" x14ac:dyDescent="0.25">
      <c r="A184" s="645"/>
      <c r="B184" s="646"/>
      <c r="C184" s="585"/>
      <c r="D184" s="486"/>
      <c r="E184" s="575"/>
      <c r="F184" s="487"/>
      <c r="G184" s="581"/>
      <c r="H184" s="487" t="s">
        <v>9</v>
      </c>
      <c r="I184" s="487" t="s">
        <v>10</v>
      </c>
      <c r="J184" s="487" t="s">
        <v>11</v>
      </c>
      <c r="K184" s="487" t="s">
        <v>12</v>
      </c>
      <c r="L184" s="575"/>
      <c r="M184" s="582"/>
      <c r="N184" s="137" t="e">
        <f t="shared" si="42"/>
        <v>#DIV/0!</v>
      </c>
    </row>
    <row r="185" spans="1:14" ht="16.5" hidden="1" customHeight="1" x14ac:dyDescent="0.25">
      <c r="A185" s="270" t="s">
        <v>18</v>
      </c>
      <c r="B185" s="491" t="s">
        <v>19</v>
      </c>
      <c r="C185" s="485" t="s">
        <v>20</v>
      </c>
      <c r="D185" s="485"/>
      <c r="E185" s="86" t="s">
        <v>21</v>
      </c>
      <c r="F185" s="86" t="s">
        <v>21</v>
      </c>
      <c r="G185" s="86" t="s">
        <v>22</v>
      </c>
      <c r="H185" s="86" t="s">
        <v>23</v>
      </c>
      <c r="I185" s="86" t="s">
        <v>24</v>
      </c>
      <c r="J185" s="86" t="s">
        <v>25</v>
      </c>
      <c r="K185" s="86" t="s">
        <v>26</v>
      </c>
      <c r="L185" s="86" t="s">
        <v>27</v>
      </c>
      <c r="M185" s="98" t="s">
        <v>28</v>
      </c>
      <c r="N185" s="137">
        <f t="shared" si="42"/>
        <v>1.25</v>
      </c>
    </row>
    <row r="186" spans="1:14" ht="16.5" hidden="1" customHeight="1" x14ac:dyDescent="0.25">
      <c r="A186" s="266">
        <v>5150</v>
      </c>
      <c r="B186" s="83">
        <v>912900</v>
      </c>
      <c r="C186" s="84" t="s">
        <v>173</v>
      </c>
      <c r="D186" s="84"/>
      <c r="E186" s="108"/>
      <c r="F186" s="108"/>
      <c r="G186" s="109">
        <f t="shared" si="53"/>
        <v>0</v>
      </c>
      <c r="H186" s="108"/>
      <c r="I186" s="108"/>
      <c r="J186" s="108"/>
      <c r="K186" s="108"/>
      <c r="L186" s="108"/>
      <c r="M186" s="110"/>
      <c r="N186" s="137" t="e">
        <f t="shared" si="42"/>
        <v>#DIV/0!</v>
      </c>
    </row>
    <row r="187" spans="1:14" ht="16.5" hidden="1" customHeight="1" x14ac:dyDescent="0.25">
      <c r="A187" s="490">
        <v>5151</v>
      </c>
      <c r="B187" s="488">
        <v>920000</v>
      </c>
      <c r="C187" s="82" t="s">
        <v>174</v>
      </c>
      <c r="D187" s="82"/>
      <c r="E187" s="100">
        <f>E188+E198</f>
        <v>0</v>
      </c>
      <c r="F187" s="100">
        <f>F188+F198</f>
        <v>0</v>
      </c>
      <c r="G187" s="100">
        <f t="shared" si="53"/>
        <v>0</v>
      </c>
      <c r="H187" s="100">
        <f t="shared" ref="H187:M187" si="58">H188+H198</f>
        <v>0</v>
      </c>
      <c r="I187" s="100">
        <f t="shared" si="58"/>
        <v>0</v>
      </c>
      <c r="J187" s="100">
        <f t="shared" si="58"/>
        <v>0</v>
      </c>
      <c r="K187" s="100">
        <f t="shared" si="58"/>
        <v>0</v>
      </c>
      <c r="L187" s="100">
        <f t="shared" si="58"/>
        <v>0</v>
      </c>
      <c r="M187" s="101">
        <f t="shared" si="58"/>
        <v>0</v>
      </c>
      <c r="N187" s="137" t="e">
        <f t="shared" si="42"/>
        <v>#DIV/0!</v>
      </c>
    </row>
    <row r="188" spans="1:14" ht="16.5" hidden="1" customHeight="1" x14ac:dyDescent="0.25">
      <c r="A188" s="490">
        <v>5152</v>
      </c>
      <c r="B188" s="488">
        <v>921000</v>
      </c>
      <c r="C188" s="82" t="s">
        <v>175</v>
      </c>
      <c r="D188" s="82"/>
      <c r="E188" s="100">
        <f>SUM(E189:E197)</f>
        <v>0</v>
      </c>
      <c r="F188" s="100">
        <f>SUM(F189:F197)</f>
        <v>0</v>
      </c>
      <c r="G188" s="100">
        <f t="shared" si="53"/>
        <v>0</v>
      </c>
      <c r="H188" s="100">
        <f t="shared" ref="H188:M188" si="59">SUM(H189:H197)</f>
        <v>0</v>
      </c>
      <c r="I188" s="100">
        <f t="shared" si="59"/>
        <v>0</v>
      </c>
      <c r="J188" s="100">
        <f t="shared" si="59"/>
        <v>0</v>
      </c>
      <c r="K188" s="100">
        <f t="shared" si="59"/>
        <v>0</v>
      </c>
      <c r="L188" s="100">
        <f t="shared" si="59"/>
        <v>0</v>
      </c>
      <c r="M188" s="101">
        <f t="shared" si="59"/>
        <v>0</v>
      </c>
      <c r="N188" s="137" t="e">
        <f t="shared" si="42"/>
        <v>#DIV/0!</v>
      </c>
    </row>
    <row r="189" spans="1:14" ht="16.5" hidden="1" customHeight="1" x14ac:dyDescent="0.25">
      <c r="A189" s="266">
        <v>5153</v>
      </c>
      <c r="B189" s="83">
        <v>921100</v>
      </c>
      <c r="C189" s="84" t="s">
        <v>176</v>
      </c>
      <c r="D189" s="84"/>
      <c r="E189" s="108"/>
      <c r="F189" s="108"/>
      <c r="G189" s="109">
        <f t="shared" si="53"/>
        <v>0</v>
      </c>
      <c r="H189" s="108"/>
      <c r="I189" s="108"/>
      <c r="J189" s="108"/>
      <c r="K189" s="108"/>
      <c r="L189" s="108"/>
      <c r="M189" s="110"/>
      <c r="N189" s="137" t="e">
        <f t="shared" si="42"/>
        <v>#DIV/0!</v>
      </c>
    </row>
    <row r="190" spans="1:14" ht="16.5" hidden="1" customHeight="1" x14ac:dyDescent="0.25">
      <c r="A190" s="266">
        <v>5154</v>
      </c>
      <c r="B190" s="83">
        <v>921200</v>
      </c>
      <c r="C190" s="84" t="s">
        <v>177</v>
      </c>
      <c r="D190" s="84"/>
      <c r="E190" s="108"/>
      <c r="F190" s="108"/>
      <c r="G190" s="109">
        <f t="shared" si="53"/>
        <v>0</v>
      </c>
      <c r="H190" s="108"/>
      <c r="I190" s="108"/>
      <c r="J190" s="108"/>
      <c r="K190" s="108"/>
      <c r="L190" s="108"/>
      <c r="M190" s="110"/>
      <c r="N190" s="137" t="e">
        <f t="shared" si="42"/>
        <v>#DIV/0!</v>
      </c>
    </row>
    <row r="191" spans="1:14" ht="16.5" hidden="1" customHeight="1" x14ac:dyDescent="0.25">
      <c r="A191" s="266">
        <v>5155</v>
      </c>
      <c r="B191" s="83">
        <v>921300</v>
      </c>
      <c r="C191" s="84" t="s">
        <v>178</v>
      </c>
      <c r="D191" s="84"/>
      <c r="E191" s="108"/>
      <c r="F191" s="108"/>
      <c r="G191" s="109">
        <f t="shared" si="53"/>
        <v>0</v>
      </c>
      <c r="H191" s="108"/>
      <c r="I191" s="108"/>
      <c r="J191" s="108"/>
      <c r="K191" s="108"/>
      <c r="L191" s="108"/>
      <c r="M191" s="110"/>
      <c r="N191" s="137" t="e">
        <f t="shared" si="42"/>
        <v>#DIV/0!</v>
      </c>
    </row>
    <row r="192" spans="1:14" ht="16.5" hidden="1" customHeight="1" x14ac:dyDescent="0.25">
      <c r="A192" s="266">
        <v>5156</v>
      </c>
      <c r="B192" s="83">
        <v>921400</v>
      </c>
      <c r="C192" s="84" t="s">
        <v>179</v>
      </c>
      <c r="D192" s="84"/>
      <c r="E192" s="108"/>
      <c r="F192" s="108"/>
      <c r="G192" s="109">
        <f t="shared" si="53"/>
        <v>0</v>
      </c>
      <c r="H192" s="108"/>
      <c r="I192" s="108"/>
      <c r="J192" s="108"/>
      <c r="K192" s="108"/>
      <c r="L192" s="108"/>
      <c r="M192" s="110"/>
      <c r="N192" s="137" t="e">
        <f t="shared" si="42"/>
        <v>#DIV/0!</v>
      </c>
    </row>
    <row r="193" spans="1:14" ht="16.5" hidden="1" customHeight="1" x14ac:dyDescent="0.25">
      <c r="A193" s="266">
        <v>5157</v>
      </c>
      <c r="B193" s="83">
        <v>921500</v>
      </c>
      <c r="C193" s="84" t="s">
        <v>180</v>
      </c>
      <c r="D193" s="84"/>
      <c r="E193" s="108"/>
      <c r="F193" s="108"/>
      <c r="G193" s="109">
        <f t="shared" si="53"/>
        <v>0</v>
      </c>
      <c r="H193" s="108"/>
      <c r="I193" s="108"/>
      <c r="J193" s="108"/>
      <c r="K193" s="108"/>
      <c r="L193" s="108"/>
      <c r="M193" s="110"/>
      <c r="N193" s="137" t="e">
        <f t="shared" si="42"/>
        <v>#DIV/0!</v>
      </c>
    </row>
    <row r="194" spans="1:14" ht="16.5" hidden="1" customHeight="1" x14ac:dyDescent="0.25">
      <c r="A194" s="266">
        <v>5158</v>
      </c>
      <c r="B194" s="83">
        <v>921600</v>
      </c>
      <c r="C194" s="84" t="s">
        <v>181</v>
      </c>
      <c r="D194" s="84"/>
      <c r="E194" s="108"/>
      <c r="F194" s="108"/>
      <c r="G194" s="109">
        <f t="shared" si="53"/>
        <v>0</v>
      </c>
      <c r="H194" s="108"/>
      <c r="I194" s="108"/>
      <c r="J194" s="108"/>
      <c r="K194" s="108"/>
      <c r="L194" s="108"/>
      <c r="M194" s="110"/>
      <c r="N194" s="137" t="e">
        <f t="shared" si="42"/>
        <v>#DIV/0!</v>
      </c>
    </row>
    <row r="195" spans="1:14" ht="16.5" hidden="1" customHeight="1" x14ac:dyDescent="0.25">
      <c r="A195" s="266">
        <v>5159</v>
      </c>
      <c r="B195" s="83">
        <v>921700</v>
      </c>
      <c r="C195" s="84" t="s">
        <v>182</v>
      </c>
      <c r="D195" s="84"/>
      <c r="E195" s="108"/>
      <c r="F195" s="108"/>
      <c r="G195" s="109">
        <f t="shared" si="53"/>
        <v>0</v>
      </c>
      <c r="H195" s="108"/>
      <c r="I195" s="108"/>
      <c r="J195" s="108"/>
      <c r="K195" s="108"/>
      <c r="L195" s="108"/>
      <c r="M195" s="110"/>
      <c r="N195" s="137" t="e">
        <f t="shared" si="42"/>
        <v>#DIV/0!</v>
      </c>
    </row>
    <row r="196" spans="1:14" ht="16.5" hidden="1" customHeight="1" x14ac:dyDescent="0.25">
      <c r="A196" s="266">
        <v>5160</v>
      </c>
      <c r="B196" s="83">
        <v>921800</v>
      </c>
      <c r="C196" s="84" t="s">
        <v>183</v>
      </c>
      <c r="D196" s="84"/>
      <c r="E196" s="108"/>
      <c r="F196" s="108"/>
      <c r="G196" s="109">
        <f t="shared" si="53"/>
        <v>0</v>
      </c>
      <c r="H196" s="108"/>
      <c r="I196" s="108"/>
      <c r="J196" s="108"/>
      <c r="K196" s="108"/>
      <c r="L196" s="108"/>
      <c r="M196" s="110"/>
      <c r="N196" s="137" t="e">
        <f t="shared" si="42"/>
        <v>#DIV/0!</v>
      </c>
    </row>
    <row r="197" spans="1:14" ht="16.5" hidden="1" customHeight="1" x14ac:dyDescent="0.25">
      <c r="A197" s="266">
        <v>5161</v>
      </c>
      <c r="B197" s="83">
        <v>921900</v>
      </c>
      <c r="C197" s="84" t="s">
        <v>184</v>
      </c>
      <c r="D197" s="84"/>
      <c r="E197" s="108"/>
      <c r="F197" s="108"/>
      <c r="G197" s="109">
        <f t="shared" si="53"/>
        <v>0</v>
      </c>
      <c r="H197" s="108"/>
      <c r="I197" s="108"/>
      <c r="J197" s="108"/>
      <c r="K197" s="108"/>
      <c r="L197" s="108"/>
      <c r="M197" s="110"/>
      <c r="N197" s="137" t="e">
        <f t="shared" si="42"/>
        <v>#DIV/0!</v>
      </c>
    </row>
    <row r="198" spans="1:14" ht="16.5" hidden="1" customHeight="1" x14ac:dyDescent="0.25">
      <c r="A198" s="490">
        <v>5162</v>
      </c>
      <c r="B198" s="488">
        <v>922000</v>
      </c>
      <c r="C198" s="82" t="s">
        <v>185</v>
      </c>
      <c r="D198" s="82"/>
      <c r="E198" s="100">
        <f>SUM(E199:E210)</f>
        <v>0</v>
      </c>
      <c r="F198" s="100">
        <f>SUM(F199:F210)</f>
        <v>0</v>
      </c>
      <c r="G198" s="100">
        <f t="shared" si="53"/>
        <v>0</v>
      </c>
      <c r="H198" s="100">
        <f t="shared" ref="H198:M198" si="60">SUM(H199:H210)</f>
        <v>0</v>
      </c>
      <c r="I198" s="100">
        <f t="shared" si="60"/>
        <v>0</v>
      </c>
      <c r="J198" s="100">
        <f t="shared" si="60"/>
        <v>0</v>
      </c>
      <c r="K198" s="100">
        <f t="shared" si="60"/>
        <v>0</v>
      </c>
      <c r="L198" s="100">
        <f t="shared" si="60"/>
        <v>0</v>
      </c>
      <c r="M198" s="101">
        <f t="shared" si="60"/>
        <v>0</v>
      </c>
      <c r="N198" s="137" t="e">
        <f t="shared" si="42"/>
        <v>#DIV/0!</v>
      </c>
    </row>
    <row r="199" spans="1:14" ht="16.5" hidden="1" customHeight="1" x14ac:dyDescent="0.25">
      <c r="A199" s="266">
        <v>5163</v>
      </c>
      <c r="B199" s="83">
        <v>922100</v>
      </c>
      <c r="C199" s="84" t="s">
        <v>186</v>
      </c>
      <c r="D199" s="84"/>
      <c r="E199" s="108"/>
      <c r="F199" s="108"/>
      <c r="G199" s="109">
        <f t="shared" ref="G199:G211" si="61">SUM(H199:M199)</f>
        <v>0</v>
      </c>
      <c r="H199" s="108"/>
      <c r="I199" s="108"/>
      <c r="J199" s="108"/>
      <c r="K199" s="108"/>
      <c r="L199" s="108"/>
      <c r="M199" s="110"/>
      <c r="N199" s="137" t="e">
        <f t="shared" si="42"/>
        <v>#DIV/0!</v>
      </c>
    </row>
    <row r="200" spans="1:14" ht="16.5" hidden="1" customHeight="1" x14ac:dyDescent="0.25">
      <c r="A200" s="266">
        <v>5164</v>
      </c>
      <c r="B200" s="83">
        <v>922200</v>
      </c>
      <c r="C200" s="84" t="s">
        <v>187</v>
      </c>
      <c r="D200" s="84"/>
      <c r="E200" s="108"/>
      <c r="F200" s="108"/>
      <c r="G200" s="109">
        <f t="shared" si="61"/>
        <v>0</v>
      </c>
      <c r="H200" s="108"/>
      <c r="I200" s="108"/>
      <c r="J200" s="108"/>
      <c r="K200" s="108"/>
      <c r="L200" s="108"/>
      <c r="M200" s="110"/>
      <c r="N200" s="137" t="e">
        <f t="shared" si="42"/>
        <v>#DIV/0!</v>
      </c>
    </row>
    <row r="201" spans="1:14" ht="16.5" hidden="1" customHeight="1" x14ac:dyDescent="0.25">
      <c r="A201" s="266">
        <v>5165</v>
      </c>
      <c r="B201" s="83">
        <v>922300</v>
      </c>
      <c r="C201" s="84" t="s">
        <v>188</v>
      </c>
      <c r="D201" s="84"/>
      <c r="E201" s="108"/>
      <c r="F201" s="108"/>
      <c r="G201" s="109">
        <f t="shared" si="61"/>
        <v>0</v>
      </c>
      <c r="H201" s="108"/>
      <c r="I201" s="108"/>
      <c r="J201" s="108"/>
      <c r="K201" s="108"/>
      <c r="L201" s="108"/>
      <c r="M201" s="110"/>
      <c r="N201" s="137" t="e">
        <f t="shared" si="42"/>
        <v>#DIV/0!</v>
      </c>
    </row>
    <row r="202" spans="1:14" ht="16.5" hidden="1" customHeight="1" x14ac:dyDescent="0.25">
      <c r="A202" s="266">
        <v>5166</v>
      </c>
      <c r="B202" s="83">
        <v>922400</v>
      </c>
      <c r="C202" s="84" t="s">
        <v>189</v>
      </c>
      <c r="D202" s="84"/>
      <c r="E202" s="108"/>
      <c r="F202" s="108"/>
      <c r="G202" s="109">
        <f t="shared" si="61"/>
        <v>0</v>
      </c>
      <c r="H202" s="108"/>
      <c r="I202" s="108"/>
      <c r="J202" s="108"/>
      <c r="K202" s="108"/>
      <c r="L202" s="108"/>
      <c r="M202" s="110"/>
      <c r="N202" s="137" t="e">
        <f t="shared" ref="N202:N211" si="62">G202/F202</f>
        <v>#DIV/0!</v>
      </c>
    </row>
    <row r="203" spans="1:14" ht="16.5" hidden="1" customHeight="1" x14ac:dyDescent="0.25">
      <c r="A203" s="266">
        <v>5167</v>
      </c>
      <c r="B203" s="83">
        <v>922500</v>
      </c>
      <c r="C203" s="84" t="s">
        <v>190</v>
      </c>
      <c r="D203" s="84"/>
      <c r="E203" s="108"/>
      <c r="F203" s="108"/>
      <c r="G203" s="109">
        <f t="shared" si="61"/>
        <v>0</v>
      </c>
      <c r="H203" s="108"/>
      <c r="I203" s="108"/>
      <c r="J203" s="108"/>
      <c r="K203" s="108"/>
      <c r="L203" s="108"/>
      <c r="M203" s="110"/>
      <c r="N203" s="137" t="e">
        <f t="shared" si="62"/>
        <v>#DIV/0!</v>
      </c>
    </row>
    <row r="204" spans="1:14" ht="16.5" hidden="1" customHeight="1" x14ac:dyDescent="0.25">
      <c r="A204" s="645" t="s">
        <v>0</v>
      </c>
      <c r="B204" s="646" t="s">
        <v>1</v>
      </c>
      <c r="C204" s="585" t="s">
        <v>2</v>
      </c>
      <c r="D204" s="486"/>
      <c r="E204" s="575" t="s">
        <v>3</v>
      </c>
      <c r="F204" s="487" t="s">
        <v>3</v>
      </c>
      <c r="G204" s="575" t="s">
        <v>4</v>
      </c>
      <c r="H204" s="575"/>
      <c r="I204" s="575"/>
      <c r="J204" s="575"/>
      <c r="K204" s="575"/>
      <c r="L204" s="575"/>
      <c r="M204" s="582"/>
      <c r="N204" s="137" t="e">
        <f t="shared" si="62"/>
        <v>#VALUE!</v>
      </c>
    </row>
    <row r="205" spans="1:14" ht="16.5" hidden="1" customHeight="1" x14ac:dyDescent="0.25">
      <c r="A205" s="645"/>
      <c r="B205" s="646"/>
      <c r="C205" s="585"/>
      <c r="D205" s="486"/>
      <c r="E205" s="575"/>
      <c r="F205" s="487"/>
      <c r="G205" s="581" t="s">
        <v>5</v>
      </c>
      <c r="H205" s="575" t="s">
        <v>6</v>
      </c>
      <c r="I205" s="575"/>
      <c r="J205" s="575"/>
      <c r="K205" s="575"/>
      <c r="L205" s="575" t="s">
        <v>7</v>
      </c>
      <c r="M205" s="582" t="s">
        <v>8</v>
      </c>
      <c r="N205" s="137" t="e">
        <f t="shared" si="62"/>
        <v>#VALUE!</v>
      </c>
    </row>
    <row r="206" spans="1:14" ht="16.5" hidden="1" customHeight="1" x14ac:dyDescent="0.25">
      <c r="A206" s="645"/>
      <c r="B206" s="646"/>
      <c r="C206" s="585"/>
      <c r="D206" s="486"/>
      <c r="E206" s="575"/>
      <c r="F206" s="487"/>
      <c r="G206" s="581"/>
      <c r="H206" s="487" t="s">
        <v>9</v>
      </c>
      <c r="I206" s="487" t="s">
        <v>10</v>
      </c>
      <c r="J206" s="487" t="s">
        <v>11</v>
      </c>
      <c r="K206" s="487" t="s">
        <v>12</v>
      </c>
      <c r="L206" s="575"/>
      <c r="M206" s="582"/>
      <c r="N206" s="137" t="e">
        <f t="shared" si="62"/>
        <v>#DIV/0!</v>
      </c>
    </row>
    <row r="207" spans="1:14" ht="16.5" hidden="1" customHeight="1" x14ac:dyDescent="0.25">
      <c r="A207" s="270" t="s">
        <v>18</v>
      </c>
      <c r="B207" s="491" t="s">
        <v>19</v>
      </c>
      <c r="C207" s="485" t="s">
        <v>20</v>
      </c>
      <c r="D207" s="485"/>
      <c r="E207" s="86" t="s">
        <v>21</v>
      </c>
      <c r="F207" s="86" t="s">
        <v>21</v>
      </c>
      <c r="G207" s="86" t="s">
        <v>22</v>
      </c>
      <c r="H207" s="86" t="s">
        <v>23</v>
      </c>
      <c r="I207" s="86" t="s">
        <v>24</v>
      </c>
      <c r="J207" s="86" t="s">
        <v>25</v>
      </c>
      <c r="K207" s="86" t="s">
        <v>26</v>
      </c>
      <c r="L207" s="86" t="s">
        <v>27</v>
      </c>
      <c r="M207" s="98" t="s">
        <v>28</v>
      </c>
      <c r="N207" s="137">
        <f t="shared" si="62"/>
        <v>1.25</v>
      </c>
    </row>
    <row r="208" spans="1:14" ht="16.5" hidden="1" customHeight="1" x14ac:dyDescent="0.25">
      <c r="A208" s="266">
        <v>5168</v>
      </c>
      <c r="B208" s="83">
        <v>922600</v>
      </c>
      <c r="C208" s="84" t="s">
        <v>191</v>
      </c>
      <c r="D208" s="84"/>
      <c r="E208" s="108"/>
      <c r="F208" s="108"/>
      <c r="G208" s="109">
        <f t="shared" si="61"/>
        <v>0</v>
      </c>
      <c r="H208" s="108"/>
      <c r="I208" s="108"/>
      <c r="J208" s="108"/>
      <c r="K208" s="108"/>
      <c r="L208" s="108"/>
      <c r="M208" s="110"/>
      <c r="N208" s="137" t="e">
        <f t="shared" si="62"/>
        <v>#DIV/0!</v>
      </c>
    </row>
    <row r="209" spans="1:14" ht="16.5" hidden="1" customHeight="1" x14ac:dyDescent="0.25">
      <c r="A209" s="266">
        <v>5169</v>
      </c>
      <c r="B209" s="83">
        <v>922700</v>
      </c>
      <c r="C209" s="84" t="s">
        <v>192</v>
      </c>
      <c r="D209" s="84"/>
      <c r="E209" s="108"/>
      <c r="F209" s="108"/>
      <c r="G209" s="109">
        <f t="shared" si="61"/>
        <v>0</v>
      </c>
      <c r="H209" s="108"/>
      <c r="I209" s="108"/>
      <c r="J209" s="108"/>
      <c r="K209" s="108"/>
      <c r="L209" s="108"/>
      <c r="M209" s="110"/>
      <c r="N209" s="137" t="e">
        <f t="shared" si="62"/>
        <v>#DIV/0!</v>
      </c>
    </row>
    <row r="210" spans="1:14" ht="16.5" hidden="1" customHeight="1" x14ac:dyDescent="0.25">
      <c r="A210" s="266">
        <v>5170</v>
      </c>
      <c r="B210" s="83">
        <v>922800</v>
      </c>
      <c r="C210" s="84" t="s">
        <v>193</v>
      </c>
      <c r="D210" s="84"/>
      <c r="E210" s="108"/>
      <c r="F210" s="108"/>
      <c r="G210" s="109">
        <f t="shared" si="61"/>
        <v>0</v>
      </c>
      <c r="H210" s="108"/>
      <c r="I210" s="108"/>
      <c r="J210" s="108"/>
      <c r="K210" s="108"/>
      <c r="L210" s="108"/>
      <c r="M210" s="110"/>
      <c r="N210" s="137" t="e">
        <f t="shared" si="62"/>
        <v>#DIV/0!</v>
      </c>
    </row>
    <row r="211" spans="1:14" ht="12.75" customHeight="1" thickBot="1" x14ac:dyDescent="0.3">
      <c r="A211" s="267">
        <v>5171</v>
      </c>
      <c r="B211" s="272"/>
      <c r="C211" s="89" t="s">
        <v>536</v>
      </c>
      <c r="D211" s="113">
        <f>D9+D163</f>
        <v>63655</v>
      </c>
      <c r="E211" s="113">
        <f>E9+E163</f>
        <v>1643534</v>
      </c>
      <c r="F211" s="113">
        <f>F9+F163</f>
        <v>1707189</v>
      </c>
      <c r="G211" s="113">
        <f t="shared" si="61"/>
        <v>794070</v>
      </c>
      <c r="H211" s="113">
        <f t="shared" ref="H211:M211" si="63">H9+H163</f>
        <v>2483</v>
      </c>
      <c r="I211" s="113">
        <f t="shared" si="63"/>
        <v>0</v>
      </c>
      <c r="J211" s="113">
        <f t="shared" si="63"/>
        <v>0</v>
      </c>
      <c r="K211" s="113">
        <f t="shared" si="63"/>
        <v>785888</v>
      </c>
      <c r="L211" s="113">
        <f t="shared" si="63"/>
        <v>0</v>
      </c>
      <c r="M211" s="114">
        <f t="shared" si="63"/>
        <v>5699</v>
      </c>
      <c r="N211" s="138">
        <f t="shared" si="62"/>
        <v>0.46513303447948645</v>
      </c>
    </row>
    <row r="212" spans="1:14" ht="12.75" customHeight="1" x14ac:dyDescent="0.25">
      <c r="A212" s="90"/>
      <c r="B212" s="91"/>
      <c r="C212" s="91"/>
      <c r="D212" s="91"/>
      <c r="E212" s="91"/>
      <c r="F212" s="91"/>
      <c r="G212" s="91"/>
      <c r="H212" s="91"/>
      <c r="I212" s="91"/>
      <c r="J212" s="91"/>
      <c r="K212" s="91"/>
      <c r="L212" s="91"/>
      <c r="M212" s="91"/>
    </row>
    <row r="213" spans="1:14" ht="6" customHeight="1" x14ac:dyDescent="0.25">
      <c r="A213" s="90"/>
      <c r="B213" s="91"/>
      <c r="C213" s="91"/>
      <c r="D213" s="91"/>
      <c r="E213" s="91"/>
      <c r="F213" s="91"/>
      <c r="G213" s="91"/>
      <c r="H213" s="91"/>
      <c r="I213" s="91"/>
      <c r="J213" s="91"/>
      <c r="K213" s="91"/>
      <c r="L213" s="91"/>
      <c r="M213" s="91"/>
    </row>
    <row r="214" spans="1:14" ht="12.75" customHeight="1" x14ac:dyDescent="0.25">
      <c r="A214" s="92" t="s">
        <v>195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  <c r="L214" s="91"/>
      <c r="M214" s="91"/>
    </row>
    <row r="215" spans="1:14" ht="12.75" customHeight="1" thickBot="1" x14ac:dyDescent="0.3">
      <c r="A215" s="90"/>
      <c r="B215" s="91"/>
      <c r="C215" s="91"/>
      <c r="D215" s="91"/>
      <c r="E215" s="91"/>
      <c r="F215" s="91"/>
      <c r="G215" s="91"/>
      <c r="H215" s="91"/>
      <c r="I215" s="91"/>
      <c r="J215" s="91"/>
      <c r="K215" s="91"/>
      <c r="L215" s="91" t="s">
        <v>196</v>
      </c>
      <c r="M215" s="91"/>
    </row>
    <row r="216" spans="1:14" ht="12.75" customHeight="1" thickBot="1" x14ac:dyDescent="0.3">
      <c r="A216" s="637" t="s">
        <v>0</v>
      </c>
      <c r="B216" s="572" t="s">
        <v>1</v>
      </c>
      <c r="C216" s="574" t="s">
        <v>2</v>
      </c>
      <c r="D216" s="700" t="s">
        <v>560</v>
      </c>
      <c r="E216" s="700" t="s">
        <v>558</v>
      </c>
      <c r="F216" s="700" t="s">
        <v>547</v>
      </c>
      <c r="G216" s="574" t="s">
        <v>198</v>
      </c>
      <c r="H216" s="590"/>
      <c r="I216" s="590"/>
      <c r="J216" s="590"/>
      <c r="K216" s="590"/>
      <c r="L216" s="590"/>
      <c r="M216" s="591"/>
      <c r="N216" s="695" t="s">
        <v>548</v>
      </c>
    </row>
    <row r="217" spans="1:14" ht="12.75" customHeight="1" thickBot="1" x14ac:dyDescent="0.3">
      <c r="A217" s="647"/>
      <c r="B217" s="588"/>
      <c r="C217" s="589"/>
      <c r="D217" s="701"/>
      <c r="E217" s="701"/>
      <c r="F217" s="701"/>
      <c r="G217" s="575" t="s">
        <v>199</v>
      </c>
      <c r="H217" s="575" t="s">
        <v>200</v>
      </c>
      <c r="I217" s="589"/>
      <c r="J217" s="589"/>
      <c r="K217" s="589"/>
      <c r="L217" s="575" t="s">
        <v>7</v>
      </c>
      <c r="M217" s="582" t="s">
        <v>8</v>
      </c>
      <c r="N217" s="696"/>
    </row>
    <row r="218" spans="1:14" ht="27.75" customHeight="1" x14ac:dyDescent="0.25">
      <c r="A218" s="647"/>
      <c r="B218" s="588"/>
      <c r="C218" s="589"/>
      <c r="D218" s="701"/>
      <c r="E218" s="701"/>
      <c r="F218" s="701"/>
      <c r="G218" s="589"/>
      <c r="H218" s="487" t="s">
        <v>201</v>
      </c>
      <c r="I218" s="487" t="s">
        <v>10</v>
      </c>
      <c r="J218" s="487" t="s">
        <v>559</v>
      </c>
      <c r="K218" s="487" t="s">
        <v>12</v>
      </c>
      <c r="L218" s="589"/>
      <c r="M218" s="592"/>
      <c r="N218" s="696"/>
    </row>
    <row r="219" spans="1:14" ht="12.75" customHeight="1" x14ac:dyDescent="0.25">
      <c r="A219" s="490">
        <v>1</v>
      </c>
      <c r="B219" s="488">
        <v>2</v>
      </c>
      <c r="C219" s="487">
        <v>3</v>
      </c>
      <c r="D219" s="526">
        <v>4</v>
      </c>
      <c r="E219" s="526">
        <v>5</v>
      </c>
      <c r="F219" s="526" t="s">
        <v>551</v>
      </c>
      <c r="G219" s="526">
        <v>7</v>
      </c>
      <c r="H219" s="526">
        <v>8</v>
      </c>
      <c r="I219" s="526">
        <v>7</v>
      </c>
      <c r="J219" s="526">
        <v>9</v>
      </c>
      <c r="K219" s="526">
        <v>10</v>
      </c>
      <c r="L219" s="526">
        <v>10</v>
      </c>
      <c r="M219" s="527">
        <v>11</v>
      </c>
      <c r="N219" s="528" t="s">
        <v>552</v>
      </c>
    </row>
    <row r="220" spans="1:14" ht="12.75" customHeight="1" x14ac:dyDescent="0.25">
      <c r="A220" s="273">
        <v>5172</v>
      </c>
      <c r="B220" s="488"/>
      <c r="C220" s="82" t="s">
        <v>202</v>
      </c>
      <c r="D220" s="256">
        <f>D221+D417</f>
        <v>69812</v>
      </c>
      <c r="E220" s="100">
        <f>E221+E417</f>
        <v>1643283</v>
      </c>
      <c r="F220" s="100">
        <f>F221+F417</f>
        <v>1713095</v>
      </c>
      <c r="G220" s="100">
        <f t="shared" ref="G220:G291" si="64">SUM(H220:M220)</f>
        <v>803277</v>
      </c>
      <c r="H220" s="100">
        <f t="shared" ref="H220:M220" si="65">H221+H417</f>
        <v>2737</v>
      </c>
      <c r="I220" s="100">
        <f t="shared" si="65"/>
        <v>0</v>
      </c>
      <c r="J220" s="100">
        <f t="shared" si="65"/>
        <v>5866</v>
      </c>
      <c r="K220" s="100">
        <f t="shared" si="65"/>
        <v>787205</v>
      </c>
      <c r="L220" s="100">
        <f t="shared" si="65"/>
        <v>0</v>
      </c>
      <c r="M220" s="101">
        <f t="shared" si="65"/>
        <v>7469</v>
      </c>
      <c r="N220" s="137">
        <f>G220/F220</f>
        <v>0.46890394286364739</v>
      </c>
    </row>
    <row r="221" spans="1:14" ht="12.75" customHeight="1" x14ac:dyDescent="0.25">
      <c r="A221" s="273">
        <v>5173</v>
      </c>
      <c r="B221" s="488">
        <v>400000</v>
      </c>
      <c r="C221" s="82" t="s">
        <v>203</v>
      </c>
      <c r="D221" s="256">
        <f>D222+D248+D297+D316+D344+D357+D377+D396</f>
        <v>68852</v>
      </c>
      <c r="E221" s="100">
        <f>E222+E248+E297+E316+E344+E357+E377+E396</f>
        <v>1611382</v>
      </c>
      <c r="F221" s="100">
        <f>F222+F248+F297+F316+F344+F357+F377+F396</f>
        <v>1680234</v>
      </c>
      <c r="G221" s="100">
        <f t="shared" si="64"/>
        <v>799804</v>
      </c>
      <c r="H221" s="100">
        <f t="shared" ref="H221:M221" si="66">H222+H248+H297+H316+H344+H357+H377+H396</f>
        <v>445</v>
      </c>
      <c r="I221" s="100">
        <f t="shared" si="66"/>
        <v>0</v>
      </c>
      <c r="J221" s="100">
        <f t="shared" si="66"/>
        <v>5381</v>
      </c>
      <c r="K221" s="100">
        <f t="shared" si="66"/>
        <v>787205</v>
      </c>
      <c r="L221" s="100">
        <f t="shared" si="66"/>
        <v>0</v>
      </c>
      <c r="M221" s="101">
        <f t="shared" si="66"/>
        <v>6773</v>
      </c>
      <c r="N221" s="137">
        <f t="shared" ref="N221:N284" si="67">G221/F221</f>
        <v>0.47600750847798579</v>
      </c>
    </row>
    <row r="222" spans="1:14" ht="12.75" customHeight="1" x14ac:dyDescent="0.25">
      <c r="A222" s="273">
        <v>5174</v>
      </c>
      <c r="B222" s="488">
        <v>410000</v>
      </c>
      <c r="C222" s="82" t="s">
        <v>204</v>
      </c>
      <c r="D222" s="256">
        <f>D223+D225+D229+D231+D240+D242+D244+D246</f>
        <v>46451</v>
      </c>
      <c r="E222" s="100">
        <f>E223+E225+E229+E231+E240+E242+E244+E246</f>
        <v>1216506</v>
      </c>
      <c r="F222" s="100">
        <f>F223+F225+F229+F231+F240+F242+F244+F246</f>
        <v>1262957</v>
      </c>
      <c r="G222" s="100">
        <f t="shared" si="64"/>
        <v>603379</v>
      </c>
      <c r="H222" s="100">
        <f t="shared" ref="H222:M222" si="68">H223+H225+H229+H231+H240+H242+H244+H246</f>
        <v>0</v>
      </c>
      <c r="I222" s="100">
        <f t="shared" si="68"/>
        <v>0</v>
      </c>
      <c r="J222" s="100">
        <f t="shared" si="68"/>
        <v>0</v>
      </c>
      <c r="K222" s="100">
        <f t="shared" si="68"/>
        <v>601879</v>
      </c>
      <c r="L222" s="100">
        <f t="shared" si="68"/>
        <v>0</v>
      </c>
      <c r="M222" s="101">
        <f t="shared" si="68"/>
        <v>1500</v>
      </c>
      <c r="N222" s="137">
        <f t="shared" si="67"/>
        <v>0.47775102398577307</v>
      </c>
    </row>
    <row r="223" spans="1:14" ht="12.75" customHeight="1" x14ac:dyDescent="0.25">
      <c r="A223" s="273">
        <v>5175</v>
      </c>
      <c r="B223" s="488">
        <v>411000</v>
      </c>
      <c r="C223" s="82" t="s">
        <v>205</v>
      </c>
      <c r="D223" s="256">
        <f>D224</f>
        <v>38644.85578992682</v>
      </c>
      <c r="E223" s="100">
        <f>E224</f>
        <v>1010985</v>
      </c>
      <c r="F223" s="100">
        <f>F224</f>
        <v>1049629.8557899268</v>
      </c>
      <c r="G223" s="100">
        <f t="shared" si="64"/>
        <v>500878</v>
      </c>
      <c r="H223" s="100">
        <f t="shared" ref="H223:M223" si="69">H224</f>
        <v>0</v>
      </c>
      <c r="I223" s="100">
        <f t="shared" si="69"/>
        <v>0</v>
      </c>
      <c r="J223" s="100">
        <f t="shared" si="69"/>
        <v>0</v>
      </c>
      <c r="K223" s="100">
        <f>K224</f>
        <v>499704</v>
      </c>
      <c r="L223" s="100">
        <f t="shared" si="69"/>
        <v>0</v>
      </c>
      <c r="M223" s="101">
        <f t="shared" si="69"/>
        <v>1174</v>
      </c>
      <c r="N223" s="137">
        <f t="shared" si="67"/>
        <v>0.47719488659461862</v>
      </c>
    </row>
    <row r="224" spans="1:14" ht="12.75" customHeight="1" x14ac:dyDescent="0.25">
      <c r="A224" s="274">
        <v>5176</v>
      </c>
      <c r="B224" s="83">
        <v>411100</v>
      </c>
      <c r="C224" s="84" t="s">
        <v>206</v>
      </c>
      <c r="D224" s="257">
        <f>(44825+61)/1.1615</f>
        <v>38644.85578992682</v>
      </c>
      <c r="E224" s="108">
        <v>1010985</v>
      </c>
      <c r="F224" s="108">
        <f>D224+E224</f>
        <v>1049629.8557899268</v>
      </c>
      <c r="G224" s="100">
        <f t="shared" si="64"/>
        <v>500878</v>
      </c>
      <c r="H224" s="108"/>
      <c r="I224" s="108"/>
      <c r="J224" s="108"/>
      <c r="K224" s="108">
        <v>499704</v>
      </c>
      <c r="L224" s="108"/>
      <c r="M224" s="110">
        <v>1174</v>
      </c>
      <c r="N224" s="137">
        <f t="shared" si="67"/>
        <v>0.47719488659461862</v>
      </c>
    </row>
    <row r="225" spans="1:14" ht="12.75" customHeight="1" x14ac:dyDescent="0.25">
      <c r="A225" s="273">
        <v>5177</v>
      </c>
      <c r="B225" s="488">
        <v>412000</v>
      </c>
      <c r="C225" s="82" t="s">
        <v>207</v>
      </c>
      <c r="D225" s="256">
        <f>SUM(D226:D228)</f>
        <v>6241.144210073182</v>
      </c>
      <c r="E225" s="100">
        <f>SUM(E226:E228)</f>
        <v>153194</v>
      </c>
      <c r="F225" s="100">
        <f>SUM(F226:F228)</f>
        <v>159435.14421007319</v>
      </c>
      <c r="G225" s="100">
        <f t="shared" si="64"/>
        <v>75906</v>
      </c>
      <c r="H225" s="100">
        <f t="shared" ref="H225:M225" si="70">SUM(H226:H228)</f>
        <v>0</v>
      </c>
      <c r="I225" s="100">
        <f t="shared" si="70"/>
        <v>0</v>
      </c>
      <c r="J225" s="100">
        <f t="shared" si="70"/>
        <v>0</v>
      </c>
      <c r="K225" s="100">
        <f t="shared" si="70"/>
        <v>75729</v>
      </c>
      <c r="L225" s="100">
        <f t="shared" si="70"/>
        <v>0</v>
      </c>
      <c r="M225" s="101">
        <f t="shared" si="70"/>
        <v>177</v>
      </c>
      <c r="N225" s="137">
        <f t="shared" si="67"/>
        <v>0.4760932752692566</v>
      </c>
    </row>
    <row r="226" spans="1:14" ht="12.75" customHeight="1" x14ac:dyDescent="0.25">
      <c r="A226" s="274">
        <v>5178</v>
      </c>
      <c r="B226" s="83">
        <v>412100</v>
      </c>
      <c r="C226" s="84" t="s">
        <v>208</v>
      </c>
      <c r="D226" s="257">
        <f>D224*0.11</f>
        <v>4250.9341368919504</v>
      </c>
      <c r="E226" s="108">
        <v>101128</v>
      </c>
      <c r="F226" s="108">
        <f>D226+E226</f>
        <v>105378.93413689196</v>
      </c>
      <c r="G226" s="100">
        <f t="shared" si="64"/>
        <v>50103</v>
      </c>
      <c r="H226" s="108"/>
      <c r="I226" s="108"/>
      <c r="J226" s="108"/>
      <c r="K226" s="108">
        <v>49986</v>
      </c>
      <c r="L226" s="108"/>
      <c r="M226" s="110">
        <v>117</v>
      </c>
      <c r="N226" s="137">
        <f t="shared" si="67"/>
        <v>0.47545555865002354</v>
      </c>
    </row>
    <row r="227" spans="1:14" ht="12.75" customHeight="1" x14ac:dyDescent="0.25">
      <c r="A227" s="274">
        <v>5179</v>
      </c>
      <c r="B227" s="83">
        <v>412200</v>
      </c>
      <c r="C227" s="84" t="s">
        <v>209</v>
      </c>
      <c r="D227" s="257">
        <f>D224*0.0515</f>
        <v>1990.2100731812311</v>
      </c>
      <c r="E227" s="108">
        <v>52066</v>
      </c>
      <c r="F227" s="108">
        <f t="shared" ref="F227:F230" si="71">D227+E227</f>
        <v>54056.210073181232</v>
      </c>
      <c r="G227" s="100">
        <f t="shared" si="64"/>
        <v>25803</v>
      </c>
      <c r="H227" s="108"/>
      <c r="I227" s="108"/>
      <c r="J227" s="108"/>
      <c r="K227" s="108">
        <v>25743</v>
      </c>
      <c r="L227" s="108"/>
      <c r="M227" s="110">
        <v>60</v>
      </c>
      <c r="N227" s="137">
        <f t="shared" si="67"/>
        <v>0.47733646078901815</v>
      </c>
    </row>
    <row r="228" spans="1:14" ht="12.75" hidden="1" customHeight="1" x14ac:dyDescent="0.25">
      <c r="A228" s="274">
        <v>5180</v>
      </c>
      <c r="B228" s="83">
        <v>412300</v>
      </c>
      <c r="C228" s="84" t="s">
        <v>210</v>
      </c>
      <c r="D228" s="257"/>
      <c r="E228" s="108"/>
      <c r="F228" s="108">
        <f t="shared" si="71"/>
        <v>0</v>
      </c>
      <c r="G228" s="109">
        <f t="shared" si="64"/>
        <v>0</v>
      </c>
      <c r="H228" s="108"/>
      <c r="I228" s="108"/>
      <c r="J228" s="108"/>
      <c r="K228" s="108"/>
      <c r="L228" s="108"/>
      <c r="M228" s="110"/>
      <c r="N228" s="137" t="e">
        <f t="shared" si="67"/>
        <v>#DIV/0!</v>
      </c>
    </row>
    <row r="229" spans="1:14" ht="12.75" hidden="1" customHeight="1" x14ac:dyDescent="0.25">
      <c r="A229" s="273">
        <v>5181</v>
      </c>
      <c r="B229" s="488">
        <v>413000</v>
      </c>
      <c r="C229" s="82" t="s">
        <v>211</v>
      </c>
      <c r="D229" s="256"/>
      <c r="E229" s="100">
        <f>E230</f>
        <v>0</v>
      </c>
      <c r="F229" s="108">
        <f t="shared" si="71"/>
        <v>0</v>
      </c>
      <c r="G229" s="100">
        <f t="shared" si="64"/>
        <v>0</v>
      </c>
      <c r="H229" s="100">
        <f t="shared" ref="H229:M229" si="72">H230</f>
        <v>0</v>
      </c>
      <c r="I229" s="100">
        <f t="shared" si="72"/>
        <v>0</v>
      </c>
      <c r="J229" s="100">
        <f t="shared" si="72"/>
        <v>0</v>
      </c>
      <c r="K229" s="100">
        <f t="shared" si="72"/>
        <v>0</v>
      </c>
      <c r="L229" s="100">
        <f t="shared" si="72"/>
        <v>0</v>
      </c>
      <c r="M229" s="101">
        <f t="shared" si="72"/>
        <v>0</v>
      </c>
      <c r="N229" s="137" t="e">
        <f t="shared" si="67"/>
        <v>#DIV/0!</v>
      </c>
    </row>
    <row r="230" spans="1:14" ht="12.75" hidden="1" customHeight="1" x14ac:dyDescent="0.25">
      <c r="A230" s="274">
        <v>5182</v>
      </c>
      <c r="B230" s="83">
        <v>413100</v>
      </c>
      <c r="C230" s="84" t="s">
        <v>212</v>
      </c>
      <c r="D230" s="257"/>
      <c r="E230" s="108"/>
      <c r="F230" s="108">
        <f t="shared" si="71"/>
        <v>0</v>
      </c>
      <c r="G230" s="109">
        <f t="shared" si="64"/>
        <v>0</v>
      </c>
      <c r="H230" s="108"/>
      <c r="I230" s="108"/>
      <c r="J230" s="108"/>
      <c r="K230" s="108"/>
      <c r="L230" s="108"/>
      <c r="M230" s="110"/>
      <c r="N230" s="137" t="e">
        <f t="shared" si="67"/>
        <v>#DIV/0!</v>
      </c>
    </row>
    <row r="231" spans="1:14" ht="12.75" customHeight="1" x14ac:dyDescent="0.25">
      <c r="A231" s="273">
        <v>5183</v>
      </c>
      <c r="B231" s="488">
        <v>414000</v>
      </c>
      <c r="C231" s="82" t="s">
        <v>213</v>
      </c>
      <c r="D231" s="258">
        <f>SUM(D232:D239)</f>
        <v>338</v>
      </c>
      <c r="E231" s="100">
        <f>SUM(E232:E239)</f>
        <v>9632</v>
      </c>
      <c r="F231" s="100">
        <f>SUM(F232:F239)</f>
        <v>9970</v>
      </c>
      <c r="G231" s="100">
        <f t="shared" si="64"/>
        <v>4802</v>
      </c>
      <c r="H231" s="100">
        <f t="shared" ref="H231:M231" si="73">SUM(H232:H239)</f>
        <v>0</v>
      </c>
      <c r="I231" s="100">
        <f t="shared" si="73"/>
        <v>0</v>
      </c>
      <c r="J231" s="100">
        <f t="shared" si="73"/>
        <v>0</v>
      </c>
      <c r="K231" s="100">
        <f t="shared" si="73"/>
        <v>4653</v>
      </c>
      <c r="L231" s="100">
        <f t="shared" si="73"/>
        <v>0</v>
      </c>
      <c r="M231" s="101">
        <f t="shared" si="73"/>
        <v>149</v>
      </c>
      <c r="N231" s="137">
        <f t="shared" si="67"/>
        <v>0.48164493480441323</v>
      </c>
    </row>
    <row r="232" spans="1:14" ht="12.75" hidden="1" customHeight="1" x14ac:dyDescent="0.25">
      <c r="A232" s="274">
        <v>5184</v>
      </c>
      <c r="B232" s="83">
        <v>414100</v>
      </c>
      <c r="C232" s="84" t="s">
        <v>214</v>
      </c>
      <c r="D232" s="257"/>
      <c r="E232" s="108"/>
      <c r="F232" s="108"/>
      <c r="G232" s="109">
        <f t="shared" si="64"/>
        <v>0</v>
      </c>
      <c r="H232" s="108"/>
      <c r="I232" s="108"/>
      <c r="J232" s="108"/>
      <c r="K232" s="108"/>
      <c r="L232" s="108"/>
      <c r="M232" s="110"/>
      <c r="N232" s="137" t="e">
        <f t="shared" si="67"/>
        <v>#DIV/0!</v>
      </c>
    </row>
    <row r="233" spans="1:14" ht="12.75" hidden="1" customHeight="1" x14ac:dyDescent="0.25">
      <c r="A233" s="274">
        <v>5185</v>
      </c>
      <c r="B233" s="83">
        <v>414200</v>
      </c>
      <c r="C233" s="84" t="s">
        <v>215</v>
      </c>
      <c r="D233" s="257"/>
      <c r="E233" s="108"/>
      <c r="F233" s="108"/>
      <c r="G233" s="109">
        <f t="shared" si="64"/>
        <v>0</v>
      </c>
      <c r="H233" s="108"/>
      <c r="I233" s="108"/>
      <c r="J233" s="108"/>
      <c r="K233" s="108"/>
      <c r="L233" s="108"/>
      <c r="M233" s="110"/>
      <c r="N233" s="137" t="e">
        <f t="shared" si="67"/>
        <v>#DIV/0!</v>
      </c>
    </row>
    <row r="234" spans="1:14" ht="12.75" customHeight="1" x14ac:dyDescent="0.25">
      <c r="A234" s="274">
        <v>5186</v>
      </c>
      <c r="B234" s="83">
        <v>414300</v>
      </c>
      <c r="C234" s="84" t="s">
        <v>216</v>
      </c>
      <c r="D234" s="257">
        <v>338</v>
      </c>
      <c r="E234" s="108">
        <v>8432</v>
      </c>
      <c r="F234" s="108">
        <f>D234+E234</f>
        <v>8770</v>
      </c>
      <c r="G234" s="109">
        <f>K234+M234</f>
        <v>3839</v>
      </c>
      <c r="H234" s="108"/>
      <c r="I234" s="108"/>
      <c r="J234" s="108"/>
      <c r="K234" s="108">
        <v>3695</v>
      </c>
      <c r="L234" s="108"/>
      <c r="M234" s="110">
        <v>144</v>
      </c>
      <c r="N234" s="137">
        <f t="shared" si="67"/>
        <v>0.43774230330672748</v>
      </c>
    </row>
    <row r="235" spans="1:14" ht="12.75" hidden="1" customHeight="1" x14ac:dyDescent="0.25">
      <c r="A235" s="645" t="s">
        <v>0</v>
      </c>
      <c r="B235" s="646" t="s">
        <v>1</v>
      </c>
      <c r="C235" s="585" t="s">
        <v>2</v>
      </c>
      <c r="D235" s="259"/>
      <c r="E235" s="585"/>
      <c r="F235" s="108">
        <f t="shared" ref="F235:F239" si="74">D235+E235</f>
        <v>0</v>
      </c>
      <c r="G235" s="575"/>
      <c r="H235" s="589"/>
      <c r="I235" s="589"/>
      <c r="J235" s="589"/>
      <c r="K235" s="589"/>
      <c r="L235" s="589"/>
      <c r="M235" s="592"/>
      <c r="N235" s="137" t="e">
        <f t="shared" si="67"/>
        <v>#DIV/0!</v>
      </c>
    </row>
    <row r="236" spans="1:14" ht="12.75" hidden="1" customHeight="1" x14ac:dyDescent="0.25">
      <c r="A236" s="645"/>
      <c r="B236" s="646"/>
      <c r="C236" s="585"/>
      <c r="D236" s="259"/>
      <c r="E236" s="585"/>
      <c r="F236" s="108">
        <f t="shared" si="74"/>
        <v>0</v>
      </c>
      <c r="G236" s="575"/>
      <c r="H236" s="575"/>
      <c r="I236" s="589"/>
      <c r="J236" s="589"/>
      <c r="K236" s="589"/>
      <c r="L236" s="575"/>
      <c r="M236" s="582"/>
      <c r="N236" s="137" t="e">
        <f t="shared" si="67"/>
        <v>#DIV/0!</v>
      </c>
    </row>
    <row r="237" spans="1:14" ht="12.75" hidden="1" customHeight="1" x14ac:dyDescent="0.25">
      <c r="A237" s="645"/>
      <c r="B237" s="646"/>
      <c r="C237" s="585"/>
      <c r="D237" s="259"/>
      <c r="E237" s="585"/>
      <c r="F237" s="108">
        <f t="shared" si="74"/>
        <v>0</v>
      </c>
      <c r="G237" s="589"/>
      <c r="H237" s="487"/>
      <c r="I237" s="487"/>
      <c r="J237" s="487"/>
      <c r="K237" s="487"/>
      <c r="L237" s="589"/>
      <c r="M237" s="592"/>
      <c r="N237" s="137" t="e">
        <f t="shared" si="67"/>
        <v>#DIV/0!</v>
      </c>
    </row>
    <row r="238" spans="1:14" ht="12.75" hidden="1" customHeight="1" x14ac:dyDescent="0.25">
      <c r="A238" s="275" t="s">
        <v>18</v>
      </c>
      <c r="B238" s="491" t="s">
        <v>19</v>
      </c>
      <c r="C238" s="485" t="s">
        <v>20</v>
      </c>
      <c r="D238" s="259"/>
      <c r="E238" s="485"/>
      <c r="F238" s="108">
        <f t="shared" si="74"/>
        <v>0</v>
      </c>
      <c r="G238" s="485"/>
      <c r="H238" s="485"/>
      <c r="I238" s="485"/>
      <c r="J238" s="485"/>
      <c r="K238" s="485"/>
      <c r="L238" s="485"/>
      <c r="M238" s="99"/>
      <c r="N238" s="137" t="e">
        <f t="shared" si="67"/>
        <v>#DIV/0!</v>
      </c>
    </row>
    <row r="239" spans="1:14" ht="25.5" customHeight="1" x14ac:dyDescent="0.25">
      <c r="A239" s="274">
        <v>5187</v>
      </c>
      <c r="B239" s="83">
        <v>414400</v>
      </c>
      <c r="C239" s="84" t="s">
        <v>218</v>
      </c>
      <c r="D239" s="257">
        <v>0</v>
      </c>
      <c r="E239" s="108">
        <v>1200</v>
      </c>
      <c r="F239" s="108">
        <f t="shared" si="74"/>
        <v>1200</v>
      </c>
      <c r="G239" s="109">
        <f>K239+M239</f>
        <v>963</v>
      </c>
      <c r="H239" s="108"/>
      <c r="I239" s="108"/>
      <c r="J239" s="108"/>
      <c r="K239" s="108">
        <v>958</v>
      </c>
      <c r="L239" s="108"/>
      <c r="M239" s="110">
        <v>5</v>
      </c>
      <c r="N239" s="137">
        <f t="shared" si="67"/>
        <v>0.80249999999999999</v>
      </c>
    </row>
    <row r="240" spans="1:14" ht="12.75" customHeight="1" x14ac:dyDescent="0.25">
      <c r="A240" s="273">
        <v>5188</v>
      </c>
      <c r="B240" s="488">
        <v>415000</v>
      </c>
      <c r="C240" s="82" t="s">
        <v>219</v>
      </c>
      <c r="D240" s="256">
        <f>D241</f>
        <v>0</v>
      </c>
      <c r="E240" s="100">
        <f>E241</f>
        <v>28788</v>
      </c>
      <c r="F240" s="100">
        <f>F241</f>
        <v>28788</v>
      </c>
      <c r="G240" s="100">
        <f t="shared" si="64"/>
        <v>13179</v>
      </c>
      <c r="H240" s="100">
        <f t="shared" ref="H240:M240" si="75">H241</f>
        <v>0</v>
      </c>
      <c r="I240" s="100">
        <f t="shared" si="75"/>
        <v>0</v>
      </c>
      <c r="J240" s="100">
        <f t="shared" si="75"/>
        <v>0</v>
      </c>
      <c r="K240" s="100">
        <f t="shared" si="75"/>
        <v>13179</v>
      </c>
      <c r="L240" s="100">
        <f t="shared" si="75"/>
        <v>0</v>
      </c>
      <c r="M240" s="101">
        <f t="shared" si="75"/>
        <v>0</v>
      </c>
      <c r="N240" s="137">
        <f t="shared" si="67"/>
        <v>0.45779491454772819</v>
      </c>
    </row>
    <row r="241" spans="1:14" ht="12.75" customHeight="1" x14ac:dyDescent="0.25">
      <c r="A241" s="274">
        <v>5189</v>
      </c>
      <c r="B241" s="83">
        <v>415100</v>
      </c>
      <c r="C241" s="84" t="s">
        <v>220</v>
      </c>
      <c r="D241" s="257">
        <v>0</v>
      </c>
      <c r="E241" s="108">
        <v>28788</v>
      </c>
      <c r="F241" s="108">
        <f>D241+E241</f>
        <v>28788</v>
      </c>
      <c r="G241" s="109">
        <f t="shared" si="64"/>
        <v>13179</v>
      </c>
      <c r="H241" s="108"/>
      <c r="I241" s="108"/>
      <c r="J241" s="108"/>
      <c r="K241" s="108">
        <v>13179</v>
      </c>
      <c r="L241" s="108"/>
      <c r="M241" s="110"/>
      <c r="N241" s="137">
        <f t="shared" si="67"/>
        <v>0.45779491454772819</v>
      </c>
    </row>
    <row r="242" spans="1:14" ht="12.75" customHeight="1" x14ac:dyDescent="0.25">
      <c r="A242" s="273">
        <v>5190</v>
      </c>
      <c r="B242" s="488">
        <v>416000</v>
      </c>
      <c r="C242" s="82" t="s">
        <v>221</v>
      </c>
      <c r="D242" s="256">
        <f>D243</f>
        <v>1227</v>
      </c>
      <c r="E242" s="100">
        <f>E243</f>
        <v>13907</v>
      </c>
      <c r="F242" s="119">
        <f>F243</f>
        <v>15134</v>
      </c>
      <c r="G242" s="119">
        <f t="shared" si="64"/>
        <v>8614</v>
      </c>
      <c r="H242" s="119">
        <f t="shared" ref="H242:M242" si="76">H243</f>
        <v>0</v>
      </c>
      <c r="I242" s="119">
        <f t="shared" si="76"/>
        <v>0</v>
      </c>
      <c r="J242" s="119">
        <f t="shared" si="76"/>
        <v>0</v>
      </c>
      <c r="K242" s="119">
        <f t="shared" si="76"/>
        <v>8614</v>
      </c>
      <c r="L242" s="119">
        <f t="shared" si="76"/>
        <v>0</v>
      </c>
      <c r="M242" s="120">
        <f t="shared" si="76"/>
        <v>0</v>
      </c>
      <c r="N242" s="137">
        <f t="shared" si="67"/>
        <v>0.56918197436236284</v>
      </c>
    </row>
    <row r="243" spans="1:14" ht="12.75" customHeight="1" x14ac:dyDescent="0.25">
      <c r="A243" s="274">
        <v>5191</v>
      </c>
      <c r="B243" s="83">
        <v>416100</v>
      </c>
      <c r="C243" s="84" t="s">
        <v>222</v>
      </c>
      <c r="D243" s="257">
        <v>1227</v>
      </c>
      <c r="E243" s="108">
        <v>13907</v>
      </c>
      <c r="F243" s="108">
        <f>D243+E243</f>
        <v>15134</v>
      </c>
      <c r="G243" s="109">
        <f t="shared" si="64"/>
        <v>8614</v>
      </c>
      <c r="H243" s="108"/>
      <c r="I243" s="108"/>
      <c r="J243" s="108"/>
      <c r="K243" s="108">
        <v>8614</v>
      </c>
      <c r="L243" s="108"/>
      <c r="M243" s="110"/>
      <c r="N243" s="137">
        <f t="shared" si="67"/>
        <v>0.56918197436236284</v>
      </c>
    </row>
    <row r="244" spans="1:14" ht="12.75" hidden="1" customHeight="1" x14ac:dyDescent="0.25">
      <c r="A244" s="273">
        <v>5192</v>
      </c>
      <c r="B244" s="488">
        <v>417000</v>
      </c>
      <c r="C244" s="82" t="s">
        <v>223</v>
      </c>
      <c r="D244" s="256"/>
      <c r="E244" s="100">
        <f>E245</f>
        <v>0</v>
      </c>
      <c r="F244" s="100">
        <f>F245</f>
        <v>0</v>
      </c>
      <c r="G244" s="100">
        <f t="shared" si="64"/>
        <v>0</v>
      </c>
      <c r="H244" s="100">
        <f t="shared" ref="H244:M244" si="77">H245</f>
        <v>0</v>
      </c>
      <c r="I244" s="100">
        <f t="shared" si="77"/>
        <v>0</v>
      </c>
      <c r="J244" s="100">
        <f t="shared" si="77"/>
        <v>0</v>
      </c>
      <c r="K244" s="100">
        <f t="shared" si="77"/>
        <v>0</v>
      </c>
      <c r="L244" s="100">
        <f t="shared" si="77"/>
        <v>0</v>
      </c>
      <c r="M244" s="101">
        <f t="shared" si="77"/>
        <v>0</v>
      </c>
      <c r="N244" s="137" t="e">
        <f t="shared" si="67"/>
        <v>#DIV/0!</v>
      </c>
    </row>
    <row r="245" spans="1:14" ht="12.75" hidden="1" customHeight="1" x14ac:dyDescent="0.25">
      <c r="A245" s="274">
        <v>5193</v>
      </c>
      <c r="B245" s="83">
        <v>417100</v>
      </c>
      <c r="C245" s="84" t="s">
        <v>224</v>
      </c>
      <c r="D245" s="257"/>
      <c r="E245" s="108"/>
      <c r="F245" s="108"/>
      <c r="G245" s="109">
        <f t="shared" si="64"/>
        <v>0</v>
      </c>
      <c r="H245" s="108"/>
      <c r="I245" s="108"/>
      <c r="J245" s="108"/>
      <c r="K245" s="108"/>
      <c r="L245" s="108"/>
      <c r="M245" s="110"/>
      <c r="N245" s="137" t="e">
        <f t="shared" si="67"/>
        <v>#DIV/0!</v>
      </c>
    </row>
    <row r="246" spans="1:14" ht="12.75" hidden="1" customHeight="1" x14ac:dyDescent="0.25">
      <c r="A246" s="273">
        <v>5194</v>
      </c>
      <c r="B246" s="488">
        <v>418000</v>
      </c>
      <c r="C246" s="82" t="s">
        <v>225</v>
      </c>
      <c r="D246" s="256"/>
      <c r="E246" s="100">
        <f>E247</f>
        <v>0</v>
      </c>
      <c r="F246" s="100">
        <f>F247</f>
        <v>0</v>
      </c>
      <c r="G246" s="100">
        <f t="shared" si="64"/>
        <v>0</v>
      </c>
      <c r="H246" s="100">
        <f t="shared" ref="H246:M246" si="78">H247</f>
        <v>0</v>
      </c>
      <c r="I246" s="100">
        <f t="shared" si="78"/>
        <v>0</v>
      </c>
      <c r="J246" s="100">
        <f t="shared" si="78"/>
        <v>0</v>
      </c>
      <c r="K246" s="100">
        <f t="shared" si="78"/>
        <v>0</v>
      </c>
      <c r="L246" s="100">
        <f t="shared" si="78"/>
        <v>0</v>
      </c>
      <c r="M246" s="101">
        <f t="shared" si="78"/>
        <v>0</v>
      </c>
      <c r="N246" s="137" t="e">
        <f t="shared" si="67"/>
        <v>#DIV/0!</v>
      </c>
    </row>
    <row r="247" spans="1:14" ht="12.75" hidden="1" customHeight="1" x14ac:dyDescent="0.25">
      <c r="A247" s="274">
        <v>5195</v>
      </c>
      <c r="B247" s="83">
        <v>418100</v>
      </c>
      <c r="C247" s="84" t="s">
        <v>226</v>
      </c>
      <c r="D247" s="257"/>
      <c r="E247" s="108"/>
      <c r="F247" s="108"/>
      <c r="G247" s="109">
        <f t="shared" si="64"/>
        <v>0</v>
      </c>
      <c r="H247" s="108"/>
      <c r="I247" s="108"/>
      <c r="J247" s="108"/>
      <c r="K247" s="108"/>
      <c r="L247" s="108"/>
      <c r="M247" s="110"/>
      <c r="N247" s="137" t="e">
        <f t="shared" si="67"/>
        <v>#DIV/0!</v>
      </c>
    </row>
    <row r="248" spans="1:14" ht="12.75" customHeight="1" x14ac:dyDescent="0.25">
      <c r="A248" s="273">
        <v>5196</v>
      </c>
      <c r="B248" s="488">
        <v>420000</v>
      </c>
      <c r="C248" s="82" t="s">
        <v>227</v>
      </c>
      <c r="D248" s="256">
        <f>D249+D257+D263+D276+D284+D287</f>
        <v>22401</v>
      </c>
      <c r="E248" s="100">
        <f>E249+E257+E263+E276+E284+E287</f>
        <v>383896</v>
      </c>
      <c r="F248" s="100">
        <f>F249+F257+F263+F276+F284+F287</f>
        <v>406297</v>
      </c>
      <c r="G248" s="100">
        <f t="shared" si="64"/>
        <v>191336</v>
      </c>
      <c r="H248" s="100">
        <f t="shared" ref="H248:M248" si="79">H249+H257+H263+H276+H284+H287</f>
        <v>445</v>
      </c>
      <c r="I248" s="100">
        <f t="shared" si="79"/>
        <v>0</v>
      </c>
      <c r="J248" s="100">
        <f t="shared" si="79"/>
        <v>5381</v>
      </c>
      <c r="K248" s="100">
        <f t="shared" si="79"/>
        <v>180626</v>
      </c>
      <c r="L248" s="100">
        <f t="shared" si="79"/>
        <v>0</v>
      </c>
      <c r="M248" s="101">
        <f t="shared" si="79"/>
        <v>4884</v>
      </c>
      <c r="N248" s="137">
        <f t="shared" si="67"/>
        <v>0.47092644051026711</v>
      </c>
    </row>
    <row r="249" spans="1:14" ht="12.75" customHeight="1" x14ac:dyDescent="0.25">
      <c r="A249" s="273">
        <v>5197</v>
      </c>
      <c r="B249" s="488">
        <v>421000</v>
      </c>
      <c r="C249" s="82" t="s">
        <v>228</v>
      </c>
      <c r="D249" s="256">
        <f>SUM(D250:D256)</f>
        <v>-1960</v>
      </c>
      <c r="E249" s="100">
        <f>SUM(E250:E256)</f>
        <v>116727</v>
      </c>
      <c r="F249" s="100">
        <f>SUM(F250:F256)</f>
        <v>114767</v>
      </c>
      <c r="G249" s="100">
        <f t="shared" si="64"/>
        <v>37014</v>
      </c>
      <c r="H249" s="100">
        <f t="shared" ref="H249:M249" si="80">SUM(H250:H256)</f>
        <v>0</v>
      </c>
      <c r="I249" s="100">
        <f t="shared" si="80"/>
        <v>0</v>
      </c>
      <c r="J249" s="100">
        <f t="shared" si="80"/>
        <v>0</v>
      </c>
      <c r="K249" s="100">
        <f t="shared" si="80"/>
        <v>35540</v>
      </c>
      <c r="L249" s="100">
        <f t="shared" si="80"/>
        <v>0</v>
      </c>
      <c r="M249" s="101">
        <f t="shared" si="80"/>
        <v>1474</v>
      </c>
      <c r="N249" s="137">
        <f t="shared" si="67"/>
        <v>0.3225143116052524</v>
      </c>
    </row>
    <row r="250" spans="1:14" ht="12.75" customHeight="1" x14ac:dyDescent="0.25">
      <c r="A250" s="274">
        <v>5198</v>
      </c>
      <c r="B250" s="83">
        <v>421100</v>
      </c>
      <c r="C250" s="84" t="s">
        <v>229</v>
      </c>
      <c r="D250" s="257">
        <v>0</v>
      </c>
      <c r="E250" s="108">
        <v>1580</v>
      </c>
      <c r="F250" s="108">
        <f>D250+E250</f>
        <v>1580</v>
      </c>
      <c r="G250" s="109">
        <f t="shared" si="64"/>
        <v>536</v>
      </c>
      <c r="H250" s="108"/>
      <c r="I250" s="108"/>
      <c r="J250" s="108"/>
      <c r="K250" s="108">
        <v>503</v>
      </c>
      <c r="L250" s="108"/>
      <c r="M250" s="110">
        <v>33</v>
      </c>
      <c r="N250" s="137">
        <f t="shared" si="67"/>
        <v>0.3392405063291139</v>
      </c>
    </row>
    <row r="251" spans="1:14" ht="12.75" customHeight="1" x14ac:dyDescent="0.25">
      <c r="A251" s="274">
        <v>5199</v>
      </c>
      <c r="B251" s="83">
        <v>421200</v>
      </c>
      <c r="C251" s="84" t="s">
        <v>230</v>
      </c>
      <c r="D251" s="257">
        <v>-1660</v>
      </c>
      <c r="E251" s="108">
        <v>98556</v>
      </c>
      <c r="F251" s="108">
        <f t="shared" ref="F251:F256" si="81">D251+E251</f>
        <v>96896</v>
      </c>
      <c r="G251" s="109">
        <f t="shared" si="64"/>
        <v>29848</v>
      </c>
      <c r="H251" s="108"/>
      <c r="I251" s="108"/>
      <c r="J251" s="108"/>
      <c r="K251" s="108">
        <v>29619</v>
      </c>
      <c r="L251" s="108"/>
      <c r="M251" s="110">
        <v>229</v>
      </c>
      <c r="N251" s="137">
        <f t="shared" si="67"/>
        <v>0.3080416116248349</v>
      </c>
    </row>
    <row r="252" spans="1:14" ht="12.75" customHeight="1" x14ac:dyDescent="0.25">
      <c r="A252" s="274">
        <v>5200</v>
      </c>
      <c r="B252" s="83">
        <v>421300</v>
      </c>
      <c r="C252" s="84" t="s">
        <v>231</v>
      </c>
      <c r="D252" s="257">
        <v>-200</v>
      </c>
      <c r="E252" s="108">
        <v>11326</v>
      </c>
      <c r="F252" s="108">
        <f t="shared" si="81"/>
        <v>11126</v>
      </c>
      <c r="G252" s="109">
        <f t="shared" si="64"/>
        <v>4691</v>
      </c>
      <c r="H252" s="108"/>
      <c r="I252" s="108"/>
      <c r="J252" s="108"/>
      <c r="K252" s="108">
        <v>4134</v>
      </c>
      <c r="L252" s="108"/>
      <c r="M252" s="110">
        <v>557</v>
      </c>
      <c r="N252" s="137">
        <f t="shared" si="67"/>
        <v>0.42162502246989036</v>
      </c>
    </row>
    <row r="253" spans="1:14" ht="12.75" customHeight="1" x14ac:dyDescent="0.25">
      <c r="A253" s="274">
        <v>5201</v>
      </c>
      <c r="B253" s="83">
        <v>421400</v>
      </c>
      <c r="C253" s="84" t="s">
        <v>232</v>
      </c>
      <c r="D253" s="257">
        <v>0</v>
      </c>
      <c r="E253" s="108">
        <v>2040</v>
      </c>
      <c r="F253" s="108">
        <f t="shared" si="81"/>
        <v>2040</v>
      </c>
      <c r="G253" s="109">
        <f t="shared" si="64"/>
        <v>1122</v>
      </c>
      <c r="H253" s="108"/>
      <c r="I253" s="108"/>
      <c r="J253" s="108"/>
      <c r="K253" s="108">
        <v>645</v>
      </c>
      <c r="L253" s="108"/>
      <c r="M253" s="110">
        <v>477</v>
      </c>
      <c r="N253" s="137">
        <f t="shared" si="67"/>
        <v>0.55000000000000004</v>
      </c>
    </row>
    <row r="254" spans="1:14" ht="12.75" customHeight="1" x14ac:dyDescent="0.25">
      <c r="A254" s="274">
        <v>5202</v>
      </c>
      <c r="B254" s="83">
        <v>421500</v>
      </c>
      <c r="C254" s="84" t="s">
        <v>233</v>
      </c>
      <c r="D254" s="257">
        <v>-100</v>
      </c>
      <c r="E254" s="108">
        <v>3225</v>
      </c>
      <c r="F254" s="108">
        <f t="shared" si="81"/>
        <v>3125</v>
      </c>
      <c r="G254" s="109">
        <f t="shared" si="64"/>
        <v>817</v>
      </c>
      <c r="H254" s="108"/>
      <c r="I254" s="108"/>
      <c r="J254" s="108"/>
      <c r="K254" s="108">
        <v>639</v>
      </c>
      <c r="L254" s="108"/>
      <c r="M254" s="110">
        <v>178</v>
      </c>
      <c r="N254" s="137">
        <f t="shared" si="67"/>
        <v>0.26144000000000001</v>
      </c>
    </row>
    <row r="255" spans="1:14" ht="12.75" hidden="1" customHeight="1" x14ac:dyDescent="0.25">
      <c r="A255" s="274">
        <v>5203</v>
      </c>
      <c r="B255" s="83">
        <v>421600</v>
      </c>
      <c r="C255" s="84" t="s">
        <v>234</v>
      </c>
      <c r="D255" s="257"/>
      <c r="E255" s="108"/>
      <c r="F255" s="108">
        <f t="shared" si="81"/>
        <v>0</v>
      </c>
      <c r="G255" s="109">
        <f t="shared" si="64"/>
        <v>0</v>
      </c>
      <c r="H255" s="108"/>
      <c r="I255" s="108"/>
      <c r="J255" s="108"/>
      <c r="K255" s="108"/>
      <c r="L255" s="108"/>
      <c r="M255" s="110"/>
      <c r="N255" s="137" t="e">
        <f t="shared" si="67"/>
        <v>#DIV/0!</v>
      </c>
    </row>
    <row r="256" spans="1:14" ht="12.75" hidden="1" customHeight="1" x14ac:dyDescent="0.25">
      <c r="A256" s="274">
        <v>5204</v>
      </c>
      <c r="B256" s="83">
        <v>421900</v>
      </c>
      <c r="C256" s="84" t="s">
        <v>235</v>
      </c>
      <c r="D256" s="257"/>
      <c r="E256" s="108"/>
      <c r="F256" s="108">
        <f t="shared" si="81"/>
        <v>0</v>
      </c>
      <c r="G256" s="109">
        <f t="shared" si="64"/>
        <v>0</v>
      </c>
      <c r="H256" s="108"/>
      <c r="I256" s="108"/>
      <c r="J256" s="108"/>
      <c r="K256" s="108"/>
      <c r="L256" s="108"/>
      <c r="M256" s="110"/>
      <c r="N256" s="137" t="e">
        <f t="shared" si="67"/>
        <v>#DIV/0!</v>
      </c>
    </row>
    <row r="257" spans="1:14" ht="12.75" customHeight="1" x14ac:dyDescent="0.25">
      <c r="A257" s="273">
        <v>5205</v>
      </c>
      <c r="B257" s="488">
        <v>422000</v>
      </c>
      <c r="C257" s="82" t="s">
        <v>236</v>
      </c>
      <c r="D257" s="256">
        <f>SUM(D258:D262)</f>
        <v>-100</v>
      </c>
      <c r="E257" s="100">
        <f>SUM(E258:E262)</f>
        <v>624</v>
      </c>
      <c r="F257" s="100">
        <f>SUM(F258:F262)</f>
        <v>524</v>
      </c>
      <c r="G257" s="100">
        <f t="shared" si="64"/>
        <v>295</v>
      </c>
      <c r="H257" s="100">
        <f t="shared" ref="H257:M257" si="82">SUM(H258:H262)</f>
        <v>0</v>
      </c>
      <c r="I257" s="100">
        <f t="shared" si="82"/>
        <v>0</v>
      </c>
      <c r="J257" s="100">
        <f t="shared" si="82"/>
        <v>0</v>
      </c>
      <c r="K257" s="100">
        <f t="shared" si="82"/>
        <v>40</v>
      </c>
      <c r="L257" s="100">
        <f t="shared" si="82"/>
        <v>0</v>
      </c>
      <c r="M257" s="101">
        <f t="shared" si="82"/>
        <v>255</v>
      </c>
      <c r="N257" s="137">
        <f t="shared" si="67"/>
        <v>0.56297709923664119</v>
      </c>
    </row>
    <row r="258" spans="1:14" ht="12.75" customHeight="1" x14ac:dyDescent="0.25">
      <c r="A258" s="274">
        <v>5206</v>
      </c>
      <c r="B258" s="83">
        <v>422100</v>
      </c>
      <c r="C258" s="84" t="s">
        <v>237</v>
      </c>
      <c r="D258" s="257">
        <v>-100</v>
      </c>
      <c r="E258" s="108">
        <v>624</v>
      </c>
      <c r="F258" s="108">
        <f>D258+E258</f>
        <v>524</v>
      </c>
      <c r="G258" s="109">
        <f t="shared" si="64"/>
        <v>295</v>
      </c>
      <c r="H258" s="108"/>
      <c r="I258" s="108"/>
      <c r="J258" s="108"/>
      <c r="K258" s="108">
        <v>40</v>
      </c>
      <c r="L258" s="108"/>
      <c r="M258" s="110">
        <v>255</v>
      </c>
      <c r="N258" s="137">
        <f t="shared" si="67"/>
        <v>0.56297709923664119</v>
      </c>
    </row>
    <row r="259" spans="1:14" ht="12.75" hidden="1" customHeight="1" x14ac:dyDescent="0.25">
      <c r="A259" s="274">
        <v>5207</v>
      </c>
      <c r="B259" s="83">
        <v>422200</v>
      </c>
      <c r="C259" s="84" t="s">
        <v>238</v>
      </c>
      <c r="D259" s="257"/>
      <c r="E259" s="108"/>
      <c r="F259" s="108"/>
      <c r="G259" s="109">
        <f t="shared" si="64"/>
        <v>0</v>
      </c>
      <c r="H259" s="108"/>
      <c r="I259" s="108"/>
      <c r="J259" s="108"/>
      <c r="K259" s="108"/>
      <c r="L259" s="108"/>
      <c r="M259" s="110"/>
      <c r="N259" s="137" t="e">
        <f t="shared" si="67"/>
        <v>#DIV/0!</v>
      </c>
    </row>
    <row r="260" spans="1:14" ht="12.75" hidden="1" customHeight="1" x14ac:dyDescent="0.25">
      <c r="A260" s="274">
        <v>5208</v>
      </c>
      <c r="B260" s="83">
        <v>422300</v>
      </c>
      <c r="C260" s="84" t="s">
        <v>239</v>
      </c>
      <c r="D260" s="257"/>
      <c r="E260" s="108"/>
      <c r="F260" s="108"/>
      <c r="G260" s="109">
        <f t="shared" si="64"/>
        <v>0</v>
      </c>
      <c r="H260" s="108"/>
      <c r="I260" s="108"/>
      <c r="J260" s="108"/>
      <c r="K260" s="108"/>
      <c r="L260" s="108"/>
      <c r="M260" s="110"/>
      <c r="N260" s="137" t="e">
        <f t="shared" si="67"/>
        <v>#DIV/0!</v>
      </c>
    </row>
    <row r="261" spans="1:14" ht="12.75" hidden="1" customHeight="1" x14ac:dyDescent="0.25">
      <c r="A261" s="274">
        <v>5209</v>
      </c>
      <c r="B261" s="83">
        <v>422400</v>
      </c>
      <c r="C261" s="84" t="s">
        <v>240</v>
      </c>
      <c r="D261" s="257"/>
      <c r="E261" s="108"/>
      <c r="F261" s="108"/>
      <c r="G261" s="109">
        <f t="shared" si="64"/>
        <v>0</v>
      </c>
      <c r="H261" s="108"/>
      <c r="I261" s="108"/>
      <c r="J261" s="108"/>
      <c r="K261" s="108"/>
      <c r="L261" s="108"/>
      <c r="M261" s="110"/>
      <c r="N261" s="137" t="e">
        <f t="shared" si="67"/>
        <v>#DIV/0!</v>
      </c>
    </row>
    <row r="262" spans="1:14" ht="12.75" hidden="1" customHeight="1" x14ac:dyDescent="0.25">
      <c r="A262" s="274">
        <v>5210</v>
      </c>
      <c r="B262" s="83">
        <v>422900</v>
      </c>
      <c r="C262" s="84" t="s">
        <v>241</v>
      </c>
      <c r="D262" s="257"/>
      <c r="E262" s="108"/>
      <c r="F262" s="108"/>
      <c r="G262" s="109">
        <f t="shared" si="64"/>
        <v>0</v>
      </c>
      <c r="H262" s="108"/>
      <c r="I262" s="108"/>
      <c r="J262" s="108"/>
      <c r="K262" s="108"/>
      <c r="L262" s="108"/>
      <c r="M262" s="110"/>
      <c r="N262" s="137" t="e">
        <f t="shared" si="67"/>
        <v>#DIV/0!</v>
      </c>
    </row>
    <row r="263" spans="1:14" ht="12.75" customHeight="1" x14ac:dyDescent="0.25">
      <c r="A263" s="273">
        <v>5211</v>
      </c>
      <c r="B263" s="488">
        <v>423000</v>
      </c>
      <c r="C263" s="82" t="s">
        <v>242</v>
      </c>
      <c r="D263" s="256">
        <f>SUM(D264:D275)</f>
        <v>0</v>
      </c>
      <c r="E263" s="100">
        <f>SUM(E264:E275)</f>
        <v>9869</v>
      </c>
      <c r="F263" s="100">
        <f>SUM(F264:F275)</f>
        <v>9869</v>
      </c>
      <c r="G263" s="100">
        <f t="shared" si="64"/>
        <v>4880</v>
      </c>
      <c r="H263" s="100">
        <f t="shared" ref="H263:M263" si="83">SUM(H264:H275)</f>
        <v>0</v>
      </c>
      <c r="I263" s="100">
        <f t="shared" si="83"/>
        <v>0</v>
      </c>
      <c r="J263" s="100">
        <f t="shared" si="83"/>
        <v>0</v>
      </c>
      <c r="K263" s="100">
        <f t="shared" si="83"/>
        <v>2674</v>
      </c>
      <c r="L263" s="100">
        <f t="shared" si="83"/>
        <v>0</v>
      </c>
      <c r="M263" s="101">
        <f t="shared" si="83"/>
        <v>2206</v>
      </c>
      <c r="N263" s="137">
        <f t="shared" si="67"/>
        <v>0.49447765731077109</v>
      </c>
    </row>
    <row r="264" spans="1:14" ht="12.75" hidden="1" customHeight="1" x14ac:dyDescent="0.25">
      <c r="A264" s="274">
        <v>5212</v>
      </c>
      <c r="B264" s="83">
        <v>423100</v>
      </c>
      <c r="C264" s="84" t="s">
        <v>243</v>
      </c>
      <c r="D264" s="257"/>
      <c r="E264" s="108"/>
      <c r="F264" s="108"/>
      <c r="G264" s="109">
        <f t="shared" si="64"/>
        <v>0</v>
      </c>
      <c r="H264" s="108"/>
      <c r="I264" s="108"/>
      <c r="J264" s="108"/>
      <c r="K264" s="108"/>
      <c r="L264" s="108"/>
      <c r="M264" s="110"/>
      <c r="N264" s="137" t="e">
        <f t="shared" si="67"/>
        <v>#DIV/0!</v>
      </c>
    </row>
    <row r="265" spans="1:14" ht="12.75" customHeight="1" x14ac:dyDescent="0.25">
      <c r="A265" s="274">
        <v>5213</v>
      </c>
      <c r="B265" s="83">
        <v>423200</v>
      </c>
      <c r="C265" s="84" t="s">
        <v>244</v>
      </c>
      <c r="D265" s="257">
        <v>0</v>
      </c>
      <c r="E265" s="108">
        <v>3852</v>
      </c>
      <c r="F265" s="108">
        <f>D265+E265</f>
        <v>3852</v>
      </c>
      <c r="G265" s="109">
        <f t="shared" si="64"/>
        <v>1539</v>
      </c>
      <c r="H265" s="108"/>
      <c r="I265" s="108"/>
      <c r="J265" s="108"/>
      <c r="K265" s="108">
        <v>1539</v>
      </c>
      <c r="L265" s="108"/>
      <c r="M265" s="110"/>
      <c r="N265" s="137">
        <f t="shared" si="67"/>
        <v>0.39953271028037385</v>
      </c>
    </row>
    <row r="266" spans="1:14" ht="12.75" customHeight="1" x14ac:dyDescent="0.25">
      <c r="A266" s="274">
        <v>5214</v>
      </c>
      <c r="B266" s="83">
        <v>423300</v>
      </c>
      <c r="C266" s="84" t="s">
        <v>245</v>
      </c>
      <c r="D266" s="257">
        <v>0</v>
      </c>
      <c r="E266" s="108">
        <v>3772</v>
      </c>
      <c r="F266" s="108">
        <f t="shared" ref="F266:F275" si="84">D266+E266</f>
        <v>3772</v>
      </c>
      <c r="G266" s="109">
        <f t="shared" si="64"/>
        <v>2379</v>
      </c>
      <c r="H266" s="108"/>
      <c r="I266" s="108"/>
      <c r="J266" s="108"/>
      <c r="K266" s="108">
        <v>1126</v>
      </c>
      <c r="L266" s="108"/>
      <c r="M266" s="110">
        <v>1253</v>
      </c>
      <c r="N266" s="137">
        <f t="shared" si="67"/>
        <v>0.63069989395546133</v>
      </c>
    </row>
    <row r="267" spans="1:14" ht="12.75" customHeight="1" x14ac:dyDescent="0.25">
      <c r="A267" s="274">
        <v>5215</v>
      </c>
      <c r="B267" s="83">
        <v>423400</v>
      </c>
      <c r="C267" s="84" t="s">
        <v>246</v>
      </c>
      <c r="D267" s="257">
        <v>0</v>
      </c>
      <c r="E267" s="108">
        <v>100</v>
      </c>
      <c r="F267" s="108">
        <f t="shared" si="84"/>
        <v>100</v>
      </c>
      <c r="G267" s="109">
        <f t="shared" si="64"/>
        <v>9</v>
      </c>
      <c r="H267" s="108"/>
      <c r="I267" s="108"/>
      <c r="J267" s="108"/>
      <c r="K267" s="108">
        <v>9</v>
      </c>
      <c r="L267" s="108"/>
      <c r="M267" s="110"/>
      <c r="N267" s="137">
        <f t="shared" si="67"/>
        <v>0.09</v>
      </c>
    </row>
    <row r="268" spans="1:14" ht="12.75" customHeight="1" x14ac:dyDescent="0.25">
      <c r="A268" s="274">
        <v>5216</v>
      </c>
      <c r="B268" s="83">
        <v>423500</v>
      </c>
      <c r="C268" s="84" t="s">
        <v>247</v>
      </c>
      <c r="D268" s="257">
        <v>0</v>
      </c>
      <c r="E268" s="108">
        <v>1667</v>
      </c>
      <c r="F268" s="108">
        <f t="shared" si="84"/>
        <v>1667</v>
      </c>
      <c r="G268" s="109">
        <f t="shared" si="64"/>
        <v>738</v>
      </c>
      <c r="H268" s="108"/>
      <c r="I268" s="108"/>
      <c r="J268" s="108"/>
      <c r="K268" s="108"/>
      <c r="L268" s="108"/>
      <c r="M268" s="110">
        <v>738</v>
      </c>
      <c r="N268" s="137">
        <f t="shared" si="67"/>
        <v>0.44271145770845832</v>
      </c>
    </row>
    <row r="269" spans="1:14" ht="12.75" hidden="1" customHeight="1" x14ac:dyDescent="0.25">
      <c r="A269" s="274">
        <v>5217</v>
      </c>
      <c r="B269" s="83">
        <v>423600</v>
      </c>
      <c r="C269" s="84" t="s">
        <v>248</v>
      </c>
      <c r="D269" s="257">
        <v>0</v>
      </c>
      <c r="E269" s="108"/>
      <c r="F269" s="108">
        <f t="shared" si="84"/>
        <v>0</v>
      </c>
      <c r="G269" s="109">
        <f t="shared" si="64"/>
        <v>0</v>
      </c>
      <c r="H269" s="108"/>
      <c r="I269" s="108"/>
      <c r="J269" s="108"/>
      <c r="K269" s="108"/>
      <c r="L269" s="108"/>
      <c r="M269" s="110"/>
      <c r="N269" s="137" t="e">
        <f t="shared" si="67"/>
        <v>#DIV/0!</v>
      </c>
    </row>
    <row r="270" spans="1:14" ht="12.75" customHeight="1" x14ac:dyDescent="0.25">
      <c r="A270" s="274">
        <v>5218</v>
      </c>
      <c r="B270" s="83">
        <v>423700</v>
      </c>
      <c r="C270" s="84" t="s">
        <v>249</v>
      </c>
      <c r="D270" s="257">
        <v>0</v>
      </c>
      <c r="E270" s="108">
        <v>200</v>
      </c>
      <c r="F270" s="108">
        <f t="shared" si="84"/>
        <v>200</v>
      </c>
      <c r="G270" s="109">
        <f t="shared" si="64"/>
        <v>27</v>
      </c>
      <c r="H270" s="108"/>
      <c r="I270" s="108"/>
      <c r="J270" s="108"/>
      <c r="K270" s="108"/>
      <c r="L270" s="108"/>
      <c r="M270" s="110">
        <v>27</v>
      </c>
      <c r="N270" s="137">
        <f t="shared" si="67"/>
        <v>0.13500000000000001</v>
      </c>
    </row>
    <row r="271" spans="1:14" ht="12.75" hidden="1" customHeight="1" x14ac:dyDescent="0.25">
      <c r="A271" s="645" t="s">
        <v>0</v>
      </c>
      <c r="B271" s="646" t="s">
        <v>1</v>
      </c>
      <c r="C271" s="585" t="s">
        <v>2</v>
      </c>
      <c r="D271" s="257">
        <v>0</v>
      </c>
      <c r="E271" s="585"/>
      <c r="F271" s="108">
        <f t="shared" si="84"/>
        <v>0</v>
      </c>
      <c r="G271" s="575" t="s">
        <v>198</v>
      </c>
      <c r="H271" s="589"/>
      <c r="I271" s="589"/>
      <c r="J271" s="589"/>
      <c r="K271" s="589"/>
      <c r="L271" s="589"/>
      <c r="M271" s="592"/>
      <c r="N271" s="137" t="e">
        <f t="shared" si="67"/>
        <v>#VALUE!</v>
      </c>
    </row>
    <row r="272" spans="1:14" ht="12.75" hidden="1" customHeight="1" x14ac:dyDescent="0.25">
      <c r="A272" s="645"/>
      <c r="B272" s="646"/>
      <c r="C272" s="585"/>
      <c r="D272" s="257">
        <v>0</v>
      </c>
      <c r="E272" s="585"/>
      <c r="F272" s="108">
        <f t="shared" si="84"/>
        <v>0</v>
      </c>
      <c r="G272" s="575" t="s">
        <v>199</v>
      </c>
      <c r="H272" s="575" t="s">
        <v>200</v>
      </c>
      <c r="I272" s="589"/>
      <c r="J272" s="589"/>
      <c r="K272" s="589"/>
      <c r="L272" s="575" t="s">
        <v>7</v>
      </c>
      <c r="M272" s="582" t="s">
        <v>8</v>
      </c>
      <c r="N272" s="137" t="e">
        <f t="shared" si="67"/>
        <v>#VALUE!</v>
      </c>
    </row>
    <row r="273" spans="1:14" ht="12.75" hidden="1" customHeight="1" x14ac:dyDescent="0.25">
      <c r="A273" s="645"/>
      <c r="B273" s="646"/>
      <c r="C273" s="585"/>
      <c r="D273" s="257">
        <v>0</v>
      </c>
      <c r="E273" s="585"/>
      <c r="F273" s="108">
        <f t="shared" si="84"/>
        <v>0</v>
      </c>
      <c r="G273" s="589"/>
      <c r="H273" s="487" t="s">
        <v>201</v>
      </c>
      <c r="I273" s="487" t="s">
        <v>10</v>
      </c>
      <c r="J273" s="487" t="s">
        <v>11</v>
      </c>
      <c r="K273" s="487" t="s">
        <v>12</v>
      </c>
      <c r="L273" s="589"/>
      <c r="M273" s="592"/>
      <c r="N273" s="137" t="e">
        <f t="shared" si="67"/>
        <v>#DIV/0!</v>
      </c>
    </row>
    <row r="274" spans="1:14" ht="12.75" hidden="1" customHeight="1" x14ac:dyDescent="0.25">
      <c r="A274" s="275" t="s">
        <v>18</v>
      </c>
      <c r="B274" s="491" t="s">
        <v>19</v>
      </c>
      <c r="C274" s="485" t="s">
        <v>20</v>
      </c>
      <c r="D274" s="257">
        <v>0</v>
      </c>
      <c r="E274" s="485"/>
      <c r="F274" s="108">
        <f t="shared" si="84"/>
        <v>0</v>
      </c>
      <c r="G274" s="485" t="s">
        <v>22</v>
      </c>
      <c r="H274" s="485" t="s">
        <v>23</v>
      </c>
      <c r="I274" s="485" t="s">
        <v>24</v>
      </c>
      <c r="J274" s="485" t="s">
        <v>25</v>
      </c>
      <c r="K274" s="485" t="s">
        <v>26</v>
      </c>
      <c r="L274" s="485" t="s">
        <v>27</v>
      </c>
      <c r="M274" s="99" t="s">
        <v>28</v>
      </c>
      <c r="N274" s="137" t="e">
        <f t="shared" si="67"/>
        <v>#DIV/0!</v>
      </c>
    </row>
    <row r="275" spans="1:14" ht="12.75" customHeight="1" x14ac:dyDescent="0.25">
      <c r="A275" s="274">
        <v>5219</v>
      </c>
      <c r="B275" s="83">
        <v>423900</v>
      </c>
      <c r="C275" s="84" t="s">
        <v>250</v>
      </c>
      <c r="D275" s="257">
        <v>0</v>
      </c>
      <c r="E275" s="108">
        <v>278</v>
      </c>
      <c r="F275" s="108">
        <f t="shared" si="84"/>
        <v>278</v>
      </c>
      <c r="G275" s="109">
        <f t="shared" si="64"/>
        <v>188</v>
      </c>
      <c r="H275" s="108"/>
      <c r="I275" s="108"/>
      <c r="J275" s="108"/>
      <c r="K275" s="108"/>
      <c r="L275" s="108"/>
      <c r="M275" s="110">
        <v>188</v>
      </c>
      <c r="N275" s="137">
        <f t="shared" si="67"/>
        <v>0.67625899280575541</v>
      </c>
    </row>
    <row r="276" spans="1:14" ht="12.75" customHeight="1" x14ac:dyDescent="0.25">
      <c r="A276" s="273">
        <v>5220</v>
      </c>
      <c r="B276" s="488">
        <v>424000</v>
      </c>
      <c r="C276" s="82" t="s">
        <v>251</v>
      </c>
      <c r="D276" s="256">
        <f>SUM(D277:D283)</f>
        <v>0</v>
      </c>
      <c r="E276" s="100">
        <f>SUM(E277:E283)</f>
        <v>3095</v>
      </c>
      <c r="F276" s="100">
        <f>SUM(F277:F283)</f>
        <v>3095</v>
      </c>
      <c r="G276" s="100">
        <f t="shared" si="64"/>
        <v>1220</v>
      </c>
      <c r="H276" s="100">
        <f t="shared" ref="H276:M276" si="85">SUM(H277:H283)</f>
        <v>51</v>
      </c>
      <c r="I276" s="100">
        <f t="shared" si="85"/>
        <v>0</v>
      </c>
      <c r="J276" s="100">
        <f t="shared" si="85"/>
        <v>0</v>
      </c>
      <c r="K276" s="100">
        <f t="shared" si="85"/>
        <v>671</v>
      </c>
      <c r="L276" s="100">
        <f t="shared" si="85"/>
        <v>0</v>
      </c>
      <c r="M276" s="101">
        <f t="shared" si="85"/>
        <v>498</v>
      </c>
      <c r="N276" s="137">
        <f t="shared" si="67"/>
        <v>0.39418416801292405</v>
      </c>
    </row>
    <row r="277" spans="1:14" ht="12.75" hidden="1" customHeight="1" x14ac:dyDescent="0.25">
      <c r="A277" s="274">
        <v>5221</v>
      </c>
      <c r="B277" s="83">
        <v>424100</v>
      </c>
      <c r="C277" s="84" t="s">
        <v>252</v>
      </c>
      <c r="D277" s="257"/>
      <c r="E277" s="108"/>
      <c r="F277" s="108"/>
      <c r="G277" s="109">
        <f t="shared" si="64"/>
        <v>0</v>
      </c>
      <c r="H277" s="108"/>
      <c r="I277" s="108"/>
      <c r="J277" s="108"/>
      <c r="K277" s="108"/>
      <c r="L277" s="108"/>
      <c r="M277" s="110"/>
      <c r="N277" s="137" t="e">
        <f t="shared" si="67"/>
        <v>#DIV/0!</v>
      </c>
    </row>
    <row r="278" spans="1:14" ht="12.75" hidden="1" customHeight="1" x14ac:dyDescent="0.25">
      <c r="A278" s="274">
        <v>5222</v>
      </c>
      <c r="B278" s="83">
        <v>424200</v>
      </c>
      <c r="C278" s="84" t="s">
        <v>253</v>
      </c>
      <c r="D278" s="257"/>
      <c r="E278" s="108"/>
      <c r="F278" s="108"/>
      <c r="G278" s="109">
        <f t="shared" si="64"/>
        <v>0</v>
      </c>
      <c r="H278" s="108"/>
      <c r="I278" s="108"/>
      <c r="J278" s="108"/>
      <c r="K278" s="108"/>
      <c r="L278" s="108"/>
      <c r="M278" s="110"/>
      <c r="N278" s="137" t="e">
        <f t="shared" si="67"/>
        <v>#DIV/0!</v>
      </c>
    </row>
    <row r="279" spans="1:14" ht="12.75" customHeight="1" x14ac:dyDescent="0.25">
      <c r="A279" s="274">
        <v>5223</v>
      </c>
      <c r="B279" s="83">
        <v>424300</v>
      </c>
      <c r="C279" s="84" t="s">
        <v>254</v>
      </c>
      <c r="D279" s="257">
        <v>0</v>
      </c>
      <c r="E279" s="108">
        <v>1400</v>
      </c>
      <c r="F279" s="108">
        <f>D279+E279</f>
        <v>1400</v>
      </c>
      <c r="G279" s="109">
        <f t="shared" si="64"/>
        <v>748</v>
      </c>
      <c r="H279" s="108"/>
      <c r="I279" s="108"/>
      <c r="J279" s="108"/>
      <c r="K279" s="108">
        <v>662</v>
      </c>
      <c r="L279" s="108"/>
      <c r="M279" s="110">
        <v>86</v>
      </c>
      <c r="N279" s="137">
        <f t="shared" si="67"/>
        <v>0.53428571428571425</v>
      </c>
    </row>
    <row r="280" spans="1:14" ht="12.75" hidden="1" customHeight="1" x14ac:dyDescent="0.25">
      <c r="A280" s="274">
        <v>5224</v>
      </c>
      <c r="B280" s="83">
        <v>424400</v>
      </c>
      <c r="C280" s="84" t="s">
        <v>255</v>
      </c>
      <c r="D280" s="257"/>
      <c r="E280" s="108"/>
      <c r="F280" s="108">
        <f t="shared" ref="F280:F283" si="86">D280+E280</f>
        <v>0</v>
      </c>
      <c r="G280" s="109">
        <f t="shared" si="64"/>
        <v>0</v>
      </c>
      <c r="H280" s="108"/>
      <c r="I280" s="108"/>
      <c r="J280" s="108"/>
      <c r="K280" s="108"/>
      <c r="L280" s="108"/>
      <c r="M280" s="110"/>
      <c r="N280" s="137" t="e">
        <f t="shared" si="67"/>
        <v>#DIV/0!</v>
      </c>
    </row>
    <row r="281" spans="1:14" ht="12.75" hidden="1" customHeight="1" x14ac:dyDescent="0.25">
      <c r="A281" s="274">
        <v>5225</v>
      </c>
      <c r="B281" s="83">
        <v>424500</v>
      </c>
      <c r="C281" s="84" t="s">
        <v>256</v>
      </c>
      <c r="D281" s="257"/>
      <c r="E281" s="108"/>
      <c r="F281" s="108">
        <f t="shared" si="86"/>
        <v>0</v>
      </c>
      <c r="G281" s="109">
        <f t="shared" si="64"/>
        <v>0</v>
      </c>
      <c r="H281" s="108"/>
      <c r="I281" s="108"/>
      <c r="J281" s="108"/>
      <c r="K281" s="108"/>
      <c r="L281" s="108"/>
      <c r="M281" s="110"/>
      <c r="N281" s="137" t="e">
        <f t="shared" si="67"/>
        <v>#DIV/0!</v>
      </c>
    </row>
    <row r="282" spans="1:14" ht="12.75" customHeight="1" x14ac:dyDescent="0.25">
      <c r="A282" s="274">
        <v>5226</v>
      </c>
      <c r="B282" s="83">
        <v>424600</v>
      </c>
      <c r="C282" s="84" t="s">
        <v>257</v>
      </c>
      <c r="D282" s="257">
        <v>0</v>
      </c>
      <c r="E282" s="108">
        <v>330</v>
      </c>
      <c r="F282" s="108">
        <f t="shared" si="86"/>
        <v>330</v>
      </c>
      <c r="G282" s="109">
        <f t="shared" si="64"/>
        <v>42</v>
      </c>
      <c r="H282" s="108"/>
      <c r="I282" s="108"/>
      <c r="J282" s="108"/>
      <c r="K282" s="108">
        <v>9</v>
      </c>
      <c r="L282" s="108"/>
      <c r="M282" s="110">
        <v>33</v>
      </c>
      <c r="N282" s="137">
        <f t="shared" si="67"/>
        <v>0.12727272727272726</v>
      </c>
    </row>
    <row r="283" spans="1:14" ht="12.75" customHeight="1" x14ac:dyDescent="0.25">
      <c r="A283" s="274">
        <v>5227</v>
      </c>
      <c r="B283" s="83">
        <v>424900</v>
      </c>
      <c r="C283" s="84" t="s">
        <v>258</v>
      </c>
      <c r="D283" s="257">
        <v>0</v>
      </c>
      <c r="E283" s="108">
        <v>1365</v>
      </c>
      <c r="F283" s="108">
        <f t="shared" si="86"/>
        <v>1365</v>
      </c>
      <c r="G283" s="109">
        <f t="shared" si="64"/>
        <v>430</v>
      </c>
      <c r="H283" s="108">
        <v>51</v>
      </c>
      <c r="I283" s="108"/>
      <c r="J283" s="108"/>
      <c r="K283" s="108"/>
      <c r="L283" s="108"/>
      <c r="M283" s="110">
        <v>379</v>
      </c>
      <c r="N283" s="137">
        <f t="shared" si="67"/>
        <v>0.31501831501831501</v>
      </c>
    </row>
    <row r="284" spans="1:14" ht="12.75" customHeight="1" x14ac:dyDescent="0.25">
      <c r="A284" s="273">
        <v>5228</v>
      </c>
      <c r="B284" s="488">
        <v>425000</v>
      </c>
      <c r="C284" s="82" t="s">
        <v>259</v>
      </c>
      <c r="D284" s="256">
        <f>D285+D286</f>
        <v>-187</v>
      </c>
      <c r="E284" s="100">
        <f>E285+E286</f>
        <v>15236</v>
      </c>
      <c r="F284" s="100">
        <f>F285+F286</f>
        <v>15049</v>
      </c>
      <c r="G284" s="100">
        <f t="shared" si="64"/>
        <v>3730</v>
      </c>
      <c r="H284" s="100">
        <f t="shared" ref="H284:M284" si="87">H285+H286</f>
        <v>0</v>
      </c>
      <c r="I284" s="100">
        <f t="shared" si="87"/>
        <v>0</v>
      </c>
      <c r="J284" s="100">
        <f t="shared" si="87"/>
        <v>0</v>
      </c>
      <c r="K284" s="100">
        <f t="shared" si="87"/>
        <v>3663</v>
      </c>
      <c r="L284" s="100">
        <f t="shared" si="87"/>
        <v>0</v>
      </c>
      <c r="M284" s="101">
        <f t="shared" si="87"/>
        <v>67</v>
      </c>
      <c r="N284" s="137">
        <f t="shared" si="67"/>
        <v>0.24785700046514719</v>
      </c>
    </row>
    <row r="285" spans="1:14" ht="12.75" customHeight="1" x14ac:dyDescent="0.25">
      <c r="A285" s="274">
        <v>5229</v>
      </c>
      <c r="B285" s="83">
        <v>425100</v>
      </c>
      <c r="C285" s="84" t="s">
        <v>260</v>
      </c>
      <c r="D285" s="257">
        <v>-187</v>
      </c>
      <c r="E285" s="108">
        <v>5600</v>
      </c>
      <c r="F285" s="108">
        <f>D285+E285</f>
        <v>5413</v>
      </c>
      <c r="G285" s="109">
        <f t="shared" si="64"/>
        <v>653</v>
      </c>
      <c r="H285" s="108"/>
      <c r="I285" s="108"/>
      <c r="J285" s="108"/>
      <c r="K285" s="108">
        <v>623</v>
      </c>
      <c r="L285" s="108"/>
      <c r="M285" s="110">
        <v>30</v>
      </c>
      <c r="N285" s="137">
        <f t="shared" ref="N285:N348" si="88">G285/F285</f>
        <v>0.12063550711250692</v>
      </c>
    </row>
    <row r="286" spans="1:14" ht="12.75" customHeight="1" x14ac:dyDescent="0.25">
      <c r="A286" s="274">
        <v>5230</v>
      </c>
      <c r="B286" s="83">
        <v>425200</v>
      </c>
      <c r="C286" s="84" t="s">
        <v>261</v>
      </c>
      <c r="D286" s="257">
        <v>0</v>
      </c>
      <c r="E286" s="108">
        <v>9636</v>
      </c>
      <c r="F286" s="108">
        <f>D286+E286</f>
        <v>9636</v>
      </c>
      <c r="G286" s="109">
        <f t="shared" si="64"/>
        <v>3077</v>
      </c>
      <c r="H286" s="108"/>
      <c r="I286" s="108"/>
      <c r="J286" s="108"/>
      <c r="K286" s="108">
        <v>3040</v>
      </c>
      <c r="L286" s="108"/>
      <c r="M286" s="110">
        <v>37</v>
      </c>
      <c r="N286" s="137">
        <f t="shared" si="88"/>
        <v>0.31932337069323369</v>
      </c>
    </row>
    <row r="287" spans="1:14" ht="12.75" customHeight="1" x14ac:dyDescent="0.25">
      <c r="A287" s="273">
        <v>5231</v>
      </c>
      <c r="B287" s="488">
        <v>426000</v>
      </c>
      <c r="C287" s="82" t="s">
        <v>262</v>
      </c>
      <c r="D287" s="256">
        <f>SUM(D288:D296)</f>
        <v>24648</v>
      </c>
      <c r="E287" s="100">
        <f>SUM(E288:E296)</f>
        <v>238345</v>
      </c>
      <c r="F287" s="100">
        <f>SUM(F288:F296)</f>
        <v>262993</v>
      </c>
      <c r="G287" s="100">
        <f t="shared" si="64"/>
        <v>144197</v>
      </c>
      <c r="H287" s="100">
        <f t="shared" ref="H287:M287" si="89">SUM(H288:H296)</f>
        <v>394</v>
      </c>
      <c r="I287" s="100">
        <f t="shared" si="89"/>
        <v>0</v>
      </c>
      <c r="J287" s="100">
        <f t="shared" si="89"/>
        <v>5381</v>
      </c>
      <c r="K287" s="100">
        <f t="shared" si="89"/>
        <v>138038</v>
      </c>
      <c r="L287" s="100">
        <f t="shared" si="89"/>
        <v>0</v>
      </c>
      <c r="M287" s="101">
        <f t="shared" si="89"/>
        <v>384</v>
      </c>
      <c r="N287" s="137">
        <f t="shared" si="88"/>
        <v>0.5482921598673729</v>
      </c>
    </row>
    <row r="288" spans="1:14" ht="12.75" customHeight="1" x14ac:dyDescent="0.25">
      <c r="A288" s="274">
        <v>5232</v>
      </c>
      <c r="B288" s="83">
        <v>426100</v>
      </c>
      <c r="C288" s="84" t="s">
        <v>263</v>
      </c>
      <c r="D288" s="257">
        <v>0</v>
      </c>
      <c r="E288" s="108">
        <v>4287</v>
      </c>
      <c r="F288" s="108">
        <f>D288+E288</f>
        <v>4287</v>
      </c>
      <c r="G288" s="109">
        <f t="shared" si="64"/>
        <v>2091</v>
      </c>
      <c r="H288" s="108"/>
      <c r="I288" s="108"/>
      <c r="J288" s="108"/>
      <c r="K288" s="108">
        <v>2091</v>
      </c>
      <c r="L288" s="108"/>
      <c r="M288" s="110"/>
      <c r="N288" s="137">
        <f t="shared" si="88"/>
        <v>0.48775367389783064</v>
      </c>
    </row>
    <row r="289" spans="1:14" ht="12.75" hidden="1" customHeight="1" x14ac:dyDescent="0.25">
      <c r="A289" s="274">
        <v>5233</v>
      </c>
      <c r="B289" s="83">
        <v>426200</v>
      </c>
      <c r="C289" s="84" t="s">
        <v>264</v>
      </c>
      <c r="D289" s="257"/>
      <c r="E289" s="108"/>
      <c r="F289" s="108">
        <f t="shared" ref="F289:F296" si="90">D289+E289</f>
        <v>0</v>
      </c>
      <c r="G289" s="109">
        <f t="shared" si="64"/>
        <v>0</v>
      </c>
      <c r="H289" s="108"/>
      <c r="I289" s="108"/>
      <c r="J289" s="108"/>
      <c r="K289" s="108"/>
      <c r="L289" s="108"/>
      <c r="M289" s="110"/>
      <c r="N289" s="137" t="e">
        <f t="shared" si="88"/>
        <v>#DIV/0!</v>
      </c>
    </row>
    <row r="290" spans="1:14" ht="12.75" customHeight="1" x14ac:dyDescent="0.25">
      <c r="A290" s="274">
        <v>5234</v>
      </c>
      <c r="B290" s="83">
        <v>426300</v>
      </c>
      <c r="C290" s="84" t="s">
        <v>265</v>
      </c>
      <c r="D290" s="257">
        <v>0</v>
      </c>
      <c r="E290" s="108">
        <v>122</v>
      </c>
      <c r="F290" s="108">
        <f t="shared" si="90"/>
        <v>122</v>
      </c>
      <c r="G290" s="109">
        <f t="shared" si="64"/>
        <v>7</v>
      </c>
      <c r="H290" s="108"/>
      <c r="I290" s="108"/>
      <c r="J290" s="108"/>
      <c r="K290" s="108"/>
      <c r="L290" s="108"/>
      <c r="M290" s="110">
        <v>7</v>
      </c>
      <c r="N290" s="137">
        <f t="shared" si="88"/>
        <v>5.737704918032787E-2</v>
      </c>
    </row>
    <row r="291" spans="1:14" ht="12.75" customHeight="1" x14ac:dyDescent="0.25">
      <c r="A291" s="274">
        <v>5235</v>
      </c>
      <c r="B291" s="83">
        <v>426400</v>
      </c>
      <c r="C291" s="84" t="s">
        <v>266</v>
      </c>
      <c r="D291" s="257">
        <v>0</v>
      </c>
      <c r="E291" s="108">
        <v>2040</v>
      </c>
      <c r="F291" s="108">
        <f t="shared" si="90"/>
        <v>2040</v>
      </c>
      <c r="G291" s="109">
        <f t="shared" si="64"/>
        <v>666</v>
      </c>
      <c r="H291" s="111"/>
      <c r="I291" s="111"/>
      <c r="J291" s="111"/>
      <c r="K291" s="111">
        <v>666</v>
      </c>
      <c r="L291" s="111"/>
      <c r="M291" s="112"/>
      <c r="N291" s="137">
        <f t="shared" si="88"/>
        <v>0.32647058823529412</v>
      </c>
    </row>
    <row r="292" spans="1:14" ht="12.75" hidden="1" customHeight="1" x14ac:dyDescent="0.25">
      <c r="A292" s="274">
        <v>5236</v>
      </c>
      <c r="B292" s="83">
        <v>426500</v>
      </c>
      <c r="C292" s="84" t="s">
        <v>267</v>
      </c>
      <c r="D292" s="257"/>
      <c r="E292" s="108"/>
      <c r="F292" s="108">
        <f t="shared" si="90"/>
        <v>0</v>
      </c>
      <c r="G292" s="109">
        <f t="shared" ref="G292:G367" si="91">SUM(H292:M292)</f>
        <v>0</v>
      </c>
      <c r="H292" s="108"/>
      <c r="I292" s="108"/>
      <c r="J292" s="108"/>
      <c r="K292" s="108"/>
      <c r="L292" s="108"/>
      <c r="M292" s="110"/>
      <c r="N292" s="137" t="e">
        <f t="shared" si="88"/>
        <v>#DIV/0!</v>
      </c>
    </row>
    <row r="293" spans="1:14" ht="12.75" hidden="1" customHeight="1" x14ac:dyDescent="0.25">
      <c r="A293" s="274">
        <v>5237</v>
      </c>
      <c r="B293" s="83">
        <v>426600</v>
      </c>
      <c r="C293" s="84" t="s">
        <v>268</v>
      </c>
      <c r="D293" s="257"/>
      <c r="E293" s="108"/>
      <c r="F293" s="108">
        <f t="shared" si="90"/>
        <v>0</v>
      </c>
      <c r="G293" s="109">
        <f t="shared" si="91"/>
        <v>0</v>
      </c>
      <c r="H293" s="108"/>
      <c r="I293" s="108"/>
      <c r="J293" s="108"/>
      <c r="K293" s="108"/>
      <c r="L293" s="108"/>
      <c r="M293" s="110"/>
      <c r="N293" s="137" t="e">
        <f t="shared" si="88"/>
        <v>#DIV/0!</v>
      </c>
    </row>
    <row r="294" spans="1:14" ht="12.75" customHeight="1" x14ac:dyDescent="0.25">
      <c r="A294" s="274">
        <v>5238</v>
      </c>
      <c r="B294" s="83">
        <v>426700</v>
      </c>
      <c r="C294" s="84" t="s">
        <v>269</v>
      </c>
      <c r="D294" s="257">
        <f>7844+2067+600+5116+7526+4581-7084-1083-2505+1158</f>
        <v>18220</v>
      </c>
      <c r="E294" s="108">
        <v>209806</v>
      </c>
      <c r="F294" s="108">
        <f t="shared" si="90"/>
        <v>228026</v>
      </c>
      <c r="G294" s="109">
        <f t="shared" si="91"/>
        <v>126098</v>
      </c>
      <c r="H294" s="108"/>
      <c r="I294" s="108"/>
      <c r="J294" s="108"/>
      <c r="K294" s="108">
        <v>125952</v>
      </c>
      <c r="L294" s="108"/>
      <c r="M294" s="110">
        <v>146</v>
      </c>
      <c r="N294" s="137">
        <f t="shared" si="88"/>
        <v>0.55299834229429978</v>
      </c>
    </row>
    <row r="295" spans="1:14" ht="12.75" customHeight="1" x14ac:dyDescent="0.25">
      <c r="A295" s="274">
        <v>5239</v>
      </c>
      <c r="B295" s="83">
        <v>426800</v>
      </c>
      <c r="C295" s="84" t="s">
        <v>515</v>
      </c>
      <c r="D295" s="257">
        <v>1047</v>
      </c>
      <c r="E295" s="108">
        <f>12200+4233</f>
        <v>16433</v>
      </c>
      <c r="F295" s="108">
        <f t="shared" si="90"/>
        <v>17480</v>
      </c>
      <c r="G295" s="109">
        <f t="shared" si="91"/>
        <v>7164</v>
      </c>
      <c r="H295" s="108"/>
      <c r="I295" s="108"/>
      <c r="J295" s="108"/>
      <c r="K295" s="108">
        <v>7014</v>
      </c>
      <c r="L295" s="108"/>
      <c r="M295" s="110">
        <v>150</v>
      </c>
      <c r="N295" s="137">
        <f t="shared" si="88"/>
        <v>0.40983981693363847</v>
      </c>
    </row>
    <row r="296" spans="1:14" ht="12.75" customHeight="1" x14ac:dyDescent="0.25">
      <c r="A296" s="274">
        <v>5240</v>
      </c>
      <c r="B296" s="83">
        <v>426900</v>
      </c>
      <c r="C296" s="84" t="s">
        <v>270</v>
      </c>
      <c r="D296" s="257">
        <v>5381</v>
      </c>
      <c r="E296" s="108">
        <v>5657</v>
      </c>
      <c r="F296" s="108">
        <f t="shared" si="90"/>
        <v>11038</v>
      </c>
      <c r="G296" s="109">
        <f t="shared" si="91"/>
        <v>8171</v>
      </c>
      <c r="H296" s="108">
        <v>394</v>
      </c>
      <c r="I296" s="108"/>
      <c r="J296" s="108">
        <v>5381</v>
      </c>
      <c r="K296" s="108">
        <v>2315</v>
      </c>
      <c r="L296" s="108"/>
      <c r="M296" s="110">
        <v>81</v>
      </c>
      <c r="N296" s="137">
        <f>G296/F296</f>
        <v>0.74026091683275952</v>
      </c>
    </row>
    <row r="297" spans="1:14" ht="12.75" hidden="1" customHeight="1" x14ac:dyDescent="0.25">
      <c r="A297" s="273">
        <v>5241</v>
      </c>
      <c r="B297" s="488">
        <v>430000</v>
      </c>
      <c r="C297" s="82" t="s">
        <v>271</v>
      </c>
      <c r="D297" s="256"/>
      <c r="E297" s="100">
        <f>E298+E306+E308+E310+E314</f>
        <v>0</v>
      </c>
      <c r="F297" s="100">
        <f>F298+F306+F308+F310+F314</f>
        <v>0</v>
      </c>
      <c r="G297" s="100">
        <f t="shared" si="91"/>
        <v>0</v>
      </c>
      <c r="H297" s="100">
        <f t="shared" ref="H297:M297" si="92">H298+H306+H308+H310+H314</f>
        <v>0</v>
      </c>
      <c r="I297" s="100">
        <f t="shared" si="92"/>
        <v>0</v>
      </c>
      <c r="J297" s="100">
        <f t="shared" si="92"/>
        <v>0</v>
      </c>
      <c r="K297" s="100">
        <f t="shared" si="92"/>
        <v>0</v>
      </c>
      <c r="L297" s="100">
        <f t="shared" si="92"/>
        <v>0</v>
      </c>
      <c r="M297" s="101">
        <f t="shared" si="92"/>
        <v>0</v>
      </c>
      <c r="N297" s="137" t="e">
        <f t="shared" si="88"/>
        <v>#DIV/0!</v>
      </c>
    </row>
    <row r="298" spans="1:14" ht="12.75" hidden="1" customHeight="1" x14ac:dyDescent="0.25">
      <c r="A298" s="273">
        <v>5242</v>
      </c>
      <c r="B298" s="488">
        <v>431000</v>
      </c>
      <c r="C298" s="82" t="s">
        <v>272</v>
      </c>
      <c r="D298" s="256"/>
      <c r="E298" s="100">
        <f>SUM(E299:E301)</f>
        <v>0</v>
      </c>
      <c r="F298" s="100">
        <f>SUM(F299:F301)</f>
        <v>0</v>
      </c>
      <c r="G298" s="100">
        <f t="shared" si="91"/>
        <v>0</v>
      </c>
      <c r="H298" s="100">
        <f t="shared" ref="H298:M298" si="93">SUM(H299:H301)</f>
        <v>0</v>
      </c>
      <c r="I298" s="100">
        <f t="shared" si="93"/>
        <v>0</v>
      </c>
      <c r="J298" s="100">
        <f t="shared" si="93"/>
        <v>0</v>
      </c>
      <c r="K298" s="100">
        <f t="shared" si="93"/>
        <v>0</v>
      </c>
      <c r="L298" s="100">
        <f t="shared" si="93"/>
        <v>0</v>
      </c>
      <c r="M298" s="101">
        <f t="shared" si="93"/>
        <v>0</v>
      </c>
      <c r="N298" s="137" t="e">
        <f t="shared" si="88"/>
        <v>#DIV/0!</v>
      </c>
    </row>
    <row r="299" spans="1:14" ht="12.75" hidden="1" customHeight="1" x14ac:dyDescent="0.25">
      <c r="A299" s="274">
        <v>5243</v>
      </c>
      <c r="B299" s="83">
        <v>431100</v>
      </c>
      <c r="C299" s="84" t="s">
        <v>273</v>
      </c>
      <c r="D299" s="257"/>
      <c r="E299" s="108"/>
      <c r="F299" s="108"/>
      <c r="G299" s="109">
        <f t="shared" si="91"/>
        <v>0</v>
      </c>
      <c r="H299" s="108"/>
      <c r="I299" s="108"/>
      <c r="J299" s="108"/>
      <c r="K299" s="108"/>
      <c r="L299" s="108"/>
      <c r="M299" s="110"/>
      <c r="N299" s="137" t="e">
        <f t="shared" si="88"/>
        <v>#DIV/0!</v>
      </c>
    </row>
    <row r="300" spans="1:14" ht="12.75" hidden="1" customHeight="1" x14ac:dyDescent="0.25">
      <c r="A300" s="274">
        <v>5244</v>
      </c>
      <c r="B300" s="83">
        <v>431200</v>
      </c>
      <c r="C300" s="84" t="s">
        <v>274</v>
      </c>
      <c r="D300" s="257"/>
      <c r="E300" s="108"/>
      <c r="F300" s="108"/>
      <c r="G300" s="109">
        <f t="shared" si="91"/>
        <v>0</v>
      </c>
      <c r="H300" s="108"/>
      <c r="I300" s="108"/>
      <c r="J300" s="108"/>
      <c r="K300" s="108"/>
      <c r="L300" s="108"/>
      <c r="M300" s="110"/>
      <c r="N300" s="137" t="e">
        <f t="shared" si="88"/>
        <v>#DIV/0!</v>
      </c>
    </row>
    <row r="301" spans="1:14" ht="12.75" hidden="1" customHeight="1" x14ac:dyDescent="0.25">
      <c r="A301" s="274">
        <v>5245</v>
      </c>
      <c r="B301" s="83">
        <v>431300</v>
      </c>
      <c r="C301" s="84" t="s">
        <v>275</v>
      </c>
      <c r="D301" s="257"/>
      <c r="E301" s="108"/>
      <c r="F301" s="108"/>
      <c r="G301" s="109">
        <f t="shared" si="91"/>
        <v>0</v>
      </c>
      <c r="H301" s="108"/>
      <c r="I301" s="108"/>
      <c r="J301" s="108"/>
      <c r="K301" s="108"/>
      <c r="L301" s="108"/>
      <c r="M301" s="110"/>
      <c r="N301" s="137" t="e">
        <f t="shared" si="88"/>
        <v>#DIV/0!</v>
      </c>
    </row>
    <row r="302" spans="1:14" ht="12.75" hidden="1" customHeight="1" x14ac:dyDescent="0.25">
      <c r="A302" s="645" t="s">
        <v>0</v>
      </c>
      <c r="B302" s="646" t="s">
        <v>1</v>
      </c>
      <c r="C302" s="585" t="s">
        <v>2</v>
      </c>
      <c r="D302" s="259"/>
      <c r="E302" s="585" t="s">
        <v>217</v>
      </c>
      <c r="F302" s="486" t="s">
        <v>217</v>
      </c>
      <c r="G302" s="575" t="s">
        <v>198</v>
      </c>
      <c r="H302" s="589"/>
      <c r="I302" s="589"/>
      <c r="J302" s="589"/>
      <c r="K302" s="589"/>
      <c r="L302" s="589"/>
      <c r="M302" s="592"/>
      <c r="N302" s="137" t="e">
        <f t="shared" si="88"/>
        <v>#VALUE!</v>
      </c>
    </row>
    <row r="303" spans="1:14" ht="12.75" hidden="1" customHeight="1" x14ac:dyDescent="0.25">
      <c r="A303" s="645"/>
      <c r="B303" s="646"/>
      <c r="C303" s="585"/>
      <c r="D303" s="259"/>
      <c r="E303" s="585"/>
      <c r="F303" s="486"/>
      <c r="G303" s="575" t="s">
        <v>199</v>
      </c>
      <c r="H303" s="575" t="s">
        <v>200</v>
      </c>
      <c r="I303" s="589"/>
      <c r="J303" s="589"/>
      <c r="K303" s="589"/>
      <c r="L303" s="575" t="s">
        <v>7</v>
      </c>
      <c r="M303" s="582" t="s">
        <v>8</v>
      </c>
      <c r="N303" s="137" t="e">
        <f t="shared" si="88"/>
        <v>#VALUE!</v>
      </c>
    </row>
    <row r="304" spans="1:14" ht="12.75" hidden="1" customHeight="1" x14ac:dyDescent="0.25">
      <c r="A304" s="645"/>
      <c r="B304" s="646"/>
      <c r="C304" s="585"/>
      <c r="D304" s="259"/>
      <c r="E304" s="585"/>
      <c r="F304" s="486"/>
      <c r="G304" s="589"/>
      <c r="H304" s="487" t="s">
        <v>201</v>
      </c>
      <c r="I304" s="487" t="s">
        <v>10</v>
      </c>
      <c r="J304" s="487" t="s">
        <v>11</v>
      </c>
      <c r="K304" s="487" t="s">
        <v>12</v>
      </c>
      <c r="L304" s="589"/>
      <c r="M304" s="592"/>
      <c r="N304" s="137" t="e">
        <f t="shared" si="88"/>
        <v>#DIV/0!</v>
      </c>
    </row>
    <row r="305" spans="1:14" ht="12.75" hidden="1" customHeight="1" x14ac:dyDescent="0.25">
      <c r="A305" s="275" t="s">
        <v>18</v>
      </c>
      <c r="B305" s="491" t="s">
        <v>19</v>
      </c>
      <c r="C305" s="485" t="s">
        <v>20</v>
      </c>
      <c r="D305" s="259"/>
      <c r="E305" s="485" t="s">
        <v>21</v>
      </c>
      <c r="F305" s="485" t="s">
        <v>21</v>
      </c>
      <c r="G305" s="485" t="s">
        <v>22</v>
      </c>
      <c r="H305" s="485" t="s">
        <v>23</v>
      </c>
      <c r="I305" s="485" t="s">
        <v>24</v>
      </c>
      <c r="J305" s="485" t="s">
        <v>25</v>
      </c>
      <c r="K305" s="485" t="s">
        <v>26</v>
      </c>
      <c r="L305" s="485" t="s">
        <v>27</v>
      </c>
      <c r="M305" s="99" t="s">
        <v>28</v>
      </c>
      <c r="N305" s="137">
        <f t="shared" si="88"/>
        <v>1.25</v>
      </c>
    </row>
    <row r="306" spans="1:14" ht="12.75" hidden="1" customHeight="1" x14ac:dyDescent="0.25">
      <c r="A306" s="273">
        <v>5246</v>
      </c>
      <c r="B306" s="488">
        <v>432000</v>
      </c>
      <c r="C306" s="82" t="s">
        <v>276</v>
      </c>
      <c r="D306" s="256"/>
      <c r="E306" s="100">
        <f>E307</f>
        <v>0</v>
      </c>
      <c r="F306" s="100">
        <f>F307</f>
        <v>0</v>
      </c>
      <c r="G306" s="100">
        <f t="shared" si="91"/>
        <v>0</v>
      </c>
      <c r="H306" s="100">
        <f t="shared" ref="H306:M306" si="94">H307</f>
        <v>0</v>
      </c>
      <c r="I306" s="100">
        <f t="shared" si="94"/>
        <v>0</v>
      </c>
      <c r="J306" s="100">
        <f t="shared" si="94"/>
        <v>0</v>
      </c>
      <c r="K306" s="100">
        <f t="shared" si="94"/>
        <v>0</v>
      </c>
      <c r="L306" s="100">
        <f t="shared" si="94"/>
        <v>0</v>
      </c>
      <c r="M306" s="101">
        <f t="shared" si="94"/>
        <v>0</v>
      </c>
      <c r="N306" s="137" t="e">
        <f t="shared" si="88"/>
        <v>#DIV/0!</v>
      </c>
    </row>
    <row r="307" spans="1:14" ht="12.75" hidden="1" customHeight="1" x14ac:dyDescent="0.25">
      <c r="A307" s="274">
        <v>5247</v>
      </c>
      <c r="B307" s="83">
        <v>432100</v>
      </c>
      <c r="C307" s="84" t="s">
        <v>277</v>
      </c>
      <c r="D307" s="257"/>
      <c r="E307" s="108"/>
      <c r="F307" s="108"/>
      <c r="G307" s="109">
        <f t="shared" si="91"/>
        <v>0</v>
      </c>
      <c r="H307" s="108"/>
      <c r="I307" s="108"/>
      <c r="J307" s="108"/>
      <c r="K307" s="108"/>
      <c r="L307" s="108"/>
      <c r="M307" s="110"/>
      <c r="N307" s="137" t="e">
        <f t="shared" si="88"/>
        <v>#DIV/0!</v>
      </c>
    </row>
    <row r="308" spans="1:14" ht="12.75" hidden="1" customHeight="1" x14ac:dyDescent="0.25">
      <c r="A308" s="273">
        <v>5248</v>
      </c>
      <c r="B308" s="488">
        <v>433000</v>
      </c>
      <c r="C308" s="82" t="s">
        <v>278</v>
      </c>
      <c r="D308" s="256"/>
      <c r="E308" s="100">
        <f>E309</f>
        <v>0</v>
      </c>
      <c r="F308" s="100">
        <f>F309</f>
        <v>0</v>
      </c>
      <c r="G308" s="100">
        <f t="shared" si="91"/>
        <v>0</v>
      </c>
      <c r="H308" s="100">
        <f t="shared" ref="H308:M308" si="95">H309</f>
        <v>0</v>
      </c>
      <c r="I308" s="100">
        <f t="shared" si="95"/>
        <v>0</v>
      </c>
      <c r="J308" s="100">
        <f t="shared" si="95"/>
        <v>0</v>
      </c>
      <c r="K308" s="100">
        <f t="shared" si="95"/>
        <v>0</v>
      </c>
      <c r="L308" s="100">
        <f t="shared" si="95"/>
        <v>0</v>
      </c>
      <c r="M308" s="101">
        <f t="shared" si="95"/>
        <v>0</v>
      </c>
      <c r="N308" s="137" t="e">
        <f t="shared" si="88"/>
        <v>#DIV/0!</v>
      </c>
    </row>
    <row r="309" spans="1:14" ht="12.75" hidden="1" customHeight="1" x14ac:dyDescent="0.25">
      <c r="A309" s="274">
        <v>5249</v>
      </c>
      <c r="B309" s="83">
        <v>433100</v>
      </c>
      <c r="C309" s="84" t="s">
        <v>279</v>
      </c>
      <c r="D309" s="257"/>
      <c r="E309" s="108"/>
      <c r="F309" s="108"/>
      <c r="G309" s="109">
        <f t="shared" si="91"/>
        <v>0</v>
      </c>
      <c r="H309" s="108"/>
      <c r="I309" s="108"/>
      <c r="J309" s="108"/>
      <c r="K309" s="108"/>
      <c r="L309" s="108"/>
      <c r="M309" s="110"/>
      <c r="N309" s="137" t="e">
        <f t="shared" si="88"/>
        <v>#DIV/0!</v>
      </c>
    </row>
    <row r="310" spans="1:14" ht="12.75" hidden="1" customHeight="1" x14ac:dyDescent="0.25">
      <c r="A310" s="273">
        <v>5250</v>
      </c>
      <c r="B310" s="488">
        <v>434000</v>
      </c>
      <c r="C310" s="82" t="s">
        <v>280</v>
      </c>
      <c r="D310" s="256"/>
      <c r="E310" s="100">
        <f>SUM(E311:E313)</f>
        <v>0</v>
      </c>
      <c r="F310" s="100">
        <f>SUM(F311:F313)</f>
        <v>0</v>
      </c>
      <c r="G310" s="100">
        <f t="shared" si="91"/>
        <v>0</v>
      </c>
      <c r="H310" s="100">
        <f t="shared" ref="H310:M310" si="96">SUM(H311:H313)</f>
        <v>0</v>
      </c>
      <c r="I310" s="100">
        <f t="shared" si="96"/>
        <v>0</v>
      </c>
      <c r="J310" s="100">
        <f t="shared" si="96"/>
        <v>0</v>
      </c>
      <c r="K310" s="100">
        <f t="shared" si="96"/>
        <v>0</v>
      </c>
      <c r="L310" s="100">
        <f t="shared" si="96"/>
        <v>0</v>
      </c>
      <c r="M310" s="101">
        <f t="shared" si="96"/>
        <v>0</v>
      </c>
      <c r="N310" s="137" t="e">
        <f t="shared" si="88"/>
        <v>#DIV/0!</v>
      </c>
    </row>
    <row r="311" spans="1:14" ht="12.75" hidden="1" customHeight="1" x14ac:dyDescent="0.25">
      <c r="A311" s="274">
        <v>5251</v>
      </c>
      <c r="B311" s="83">
        <v>434100</v>
      </c>
      <c r="C311" s="84" t="s">
        <v>281</v>
      </c>
      <c r="D311" s="257"/>
      <c r="E311" s="108"/>
      <c r="F311" s="108"/>
      <c r="G311" s="109">
        <f t="shared" si="91"/>
        <v>0</v>
      </c>
      <c r="H311" s="108"/>
      <c r="I311" s="108"/>
      <c r="J311" s="108"/>
      <c r="K311" s="108"/>
      <c r="L311" s="108"/>
      <c r="M311" s="110"/>
      <c r="N311" s="137" t="e">
        <f t="shared" si="88"/>
        <v>#DIV/0!</v>
      </c>
    </row>
    <row r="312" spans="1:14" ht="12.75" hidden="1" customHeight="1" x14ac:dyDescent="0.25">
      <c r="A312" s="274">
        <v>5252</v>
      </c>
      <c r="B312" s="83">
        <v>434200</v>
      </c>
      <c r="C312" s="84" t="s">
        <v>282</v>
      </c>
      <c r="D312" s="257"/>
      <c r="E312" s="108"/>
      <c r="F312" s="108"/>
      <c r="G312" s="109">
        <f t="shared" si="91"/>
        <v>0</v>
      </c>
      <c r="H312" s="108"/>
      <c r="I312" s="108"/>
      <c r="J312" s="108"/>
      <c r="K312" s="108"/>
      <c r="L312" s="108"/>
      <c r="M312" s="110"/>
      <c r="N312" s="137" t="e">
        <f t="shared" si="88"/>
        <v>#DIV/0!</v>
      </c>
    </row>
    <row r="313" spans="1:14" ht="12.75" hidden="1" customHeight="1" x14ac:dyDescent="0.25">
      <c r="A313" s="274">
        <v>5253</v>
      </c>
      <c r="B313" s="83">
        <v>434300</v>
      </c>
      <c r="C313" s="84" t="s">
        <v>283</v>
      </c>
      <c r="D313" s="257"/>
      <c r="E313" s="108"/>
      <c r="F313" s="108"/>
      <c r="G313" s="109">
        <f t="shared" si="91"/>
        <v>0</v>
      </c>
      <c r="H313" s="108"/>
      <c r="I313" s="108"/>
      <c r="J313" s="108"/>
      <c r="K313" s="108"/>
      <c r="L313" s="108"/>
      <c r="M313" s="110"/>
      <c r="N313" s="137" t="e">
        <f t="shared" si="88"/>
        <v>#DIV/0!</v>
      </c>
    </row>
    <row r="314" spans="1:14" ht="12.75" hidden="1" customHeight="1" x14ac:dyDescent="0.25">
      <c r="A314" s="273">
        <v>5254</v>
      </c>
      <c r="B314" s="488">
        <v>435000</v>
      </c>
      <c r="C314" s="82" t="s">
        <v>284</v>
      </c>
      <c r="D314" s="256"/>
      <c r="E314" s="100">
        <f>E315</f>
        <v>0</v>
      </c>
      <c r="F314" s="100">
        <f>F315</f>
        <v>0</v>
      </c>
      <c r="G314" s="100">
        <f t="shared" si="91"/>
        <v>0</v>
      </c>
      <c r="H314" s="100">
        <f t="shared" ref="H314:M314" si="97">H315</f>
        <v>0</v>
      </c>
      <c r="I314" s="100">
        <f t="shared" si="97"/>
        <v>0</v>
      </c>
      <c r="J314" s="100">
        <f t="shared" si="97"/>
        <v>0</v>
      </c>
      <c r="K314" s="100">
        <f t="shared" si="97"/>
        <v>0</v>
      </c>
      <c r="L314" s="100">
        <f t="shared" si="97"/>
        <v>0</v>
      </c>
      <c r="M314" s="101">
        <f t="shared" si="97"/>
        <v>0</v>
      </c>
      <c r="N314" s="137" t="e">
        <f t="shared" si="88"/>
        <v>#DIV/0!</v>
      </c>
    </row>
    <row r="315" spans="1:14" ht="12.75" hidden="1" customHeight="1" x14ac:dyDescent="0.25">
      <c r="A315" s="274">
        <v>5255</v>
      </c>
      <c r="B315" s="83">
        <v>435100</v>
      </c>
      <c r="C315" s="84" t="s">
        <v>285</v>
      </c>
      <c r="D315" s="257"/>
      <c r="E315" s="108"/>
      <c r="F315" s="108"/>
      <c r="G315" s="109">
        <f t="shared" si="91"/>
        <v>0</v>
      </c>
      <c r="H315" s="108"/>
      <c r="I315" s="108"/>
      <c r="J315" s="108"/>
      <c r="K315" s="108"/>
      <c r="L315" s="108"/>
      <c r="M315" s="110"/>
      <c r="N315" s="137" t="e">
        <f t="shared" si="88"/>
        <v>#DIV/0!</v>
      </c>
    </row>
    <row r="316" spans="1:14" ht="12.75" customHeight="1" x14ac:dyDescent="0.25">
      <c r="A316" s="273">
        <v>5256</v>
      </c>
      <c r="B316" s="488">
        <v>440000</v>
      </c>
      <c r="C316" s="82" t="s">
        <v>286</v>
      </c>
      <c r="D316" s="256">
        <f>D317+D327+D338+D340</f>
        <v>0</v>
      </c>
      <c r="E316" s="100">
        <f>E317+E327+E338+E340</f>
        <v>600</v>
      </c>
      <c r="F316" s="100">
        <f>F317+F327+F338+F340</f>
        <v>600</v>
      </c>
      <c r="G316" s="100">
        <f t="shared" si="91"/>
        <v>233</v>
      </c>
      <c r="H316" s="100">
        <f t="shared" ref="H316:M316" si="98">H317+H327+H338+H340</f>
        <v>0</v>
      </c>
      <c r="I316" s="100">
        <f t="shared" si="98"/>
        <v>0</v>
      </c>
      <c r="J316" s="100">
        <f t="shared" si="98"/>
        <v>0</v>
      </c>
      <c r="K316" s="100">
        <f t="shared" si="98"/>
        <v>0</v>
      </c>
      <c r="L316" s="100">
        <f t="shared" si="98"/>
        <v>0</v>
      </c>
      <c r="M316" s="101">
        <f t="shared" si="98"/>
        <v>233</v>
      </c>
      <c r="N316" s="137">
        <f t="shared" si="88"/>
        <v>0.38833333333333331</v>
      </c>
    </row>
    <row r="317" spans="1:14" ht="12.75" customHeight="1" x14ac:dyDescent="0.25">
      <c r="A317" s="273">
        <v>5257</v>
      </c>
      <c r="B317" s="488">
        <v>441000</v>
      </c>
      <c r="C317" s="82" t="s">
        <v>287</v>
      </c>
      <c r="D317" s="256">
        <f>SUM(D318:D326)</f>
        <v>0</v>
      </c>
      <c r="E317" s="100">
        <f>SUM(E318:E326)</f>
        <v>600</v>
      </c>
      <c r="F317" s="100">
        <f>SUM(F318:F326)</f>
        <v>600</v>
      </c>
      <c r="G317" s="100">
        <f t="shared" si="91"/>
        <v>233</v>
      </c>
      <c r="H317" s="100">
        <f t="shared" ref="H317:M317" si="99">SUM(H318:H326)</f>
        <v>0</v>
      </c>
      <c r="I317" s="100">
        <f t="shared" si="99"/>
        <v>0</v>
      </c>
      <c r="J317" s="100">
        <f t="shared" si="99"/>
        <v>0</v>
      </c>
      <c r="K317" s="100">
        <f t="shared" si="99"/>
        <v>0</v>
      </c>
      <c r="L317" s="100">
        <f t="shared" si="99"/>
        <v>0</v>
      </c>
      <c r="M317" s="101">
        <f t="shared" si="99"/>
        <v>233</v>
      </c>
      <c r="N317" s="137">
        <f t="shared" si="88"/>
        <v>0.38833333333333331</v>
      </c>
    </row>
    <row r="318" spans="1:14" ht="12.75" hidden="1" customHeight="1" x14ac:dyDescent="0.25">
      <c r="A318" s="274">
        <v>5258</v>
      </c>
      <c r="B318" s="83">
        <v>441100</v>
      </c>
      <c r="C318" s="84" t="s">
        <v>288</v>
      </c>
      <c r="D318" s="257"/>
      <c r="E318" s="108"/>
      <c r="F318" s="108"/>
      <c r="G318" s="109">
        <f t="shared" si="91"/>
        <v>0</v>
      </c>
      <c r="H318" s="108"/>
      <c r="I318" s="108"/>
      <c r="J318" s="108"/>
      <c r="K318" s="108"/>
      <c r="L318" s="108"/>
      <c r="M318" s="110"/>
      <c r="N318" s="137" t="e">
        <f t="shared" si="88"/>
        <v>#DIV/0!</v>
      </c>
    </row>
    <row r="319" spans="1:14" ht="12.75" hidden="1" customHeight="1" x14ac:dyDescent="0.25">
      <c r="A319" s="274">
        <v>5259</v>
      </c>
      <c r="B319" s="83">
        <v>441200</v>
      </c>
      <c r="C319" s="84" t="s">
        <v>289</v>
      </c>
      <c r="D319" s="257"/>
      <c r="E319" s="108"/>
      <c r="F319" s="108"/>
      <c r="G319" s="109">
        <f t="shared" si="91"/>
        <v>0</v>
      </c>
      <c r="H319" s="108"/>
      <c r="I319" s="108"/>
      <c r="J319" s="108"/>
      <c r="K319" s="108"/>
      <c r="L319" s="108"/>
      <c r="M319" s="110"/>
      <c r="N319" s="137" t="e">
        <f t="shared" si="88"/>
        <v>#DIV/0!</v>
      </c>
    </row>
    <row r="320" spans="1:14" ht="12.75" hidden="1" customHeight="1" x14ac:dyDescent="0.25">
      <c r="A320" s="274">
        <v>5260</v>
      </c>
      <c r="B320" s="83">
        <v>441300</v>
      </c>
      <c r="C320" s="84" t="s">
        <v>290</v>
      </c>
      <c r="D320" s="257"/>
      <c r="E320" s="108"/>
      <c r="F320" s="108"/>
      <c r="G320" s="109">
        <f t="shared" si="91"/>
        <v>0</v>
      </c>
      <c r="H320" s="108"/>
      <c r="I320" s="108"/>
      <c r="J320" s="108"/>
      <c r="K320" s="108"/>
      <c r="L320" s="108"/>
      <c r="M320" s="110"/>
      <c r="N320" s="137" t="e">
        <f t="shared" si="88"/>
        <v>#DIV/0!</v>
      </c>
    </row>
    <row r="321" spans="1:14" ht="12.75" hidden="1" customHeight="1" x14ac:dyDescent="0.25">
      <c r="A321" s="274">
        <v>5261</v>
      </c>
      <c r="B321" s="83">
        <v>441400</v>
      </c>
      <c r="C321" s="84" t="s">
        <v>291</v>
      </c>
      <c r="D321" s="257"/>
      <c r="E321" s="108"/>
      <c r="F321" s="108"/>
      <c r="G321" s="109">
        <f t="shared" si="91"/>
        <v>0</v>
      </c>
      <c r="H321" s="108"/>
      <c r="I321" s="108"/>
      <c r="J321" s="108"/>
      <c r="K321" s="108"/>
      <c r="L321" s="108"/>
      <c r="M321" s="110"/>
      <c r="N321" s="137" t="e">
        <f t="shared" si="88"/>
        <v>#DIV/0!</v>
      </c>
    </row>
    <row r="322" spans="1:14" ht="12.75" customHeight="1" x14ac:dyDescent="0.25">
      <c r="A322" s="274">
        <v>5262</v>
      </c>
      <c r="B322" s="83">
        <v>441500</v>
      </c>
      <c r="C322" s="84" t="s">
        <v>292</v>
      </c>
      <c r="D322" s="257">
        <v>0</v>
      </c>
      <c r="E322" s="108">
        <v>600</v>
      </c>
      <c r="F322" s="108">
        <f>D322+E322</f>
        <v>600</v>
      </c>
      <c r="G322" s="109">
        <f t="shared" si="91"/>
        <v>233</v>
      </c>
      <c r="H322" s="108"/>
      <c r="I322" s="108"/>
      <c r="J322" s="108"/>
      <c r="K322" s="108"/>
      <c r="L322" s="108"/>
      <c r="M322" s="110">
        <f>142+91</f>
        <v>233</v>
      </c>
      <c r="N322" s="137">
        <f t="shared" si="88"/>
        <v>0.38833333333333331</v>
      </c>
    </row>
    <row r="323" spans="1:14" ht="12.75" hidden="1" customHeight="1" x14ac:dyDescent="0.25">
      <c r="A323" s="274">
        <v>5263</v>
      </c>
      <c r="B323" s="83">
        <v>441600</v>
      </c>
      <c r="C323" s="84" t="s">
        <v>293</v>
      </c>
      <c r="D323" s="257"/>
      <c r="E323" s="108"/>
      <c r="F323" s="108"/>
      <c r="G323" s="109">
        <f t="shared" si="91"/>
        <v>0</v>
      </c>
      <c r="H323" s="108"/>
      <c r="I323" s="108"/>
      <c r="J323" s="108"/>
      <c r="K323" s="108"/>
      <c r="L323" s="108"/>
      <c r="M323" s="110"/>
      <c r="N323" s="137" t="e">
        <f t="shared" si="88"/>
        <v>#DIV/0!</v>
      </c>
    </row>
    <row r="324" spans="1:14" ht="12.75" hidden="1" customHeight="1" x14ac:dyDescent="0.25">
      <c r="A324" s="274">
        <v>5264</v>
      </c>
      <c r="B324" s="83">
        <v>441700</v>
      </c>
      <c r="C324" s="84" t="s">
        <v>294</v>
      </c>
      <c r="D324" s="257"/>
      <c r="E324" s="108"/>
      <c r="F324" s="108"/>
      <c r="G324" s="109">
        <f t="shared" si="91"/>
        <v>0</v>
      </c>
      <c r="H324" s="108"/>
      <c r="I324" s="108"/>
      <c r="J324" s="108"/>
      <c r="K324" s="108"/>
      <c r="L324" s="108"/>
      <c r="M324" s="110"/>
      <c r="N324" s="137" t="e">
        <f t="shared" si="88"/>
        <v>#DIV/0!</v>
      </c>
    </row>
    <row r="325" spans="1:14" ht="12.75" hidden="1" customHeight="1" x14ac:dyDescent="0.25">
      <c r="A325" s="274">
        <v>5265</v>
      </c>
      <c r="B325" s="83">
        <v>441800</v>
      </c>
      <c r="C325" s="84" t="s">
        <v>295</v>
      </c>
      <c r="D325" s="257"/>
      <c r="E325" s="108"/>
      <c r="F325" s="108"/>
      <c r="G325" s="109">
        <f t="shared" si="91"/>
        <v>0</v>
      </c>
      <c r="H325" s="108"/>
      <c r="I325" s="108"/>
      <c r="J325" s="108"/>
      <c r="K325" s="108"/>
      <c r="L325" s="108"/>
      <c r="M325" s="110"/>
      <c r="N325" s="137" t="e">
        <f t="shared" si="88"/>
        <v>#DIV/0!</v>
      </c>
    </row>
    <row r="326" spans="1:14" ht="12.75" hidden="1" customHeight="1" x14ac:dyDescent="0.25">
      <c r="A326" s="274">
        <v>5266</v>
      </c>
      <c r="B326" s="83">
        <v>441900</v>
      </c>
      <c r="C326" s="84" t="s">
        <v>99</v>
      </c>
      <c r="D326" s="257"/>
      <c r="E326" s="108"/>
      <c r="F326" s="108"/>
      <c r="G326" s="109">
        <f t="shared" si="91"/>
        <v>0</v>
      </c>
      <c r="H326" s="108"/>
      <c r="I326" s="108"/>
      <c r="J326" s="108"/>
      <c r="K326" s="108"/>
      <c r="L326" s="108"/>
      <c r="M326" s="110"/>
      <c r="N326" s="137" t="e">
        <f t="shared" si="88"/>
        <v>#DIV/0!</v>
      </c>
    </row>
    <row r="327" spans="1:14" ht="12.75" hidden="1" customHeight="1" x14ac:dyDescent="0.25">
      <c r="A327" s="273">
        <v>5267</v>
      </c>
      <c r="B327" s="488">
        <v>442000</v>
      </c>
      <c r="C327" s="82" t="s">
        <v>296</v>
      </c>
      <c r="D327" s="256">
        <f>SUM(D328:D337)</f>
        <v>0</v>
      </c>
      <c r="E327" s="100">
        <f>SUM(E328:E337)</f>
        <v>0</v>
      </c>
      <c r="F327" s="100">
        <f>SUM(F328:F337)</f>
        <v>0</v>
      </c>
      <c r="G327" s="100">
        <f t="shared" si="91"/>
        <v>0</v>
      </c>
      <c r="H327" s="100">
        <f t="shared" ref="H327:M327" si="100">SUM(H328:H337)</f>
        <v>0</v>
      </c>
      <c r="I327" s="100">
        <f t="shared" si="100"/>
        <v>0</v>
      </c>
      <c r="J327" s="100">
        <f t="shared" si="100"/>
        <v>0</v>
      </c>
      <c r="K327" s="100">
        <f t="shared" si="100"/>
        <v>0</v>
      </c>
      <c r="L327" s="100">
        <f t="shared" si="100"/>
        <v>0</v>
      </c>
      <c r="M327" s="101">
        <f t="shared" si="100"/>
        <v>0</v>
      </c>
      <c r="N327" s="137" t="e">
        <f t="shared" si="88"/>
        <v>#DIV/0!</v>
      </c>
    </row>
    <row r="328" spans="1:14" ht="12.75" hidden="1" customHeight="1" x14ac:dyDescent="0.25">
      <c r="A328" s="274">
        <v>5268</v>
      </c>
      <c r="B328" s="83">
        <v>442100</v>
      </c>
      <c r="C328" s="84" t="s">
        <v>297</v>
      </c>
      <c r="D328" s="257"/>
      <c r="E328" s="108"/>
      <c r="F328" s="108"/>
      <c r="G328" s="109">
        <f t="shared" si="91"/>
        <v>0</v>
      </c>
      <c r="H328" s="108"/>
      <c r="I328" s="108"/>
      <c r="J328" s="108"/>
      <c r="K328" s="108"/>
      <c r="L328" s="108"/>
      <c r="M328" s="110"/>
      <c r="N328" s="137" t="e">
        <f t="shared" si="88"/>
        <v>#DIV/0!</v>
      </c>
    </row>
    <row r="329" spans="1:14" ht="12.75" hidden="1" customHeight="1" x14ac:dyDescent="0.25">
      <c r="A329" s="274">
        <v>5269</v>
      </c>
      <c r="B329" s="83">
        <v>442200</v>
      </c>
      <c r="C329" s="84" t="s">
        <v>298</v>
      </c>
      <c r="D329" s="257"/>
      <c r="E329" s="108"/>
      <c r="F329" s="108"/>
      <c r="G329" s="109">
        <f t="shared" si="91"/>
        <v>0</v>
      </c>
      <c r="H329" s="108"/>
      <c r="I329" s="108"/>
      <c r="J329" s="108"/>
      <c r="K329" s="108"/>
      <c r="L329" s="108"/>
      <c r="M329" s="110"/>
      <c r="N329" s="137" t="e">
        <f t="shared" si="88"/>
        <v>#DIV/0!</v>
      </c>
    </row>
    <row r="330" spans="1:14" ht="12.75" hidden="1" customHeight="1" x14ac:dyDescent="0.25">
      <c r="A330" s="274">
        <v>5270</v>
      </c>
      <c r="B330" s="83">
        <v>442300</v>
      </c>
      <c r="C330" s="84" t="s">
        <v>299</v>
      </c>
      <c r="D330" s="257"/>
      <c r="E330" s="108"/>
      <c r="F330" s="108"/>
      <c r="G330" s="109">
        <f t="shared" si="91"/>
        <v>0</v>
      </c>
      <c r="H330" s="108"/>
      <c r="I330" s="108"/>
      <c r="J330" s="108"/>
      <c r="K330" s="108"/>
      <c r="L330" s="108"/>
      <c r="M330" s="110"/>
      <c r="N330" s="137" t="e">
        <f t="shared" si="88"/>
        <v>#DIV/0!</v>
      </c>
    </row>
    <row r="331" spans="1:14" ht="12.75" hidden="1" customHeight="1" x14ac:dyDescent="0.25">
      <c r="A331" s="274">
        <v>5271</v>
      </c>
      <c r="B331" s="83">
        <v>442400</v>
      </c>
      <c r="C331" s="84" t="s">
        <v>300</v>
      </c>
      <c r="D331" s="257"/>
      <c r="E331" s="108"/>
      <c r="F331" s="108"/>
      <c r="G331" s="109">
        <f t="shared" si="91"/>
        <v>0</v>
      </c>
      <c r="H331" s="108"/>
      <c r="I331" s="108"/>
      <c r="J331" s="108"/>
      <c r="K331" s="108"/>
      <c r="L331" s="108"/>
      <c r="M331" s="110"/>
      <c r="N331" s="137" t="e">
        <f t="shared" si="88"/>
        <v>#DIV/0!</v>
      </c>
    </row>
    <row r="332" spans="1:14" ht="12.75" hidden="1" customHeight="1" x14ac:dyDescent="0.25">
      <c r="A332" s="645" t="s">
        <v>0</v>
      </c>
      <c r="B332" s="646" t="s">
        <v>1</v>
      </c>
      <c r="C332" s="585" t="s">
        <v>2</v>
      </c>
      <c r="D332" s="259" t="s">
        <v>217</v>
      </c>
      <c r="E332" s="585" t="s">
        <v>217</v>
      </c>
      <c r="F332" s="486" t="s">
        <v>217</v>
      </c>
      <c r="G332" s="575" t="s">
        <v>198</v>
      </c>
      <c r="H332" s="589"/>
      <c r="I332" s="589"/>
      <c r="J332" s="589"/>
      <c r="K332" s="589"/>
      <c r="L332" s="589"/>
      <c r="M332" s="592"/>
      <c r="N332" s="137" t="e">
        <f t="shared" si="88"/>
        <v>#VALUE!</v>
      </c>
    </row>
    <row r="333" spans="1:14" ht="12.75" hidden="1" customHeight="1" x14ac:dyDescent="0.25">
      <c r="A333" s="645"/>
      <c r="B333" s="646"/>
      <c r="C333" s="585"/>
      <c r="D333" s="259"/>
      <c r="E333" s="585"/>
      <c r="F333" s="486"/>
      <c r="G333" s="575" t="s">
        <v>199</v>
      </c>
      <c r="H333" s="575" t="s">
        <v>200</v>
      </c>
      <c r="I333" s="589"/>
      <c r="J333" s="589"/>
      <c r="K333" s="589"/>
      <c r="L333" s="575" t="s">
        <v>7</v>
      </c>
      <c r="M333" s="582" t="s">
        <v>8</v>
      </c>
      <c r="N333" s="137" t="e">
        <f t="shared" si="88"/>
        <v>#VALUE!</v>
      </c>
    </row>
    <row r="334" spans="1:14" ht="12.75" hidden="1" customHeight="1" x14ac:dyDescent="0.25">
      <c r="A334" s="645"/>
      <c r="B334" s="646"/>
      <c r="C334" s="585"/>
      <c r="D334" s="259"/>
      <c r="E334" s="585"/>
      <c r="F334" s="486"/>
      <c r="G334" s="589"/>
      <c r="H334" s="487" t="s">
        <v>201</v>
      </c>
      <c r="I334" s="487" t="s">
        <v>10</v>
      </c>
      <c r="J334" s="487" t="s">
        <v>11</v>
      </c>
      <c r="K334" s="487" t="s">
        <v>12</v>
      </c>
      <c r="L334" s="589"/>
      <c r="M334" s="592"/>
      <c r="N334" s="137" t="e">
        <f t="shared" si="88"/>
        <v>#DIV/0!</v>
      </c>
    </row>
    <row r="335" spans="1:14" ht="12.75" hidden="1" customHeight="1" x14ac:dyDescent="0.25">
      <c r="A335" s="275" t="s">
        <v>18</v>
      </c>
      <c r="B335" s="491" t="s">
        <v>19</v>
      </c>
      <c r="C335" s="485" t="s">
        <v>20</v>
      </c>
      <c r="D335" s="259" t="s">
        <v>21</v>
      </c>
      <c r="E335" s="485" t="s">
        <v>21</v>
      </c>
      <c r="F335" s="485" t="s">
        <v>21</v>
      </c>
      <c r="G335" s="485" t="s">
        <v>22</v>
      </c>
      <c r="H335" s="485" t="s">
        <v>23</v>
      </c>
      <c r="I335" s="485" t="s">
        <v>24</v>
      </c>
      <c r="J335" s="485" t="s">
        <v>25</v>
      </c>
      <c r="K335" s="485" t="s">
        <v>26</v>
      </c>
      <c r="L335" s="485" t="s">
        <v>27</v>
      </c>
      <c r="M335" s="99" t="s">
        <v>28</v>
      </c>
      <c r="N335" s="137">
        <f t="shared" si="88"/>
        <v>1.25</v>
      </c>
    </row>
    <row r="336" spans="1:14" ht="12.75" hidden="1" customHeight="1" x14ac:dyDescent="0.25">
      <c r="A336" s="274">
        <v>5272</v>
      </c>
      <c r="B336" s="83">
        <v>442500</v>
      </c>
      <c r="C336" s="84" t="s">
        <v>301</v>
      </c>
      <c r="D336" s="257"/>
      <c r="E336" s="108"/>
      <c r="F336" s="108"/>
      <c r="G336" s="109">
        <f t="shared" si="91"/>
        <v>0</v>
      </c>
      <c r="H336" s="108"/>
      <c r="I336" s="108"/>
      <c r="J336" s="108"/>
      <c r="K336" s="108"/>
      <c r="L336" s="108"/>
      <c r="M336" s="110"/>
      <c r="N336" s="137" t="e">
        <f t="shared" si="88"/>
        <v>#DIV/0!</v>
      </c>
    </row>
    <row r="337" spans="1:14" ht="12.75" hidden="1" customHeight="1" x14ac:dyDescent="0.25">
      <c r="A337" s="274">
        <v>5273</v>
      </c>
      <c r="B337" s="83">
        <v>442600</v>
      </c>
      <c r="C337" s="84" t="s">
        <v>302</v>
      </c>
      <c r="D337" s="257"/>
      <c r="E337" s="108"/>
      <c r="F337" s="108"/>
      <c r="G337" s="109">
        <f t="shared" si="91"/>
        <v>0</v>
      </c>
      <c r="H337" s="108"/>
      <c r="I337" s="108"/>
      <c r="J337" s="108"/>
      <c r="K337" s="108"/>
      <c r="L337" s="108"/>
      <c r="M337" s="110"/>
      <c r="N337" s="137" t="e">
        <f t="shared" si="88"/>
        <v>#DIV/0!</v>
      </c>
    </row>
    <row r="338" spans="1:14" ht="12.75" hidden="1" customHeight="1" x14ac:dyDescent="0.25">
      <c r="A338" s="273">
        <v>5274</v>
      </c>
      <c r="B338" s="488">
        <v>443000</v>
      </c>
      <c r="C338" s="82" t="s">
        <v>303</v>
      </c>
      <c r="D338" s="256">
        <f>D339</f>
        <v>0</v>
      </c>
      <c r="E338" s="100">
        <f>E339</f>
        <v>0</v>
      </c>
      <c r="F338" s="100">
        <f>F339</f>
        <v>0</v>
      </c>
      <c r="G338" s="100">
        <f t="shared" si="91"/>
        <v>0</v>
      </c>
      <c r="H338" s="100">
        <f t="shared" ref="H338:M338" si="101">H339</f>
        <v>0</v>
      </c>
      <c r="I338" s="100">
        <f t="shared" si="101"/>
        <v>0</v>
      </c>
      <c r="J338" s="100">
        <f t="shared" si="101"/>
        <v>0</v>
      </c>
      <c r="K338" s="100">
        <f t="shared" si="101"/>
        <v>0</v>
      </c>
      <c r="L338" s="100">
        <f t="shared" si="101"/>
        <v>0</v>
      </c>
      <c r="M338" s="101">
        <f t="shared" si="101"/>
        <v>0</v>
      </c>
      <c r="N338" s="137" t="e">
        <f t="shared" si="88"/>
        <v>#DIV/0!</v>
      </c>
    </row>
    <row r="339" spans="1:14" ht="12.75" hidden="1" customHeight="1" x14ac:dyDescent="0.25">
      <c r="A339" s="274">
        <v>5275</v>
      </c>
      <c r="B339" s="83">
        <v>443100</v>
      </c>
      <c r="C339" s="84" t="s">
        <v>304</v>
      </c>
      <c r="D339" s="257"/>
      <c r="E339" s="108"/>
      <c r="F339" s="108"/>
      <c r="G339" s="109">
        <f t="shared" si="91"/>
        <v>0</v>
      </c>
      <c r="H339" s="108"/>
      <c r="I339" s="108"/>
      <c r="J339" s="108"/>
      <c r="K339" s="108"/>
      <c r="L339" s="108"/>
      <c r="M339" s="110"/>
      <c r="N339" s="137" t="e">
        <f t="shared" si="88"/>
        <v>#DIV/0!</v>
      </c>
    </row>
    <row r="340" spans="1:14" ht="12.75" hidden="1" customHeight="1" x14ac:dyDescent="0.25">
      <c r="A340" s="273">
        <v>5276</v>
      </c>
      <c r="B340" s="488">
        <v>444000</v>
      </c>
      <c r="C340" s="82" t="s">
        <v>305</v>
      </c>
      <c r="D340" s="256">
        <f>SUM(D341:D343)</f>
        <v>0</v>
      </c>
      <c r="E340" s="100">
        <f>SUM(E341:E343)</f>
        <v>0</v>
      </c>
      <c r="F340" s="100">
        <f>SUM(F341:F343)</f>
        <v>0</v>
      </c>
      <c r="G340" s="100">
        <f t="shared" si="91"/>
        <v>0</v>
      </c>
      <c r="H340" s="100">
        <f t="shared" ref="H340:M340" si="102">SUM(H341:H343)</f>
        <v>0</v>
      </c>
      <c r="I340" s="100">
        <f t="shared" si="102"/>
        <v>0</v>
      </c>
      <c r="J340" s="100">
        <f t="shared" si="102"/>
        <v>0</v>
      </c>
      <c r="K340" s="100">
        <f t="shared" si="102"/>
        <v>0</v>
      </c>
      <c r="L340" s="100">
        <f t="shared" si="102"/>
        <v>0</v>
      </c>
      <c r="M340" s="101">
        <f t="shared" si="102"/>
        <v>0</v>
      </c>
      <c r="N340" s="137" t="e">
        <f t="shared" si="88"/>
        <v>#DIV/0!</v>
      </c>
    </row>
    <row r="341" spans="1:14" ht="12.75" hidden="1" customHeight="1" x14ac:dyDescent="0.25">
      <c r="A341" s="274">
        <v>5277</v>
      </c>
      <c r="B341" s="83">
        <v>444100</v>
      </c>
      <c r="C341" s="84" t="s">
        <v>306</v>
      </c>
      <c r="D341" s="257"/>
      <c r="E341" s="108"/>
      <c r="F341" s="108"/>
      <c r="G341" s="109">
        <f t="shared" si="91"/>
        <v>0</v>
      </c>
      <c r="H341" s="108"/>
      <c r="I341" s="108"/>
      <c r="J341" s="108"/>
      <c r="K341" s="108"/>
      <c r="L341" s="108"/>
      <c r="M341" s="110"/>
      <c r="N341" s="137" t="e">
        <f t="shared" si="88"/>
        <v>#DIV/0!</v>
      </c>
    </row>
    <row r="342" spans="1:14" ht="12.75" hidden="1" customHeight="1" x14ac:dyDescent="0.25">
      <c r="A342" s="274">
        <v>5278</v>
      </c>
      <c r="B342" s="83">
        <v>444200</v>
      </c>
      <c r="C342" s="84" t="s">
        <v>307</v>
      </c>
      <c r="D342" s="257"/>
      <c r="E342" s="108"/>
      <c r="F342" s="108"/>
      <c r="G342" s="109">
        <f t="shared" si="91"/>
        <v>0</v>
      </c>
      <c r="H342" s="108"/>
      <c r="I342" s="108"/>
      <c r="J342" s="108"/>
      <c r="K342" s="108"/>
      <c r="L342" s="108"/>
      <c r="M342" s="110"/>
      <c r="N342" s="137" t="e">
        <f t="shared" si="88"/>
        <v>#DIV/0!</v>
      </c>
    </row>
    <row r="343" spans="1:14" ht="12.75" hidden="1" customHeight="1" x14ac:dyDescent="0.25">
      <c r="A343" s="274">
        <v>5279</v>
      </c>
      <c r="B343" s="83">
        <v>444300</v>
      </c>
      <c r="C343" s="84" t="s">
        <v>308</v>
      </c>
      <c r="D343" s="257"/>
      <c r="E343" s="108"/>
      <c r="F343" s="108"/>
      <c r="G343" s="109">
        <f t="shared" si="91"/>
        <v>0</v>
      </c>
      <c r="H343" s="108"/>
      <c r="I343" s="108"/>
      <c r="J343" s="108"/>
      <c r="K343" s="108"/>
      <c r="L343" s="108"/>
      <c r="M343" s="110"/>
      <c r="N343" s="137" t="e">
        <f t="shared" si="88"/>
        <v>#DIV/0!</v>
      </c>
    </row>
    <row r="344" spans="1:14" ht="12.75" hidden="1" customHeight="1" x14ac:dyDescent="0.25">
      <c r="A344" s="273">
        <v>5280</v>
      </c>
      <c r="B344" s="488">
        <v>450000</v>
      </c>
      <c r="C344" s="82" t="s">
        <v>309</v>
      </c>
      <c r="D344" s="256">
        <f>D345+D348+D351+D354</f>
        <v>0</v>
      </c>
      <c r="E344" s="100">
        <f>E345+E348+E351+E354</f>
        <v>0</v>
      </c>
      <c r="F344" s="100">
        <f>F345+F348+F351+F354</f>
        <v>0</v>
      </c>
      <c r="G344" s="100">
        <f t="shared" si="91"/>
        <v>0</v>
      </c>
      <c r="H344" s="100">
        <f t="shared" ref="H344:M344" si="103">H345+H348+H351+H354</f>
        <v>0</v>
      </c>
      <c r="I344" s="100">
        <f t="shared" si="103"/>
        <v>0</v>
      </c>
      <c r="J344" s="100">
        <f t="shared" si="103"/>
        <v>0</v>
      </c>
      <c r="K344" s="100">
        <f t="shared" si="103"/>
        <v>0</v>
      </c>
      <c r="L344" s="100">
        <f t="shared" si="103"/>
        <v>0</v>
      </c>
      <c r="M344" s="101">
        <f t="shared" si="103"/>
        <v>0</v>
      </c>
      <c r="N344" s="137" t="e">
        <f t="shared" si="88"/>
        <v>#DIV/0!</v>
      </c>
    </row>
    <row r="345" spans="1:14" ht="12.75" hidden="1" customHeight="1" x14ac:dyDescent="0.25">
      <c r="A345" s="273">
        <v>5281</v>
      </c>
      <c r="B345" s="488">
        <v>451000</v>
      </c>
      <c r="C345" s="82" t="s">
        <v>310</v>
      </c>
      <c r="D345" s="256">
        <f>D346+D347</f>
        <v>0</v>
      </c>
      <c r="E345" s="100">
        <f>E346+E347</f>
        <v>0</v>
      </c>
      <c r="F345" s="100">
        <f>F346+F347</f>
        <v>0</v>
      </c>
      <c r="G345" s="100">
        <f t="shared" si="91"/>
        <v>0</v>
      </c>
      <c r="H345" s="100">
        <f t="shared" ref="H345:M345" si="104">H346+H347</f>
        <v>0</v>
      </c>
      <c r="I345" s="100">
        <f t="shared" si="104"/>
        <v>0</v>
      </c>
      <c r="J345" s="100">
        <f t="shared" si="104"/>
        <v>0</v>
      </c>
      <c r="K345" s="100">
        <f t="shared" si="104"/>
        <v>0</v>
      </c>
      <c r="L345" s="100">
        <f t="shared" si="104"/>
        <v>0</v>
      </c>
      <c r="M345" s="101">
        <f t="shared" si="104"/>
        <v>0</v>
      </c>
      <c r="N345" s="137" t="e">
        <f t="shared" si="88"/>
        <v>#DIV/0!</v>
      </c>
    </row>
    <row r="346" spans="1:14" ht="12.75" hidden="1" customHeight="1" x14ac:dyDescent="0.25">
      <c r="A346" s="274">
        <v>5282</v>
      </c>
      <c r="B346" s="83">
        <v>451100</v>
      </c>
      <c r="C346" s="84" t="s">
        <v>311</v>
      </c>
      <c r="D346" s="257"/>
      <c r="E346" s="108"/>
      <c r="F346" s="108"/>
      <c r="G346" s="109">
        <f t="shared" si="91"/>
        <v>0</v>
      </c>
      <c r="H346" s="108"/>
      <c r="I346" s="108"/>
      <c r="J346" s="108"/>
      <c r="K346" s="108"/>
      <c r="L346" s="108"/>
      <c r="M346" s="110"/>
      <c r="N346" s="137" t="e">
        <f t="shared" si="88"/>
        <v>#DIV/0!</v>
      </c>
    </row>
    <row r="347" spans="1:14" ht="12.75" hidden="1" customHeight="1" x14ac:dyDescent="0.25">
      <c r="A347" s="274">
        <v>5283</v>
      </c>
      <c r="B347" s="83">
        <v>451200</v>
      </c>
      <c r="C347" s="84" t="s">
        <v>312</v>
      </c>
      <c r="D347" s="257"/>
      <c r="E347" s="108"/>
      <c r="F347" s="108"/>
      <c r="G347" s="109">
        <f t="shared" si="91"/>
        <v>0</v>
      </c>
      <c r="H347" s="108"/>
      <c r="I347" s="108"/>
      <c r="J347" s="108"/>
      <c r="K347" s="108"/>
      <c r="L347" s="108"/>
      <c r="M347" s="110"/>
      <c r="N347" s="137" t="e">
        <f t="shared" si="88"/>
        <v>#DIV/0!</v>
      </c>
    </row>
    <row r="348" spans="1:14" ht="12.75" hidden="1" customHeight="1" x14ac:dyDescent="0.25">
      <c r="A348" s="273">
        <v>5284</v>
      </c>
      <c r="B348" s="488">
        <v>452000</v>
      </c>
      <c r="C348" s="82" t="s">
        <v>313</v>
      </c>
      <c r="D348" s="256">
        <f>D349+D350</f>
        <v>0</v>
      </c>
      <c r="E348" s="100">
        <f>E349+E350</f>
        <v>0</v>
      </c>
      <c r="F348" s="100">
        <f>F349+F350</f>
        <v>0</v>
      </c>
      <c r="G348" s="100">
        <f t="shared" si="91"/>
        <v>0</v>
      </c>
      <c r="H348" s="100">
        <f t="shared" ref="H348:M348" si="105">H349+H350</f>
        <v>0</v>
      </c>
      <c r="I348" s="100">
        <f t="shared" si="105"/>
        <v>0</v>
      </c>
      <c r="J348" s="100">
        <f t="shared" si="105"/>
        <v>0</v>
      </c>
      <c r="K348" s="100">
        <f t="shared" si="105"/>
        <v>0</v>
      </c>
      <c r="L348" s="100">
        <f t="shared" si="105"/>
        <v>0</v>
      </c>
      <c r="M348" s="101">
        <f t="shared" si="105"/>
        <v>0</v>
      </c>
      <c r="N348" s="137" t="e">
        <f t="shared" si="88"/>
        <v>#DIV/0!</v>
      </c>
    </row>
    <row r="349" spans="1:14" ht="12.75" hidden="1" customHeight="1" x14ac:dyDescent="0.25">
      <c r="A349" s="274">
        <v>5285</v>
      </c>
      <c r="B349" s="83">
        <v>452100</v>
      </c>
      <c r="C349" s="84" t="s">
        <v>314</v>
      </c>
      <c r="D349" s="257"/>
      <c r="E349" s="108"/>
      <c r="F349" s="108"/>
      <c r="G349" s="109">
        <f t="shared" si="91"/>
        <v>0</v>
      </c>
      <c r="H349" s="108"/>
      <c r="I349" s="108"/>
      <c r="J349" s="108"/>
      <c r="K349" s="108"/>
      <c r="L349" s="108"/>
      <c r="M349" s="110"/>
      <c r="N349" s="137" t="e">
        <f t="shared" ref="N349:N412" si="106">G349/F349</f>
        <v>#DIV/0!</v>
      </c>
    </row>
    <row r="350" spans="1:14" ht="12.75" hidden="1" customHeight="1" x14ac:dyDescent="0.25">
      <c r="A350" s="274">
        <v>5286</v>
      </c>
      <c r="B350" s="83">
        <v>452200</v>
      </c>
      <c r="C350" s="84" t="s">
        <v>315</v>
      </c>
      <c r="D350" s="257"/>
      <c r="E350" s="108"/>
      <c r="F350" s="108"/>
      <c r="G350" s="109">
        <f t="shared" si="91"/>
        <v>0</v>
      </c>
      <c r="H350" s="108"/>
      <c r="I350" s="108"/>
      <c r="J350" s="108"/>
      <c r="K350" s="108"/>
      <c r="L350" s="108"/>
      <c r="M350" s="110"/>
      <c r="N350" s="137" t="e">
        <f t="shared" si="106"/>
        <v>#DIV/0!</v>
      </c>
    </row>
    <row r="351" spans="1:14" ht="12.75" hidden="1" customHeight="1" x14ac:dyDescent="0.25">
      <c r="A351" s="273">
        <v>5287</v>
      </c>
      <c r="B351" s="488">
        <v>453000</v>
      </c>
      <c r="C351" s="82" t="s">
        <v>316</v>
      </c>
      <c r="D351" s="256">
        <f>D352+D353</f>
        <v>0</v>
      </c>
      <c r="E351" s="100">
        <f>E352+E353</f>
        <v>0</v>
      </c>
      <c r="F351" s="100">
        <f>F352+F353</f>
        <v>0</v>
      </c>
      <c r="G351" s="100">
        <f t="shared" si="91"/>
        <v>0</v>
      </c>
      <c r="H351" s="100">
        <f t="shared" ref="H351:M351" si="107">H352+H353</f>
        <v>0</v>
      </c>
      <c r="I351" s="100">
        <f t="shared" si="107"/>
        <v>0</v>
      </c>
      <c r="J351" s="100">
        <f t="shared" si="107"/>
        <v>0</v>
      </c>
      <c r="K351" s="100">
        <f t="shared" si="107"/>
        <v>0</v>
      </c>
      <c r="L351" s="100">
        <f t="shared" si="107"/>
        <v>0</v>
      </c>
      <c r="M351" s="101">
        <f t="shared" si="107"/>
        <v>0</v>
      </c>
      <c r="N351" s="137" t="e">
        <f t="shared" si="106"/>
        <v>#DIV/0!</v>
      </c>
    </row>
    <row r="352" spans="1:14" ht="12.75" hidden="1" customHeight="1" x14ac:dyDescent="0.25">
      <c r="A352" s="274">
        <v>5288</v>
      </c>
      <c r="B352" s="83">
        <v>453100</v>
      </c>
      <c r="C352" s="84" t="s">
        <v>317</v>
      </c>
      <c r="D352" s="257"/>
      <c r="E352" s="108"/>
      <c r="F352" s="108"/>
      <c r="G352" s="109">
        <f t="shared" si="91"/>
        <v>0</v>
      </c>
      <c r="H352" s="108"/>
      <c r="I352" s="108"/>
      <c r="J352" s="108"/>
      <c r="K352" s="108"/>
      <c r="L352" s="108"/>
      <c r="M352" s="110"/>
      <c r="N352" s="137" t="e">
        <f t="shared" si="106"/>
        <v>#DIV/0!</v>
      </c>
    </row>
    <row r="353" spans="1:14" ht="12.75" hidden="1" customHeight="1" x14ac:dyDescent="0.25">
      <c r="A353" s="274">
        <v>5289</v>
      </c>
      <c r="B353" s="83">
        <v>453200</v>
      </c>
      <c r="C353" s="84" t="s">
        <v>318</v>
      </c>
      <c r="D353" s="257"/>
      <c r="E353" s="108"/>
      <c r="F353" s="108"/>
      <c r="G353" s="109">
        <f t="shared" si="91"/>
        <v>0</v>
      </c>
      <c r="H353" s="108"/>
      <c r="I353" s="108"/>
      <c r="J353" s="108"/>
      <c r="K353" s="108"/>
      <c r="L353" s="108"/>
      <c r="M353" s="110"/>
      <c r="N353" s="137" t="e">
        <f t="shared" si="106"/>
        <v>#DIV/0!</v>
      </c>
    </row>
    <row r="354" spans="1:14" ht="12.75" hidden="1" customHeight="1" x14ac:dyDescent="0.25">
      <c r="A354" s="273">
        <v>5290</v>
      </c>
      <c r="B354" s="488">
        <v>454000</v>
      </c>
      <c r="C354" s="82" t="s">
        <v>319</v>
      </c>
      <c r="D354" s="256">
        <f>D355+D356</f>
        <v>0</v>
      </c>
      <c r="E354" s="100">
        <f>E355+E356</f>
        <v>0</v>
      </c>
      <c r="F354" s="100">
        <f>F355+F356</f>
        <v>0</v>
      </c>
      <c r="G354" s="100">
        <f t="shared" si="91"/>
        <v>0</v>
      </c>
      <c r="H354" s="100">
        <f t="shared" ref="H354:M354" si="108">H355+H356</f>
        <v>0</v>
      </c>
      <c r="I354" s="100">
        <f t="shared" si="108"/>
        <v>0</v>
      </c>
      <c r="J354" s="100">
        <f t="shared" si="108"/>
        <v>0</v>
      </c>
      <c r="K354" s="100">
        <f t="shared" si="108"/>
        <v>0</v>
      </c>
      <c r="L354" s="100">
        <f t="shared" si="108"/>
        <v>0</v>
      </c>
      <c r="M354" s="101">
        <f t="shared" si="108"/>
        <v>0</v>
      </c>
      <c r="N354" s="137" t="e">
        <f t="shared" si="106"/>
        <v>#DIV/0!</v>
      </c>
    </row>
    <row r="355" spans="1:14" ht="12.75" hidden="1" customHeight="1" x14ac:dyDescent="0.25">
      <c r="A355" s="274">
        <v>5291</v>
      </c>
      <c r="B355" s="83">
        <v>454100</v>
      </c>
      <c r="C355" s="84" t="s">
        <v>320</v>
      </c>
      <c r="D355" s="257"/>
      <c r="E355" s="108"/>
      <c r="F355" s="108"/>
      <c r="G355" s="109">
        <f t="shared" si="91"/>
        <v>0</v>
      </c>
      <c r="H355" s="108"/>
      <c r="I355" s="108"/>
      <c r="J355" s="108"/>
      <c r="K355" s="108"/>
      <c r="L355" s="108"/>
      <c r="M355" s="110"/>
      <c r="N355" s="137" t="e">
        <f t="shared" si="106"/>
        <v>#DIV/0!</v>
      </c>
    </row>
    <row r="356" spans="1:14" ht="12.75" hidden="1" customHeight="1" x14ac:dyDescent="0.25">
      <c r="A356" s="274">
        <v>5292</v>
      </c>
      <c r="B356" s="83">
        <v>454200</v>
      </c>
      <c r="C356" s="84" t="s">
        <v>321</v>
      </c>
      <c r="D356" s="257"/>
      <c r="E356" s="108"/>
      <c r="F356" s="108"/>
      <c r="G356" s="109">
        <f t="shared" si="91"/>
        <v>0</v>
      </c>
      <c r="H356" s="108"/>
      <c r="I356" s="108"/>
      <c r="J356" s="108"/>
      <c r="K356" s="108"/>
      <c r="L356" s="108"/>
      <c r="M356" s="110"/>
      <c r="N356" s="137" t="e">
        <f t="shared" si="106"/>
        <v>#DIV/0!</v>
      </c>
    </row>
    <row r="357" spans="1:14" ht="12.75" customHeight="1" x14ac:dyDescent="0.25">
      <c r="A357" s="273">
        <v>5293</v>
      </c>
      <c r="B357" s="488">
        <v>460000</v>
      </c>
      <c r="C357" s="82" t="s">
        <v>322</v>
      </c>
      <c r="D357" s="256">
        <f>D362+D365+D368+D371+D374</f>
        <v>0</v>
      </c>
      <c r="E357" s="100">
        <f>E362+E365+E368+E371+E374</f>
        <v>10080</v>
      </c>
      <c r="F357" s="100">
        <f>F362+F365+F368+F371+F374</f>
        <v>10080</v>
      </c>
      <c r="G357" s="100">
        <f t="shared" si="91"/>
        <v>4700</v>
      </c>
      <c r="H357" s="100">
        <f t="shared" ref="H357:M357" si="109">H362+H365+H368+H371+H374</f>
        <v>0</v>
      </c>
      <c r="I357" s="100">
        <f t="shared" si="109"/>
        <v>0</v>
      </c>
      <c r="J357" s="100">
        <f t="shared" si="109"/>
        <v>0</v>
      </c>
      <c r="K357" s="100">
        <f t="shared" si="109"/>
        <v>4700</v>
      </c>
      <c r="L357" s="100">
        <f t="shared" si="109"/>
        <v>0</v>
      </c>
      <c r="M357" s="101">
        <f t="shared" si="109"/>
        <v>0</v>
      </c>
      <c r="N357" s="137">
        <f t="shared" si="106"/>
        <v>0.46626984126984128</v>
      </c>
    </row>
    <row r="358" spans="1:14" ht="12.75" hidden="1" customHeight="1" x14ac:dyDescent="0.25">
      <c r="A358" s="645" t="s">
        <v>0</v>
      </c>
      <c r="B358" s="646" t="s">
        <v>1</v>
      </c>
      <c r="C358" s="585" t="s">
        <v>2</v>
      </c>
      <c r="D358" s="259" t="s">
        <v>217</v>
      </c>
      <c r="E358" s="585" t="s">
        <v>217</v>
      </c>
      <c r="F358" s="486" t="s">
        <v>217</v>
      </c>
      <c r="G358" s="575" t="s">
        <v>198</v>
      </c>
      <c r="H358" s="589"/>
      <c r="I358" s="589"/>
      <c r="J358" s="589"/>
      <c r="K358" s="589"/>
      <c r="L358" s="589"/>
      <c r="M358" s="592"/>
      <c r="N358" s="137" t="e">
        <f t="shared" si="106"/>
        <v>#VALUE!</v>
      </c>
    </row>
    <row r="359" spans="1:14" ht="12.75" hidden="1" customHeight="1" x14ac:dyDescent="0.25">
      <c r="A359" s="645"/>
      <c r="B359" s="646"/>
      <c r="C359" s="585"/>
      <c r="D359" s="259"/>
      <c r="E359" s="585"/>
      <c r="F359" s="486"/>
      <c r="G359" s="575" t="s">
        <v>199</v>
      </c>
      <c r="H359" s="575" t="s">
        <v>200</v>
      </c>
      <c r="I359" s="589"/>
      <c r="J359" s="589"/>
      <c r="K359" s="589"/>
      <c r="L359" s="575" t="s">
        <v>7</v>
      </c>
      <c r="M359" s="582" t="s">
        <v>8</v>
      </c>
      <c r="N359" s="137" t="e">
        <f t="shared" si="106"/>
        <v>#VALUE!</v>
      </c>
    </row>
    <row r="360" spans="1:14" ht="12.75" hidden="1" customHeight="1" x14ac:dyDescent="0.25">
      <c r="A360" s="645"/>
      <c r="B360" s="646"/>
      <c r="C360" s="585"/>
      <c r="D360" s="259"/>
      <c r="E360" s="585"/>
      <c r="F360" s="486"/>
      <c r="G360" s="589"/>
      <c r="H360" s="487" t="s">
        <v>201</v>
      </c>
      <c r="I360" s="487" t="s">
        <v>10</v>
      </c>
      <c r="J360" s="487" t="s">
        <v>11</v>
      </c>
      <c r="K360" s="487" t="s">
        <v>12</v>
      </c>
      <c r="L360" s="589"/>
      <c r="M360" s="592"/>
      <c r="N360" s="137" t="e">
        <f t="shared" si="106"/>
        <v>#DIV/0!</v>
      </c>
    </row>
    <row r="361" spans="1:14" ht="12.75" hidden="1" customHeight="1" x14ac:dyDescent="0.25">
      <c r="A361" s="275" t="s">
        <v>18</v>
      </c>
      <c r="B361" s="491" t="s">
        <v>19</v>
      </c>
      <c r="C361" s="485" t="s">
        <v>20</v>
      </c>
      <c r="D361" s="259" t="s">
        <v>21</v>
      </c>
      <c r="E361" s="485" t="s">
        <v>21</v>
      </c>
      <c r="F361" s="485" t="s">
        <v>21</v>
      </c>
      <c r="G361" s="485" t="s">
        <v>22</v>
      </c>
      <c r="H361" s="485" t="s">
        <v>23</v>
      </c>
      <c r="I361" s="485" t="s">
        <v>24</v>
      </c>
      <c r="J361" s="485" t="s">
        <v>25</v>
      </c>
      <c r="K361" s="485" t="s">
        <v>26</v>
      </c>
      <c r="L361" s="485" t="s">
        <v>27</v>
      </c>
      <c r="M361" s="99" t="s">
        <v>28</v>
      </c>
      <c r="N361" s="137">
        <f t="shared" si="106"/>
        <v>1.25</v>
      </c>
    </row>
    <row r="362" spans="1:14" ht="12.75" hidden="1" customHeight="1" x14ac:dyDescent="0.25">
      <c r="A362" s="273">
        <v>5294</v>
      </c>
      <c r="B362" s="488">
        <v>461000</v>
      </c>
      <c r="C362" s="82" t="s">
        <v>323</v>
      </c>
      <c r="D362" s="256">
        <f>D363+D364</f>
        <v>0</v>
      </c>
      <c r="E362" s="100">
        <f>E363+E364</f>
        <v>0</v>
      </c>
      <c r="F362" s="100">
        <f>F363+F364</f>
        <v>0</v>
      </c>
      <c r="G362" s="100">
        <f t="shared" si="91"/>
        <v>0</v>
      </c>
      <c r="H362" s="100">
        <f t="shared" ref="H362:M362" si="110">H363+H364</f>
        <v>0</v>
      </c>
      <c r="I362" s="100">
        <f t="shared" si="110"/>
        <v>0</v>
      </c>
      <c r="J362" s="100">
        <f t="shared" si="110"/>
        <v>0</v>
      </c>
      <c r="K362" s="100">
        <f t="shared" si="110"/>
        <v>0</v>
      </c>
      <c r="L362" s="100">
        <f t="shared" si="110"/>
        <v>0</v>
      </c>
      <c r="M362" s="101">
        <f t="shared" si="110"/>
        <v>0</v>
      </c>
      <c r="N362" s="137" t="e">
        <f t="shared" si="106"/>
        <v>#DIV/0!</v>
      </c>
    </row>
    <row r="363" spans="1:14" ht="12.75" hidden="1" customHeight="1" x14ac:dyDescent="0.25">
      <c r="A363" s="274">
        <v>5295</v>
      </c>
      <c r="B363" s="83">
        <v>461100</v>
      </c>
      <c r="C363" s="84" t="s">
        <v>324</v>
      </c>
      <c r="D363" s="257"/>
      <c r="E363" s="108"/>
      <c r="F363" s="108"/>
      <c r="G363" s="109">
        <f t="shared" si="91"/>
        <v>0</v>
      </c>
      <c r="H363" s="108"/>
      <c r="I363" s="108"/>
      <c r="J363" s="108"/>
      <c r="K363" s="108"/>
      <c r="L363" s="108"/>
      <c r="M363" s="110"/>
      <c r="N363" s="137" t="e">
        <f t="shared" si="106"/>
        <v>#DIV/0!</v>
      </c>
    </row>
    <row r="364" spans="1:14" ht="12.75" hidden="1" customHeight="1" x14ac:dyDescent="0.25">
      <c r="A364" s="274">
        <v>5296</v>
      </c>
      <c r="B364" s="83">
        <v>461200</v>
      </c>
      <c r="C364" s="84" t="s">
        <v>325</v>
      </c>
      <c r="D364" s="257"/>
      <c r="E364" s="108"/>
      <c r="F364" s="108"/>
      <c r="G364" s="109">
        <f t="shared" si="91"/>
        <v>0</v>
      </c>
      <c r="H364" s="108"/>
      <c r="I364" s="108"/>
      <c r="J364" s="108"/>
      <c r="K364" s="108"/>
      <c r="L364" s="108"/>
      <c r="M364" s="110"/>
      <c r="N364" s="137" t="e">
        <f t="shared" si="106"/>
        <v>#DIV/0!</v>
      </c>
    </row>
    <row r="365" spans="1:14" ht="12.75" hidden="1" customHeight="1" x14ac:dyDescent="0.25">
      <c r="A365" s="273">
        <v>5297</v>
      </c>
      <c r="B365" s="488">
        <v>462000</v>
      </c>
      <c r="C365" s="82" t="s">
        <v>326</v>
      </c>
      <c r="D365" s="256">
        <f>D366+D367</f>
        <v>0</v>
      </c>
      <c r="E365" s="100">
        <f>E366+E367</f>
        <v>0</v>
      </c>
      <c r="F365" s="100">
        <f>F366+F367</f>
        <v>0</v>
      </c>
      <c r="G365" s="100">
        <f t="shared" si="91"/>
        <v>0</v>
      </c>
      <c r="H365" s="100">
        <f t="shared" ref="H365:M365" si="111">H366+H367</f>
        <v>0</v>
      </c>
      <c r="I365" s="100">
        <f t="shared" si="111"/>
        <v>0</v>
      </c>
      <c r="J365" s="100">
        <f t="shared" si="111"/>
        <v>0</v>
      </c>
      <c r="K365" s="100">
        <f t="shared" si="111"/>
        <v>0</v>
      </c>
      <c r="L365" s="100">
        <f t="shared" si="111"/>
        <v>0</v>
      </c>
      <c r="M365" s="101">
        <f t="shared" si="111"/>
        <v>0</v>
      </c>
      <c r="N365" s="137" t="e">
        <f t="shared" si="106"/>
        <v>#DIV/0!</v>
      </c>
    </row>
    <row r="366" spans="1:14" ht="12.75" hidden="1" customHeight="1" x14ac:dyDescent="0.25">
      <c r="A366" s="274">
        <v>5298</v>
      </c>
      <c r="B366" s="83">
        <v>462100</v>
      </c>
      <c r="C366" s="84" t="s">
        <v>327</v>
      </c>
      <c r="D366" s="257"/>
      <c r="E366" s="108"/>
      <c r="F366" s="108"/>
      <c r="G366" s="109">
        <f t="shared" si="91"/>
        <v>0</v>
      </c>
      <c r="H366" s="108"/>
      <c r="I366" s="108"/>
      <c r="J366" s="108"/>
      <c r="K366" s="108"/>
      <c r="L366" s="108"/>
      <c r="M366" s="110"/>
      <c r="N366" s="137" t="e">
        <f t="shared" si="106"/>
        <v>#DIV/0!</v>
      </c>
    </row>
    <row r="367" spans="1:14" ht="12.75" hidden="1" customHeight="1" x14ac:dyDescent="0.25">
      <c r="A367" s="274">
        <v>5299</v>
      </c>
      <c r="B367" s="83">
        <v>462200</v>
      </c>
      <c r="C367" s="84" t="s">
        <v>328</v>
      </c>
      <c r="D367" s="257"/>
      <c r="E367" s="108"/>
      <c r="F367" s="108"/>
      <c r="G367" s="109">
        <f t="shared" si="91"/>
        <v>0</v>
      </c>
      <c r="H367" s="108"/>
      <c r="I367" s="108"/>
      <c r="J367" s="108"/>
      <c r="K367" s="108"/>
      <c r="L367" s="108"/>
      <c r="M367" s="110"/>
      <c r="N367" s="137" t="e">
        <f t="shared" si="106"/>
        <v>#DIV/0!</v>
      </c>
    </row>
    <row r="368" spans="1:14" ht="12.75" hidden="1" customHeight="1" x14ac:dyDescent="0.25">
      <c r="A368" s="273">
        <v>5300</v>
      </c>
      <c r="B368" s="488">
        <v>463000</v>
      </c>
      <c r="C368" s="82" t="s">
        <v>329</v>
      </c>
      <c r="D368" s="256">
        <f>D369+D370</f>
        <v>0</v>
      </c>
      <c r="E368" s="100">
        <f>E369+E370</f>
        <v>0</v>
      </c>
      <c r="F368" s="100">
        <f>F369+F370</f>
        <v>0</v>
      </c>
      <c r="G368" s="100">
        <f t="shared" ref="G368:G440" si="112">SUM(H368:M368)</f>
        <v>0</v>
      </c>
      <c r="H368" s="100">
        <f t="shared" ref="H368:M368" si="113">H369+H370</f>
        <v>0</v>
      </c>
      <c r="I368" s="100">
        <f t="shared" si="113"/>
        <v>0</v>
      </c>
      <c r="J368" s="100">
        <f t="shared" si="113"/>
        <v>0</v>
      </c>
      <c r="K368" s="100">
        <f t="shared" si="113"/>
        <v>0</v>
      </c>
      <c r="L368" s="100">
        <f t="shared" si="113"/>
        <v>0</v>
      </c>
      <c r="M368" s="101">
        <f t="shared" si="113"/>
        <v>0</v>
      </c>
      <c r="N368" s="137" t="e">
        <f t="shared" si="106"/>
        <v>#DIV/0!</v>
      </c>
    </row>
    <row r="369" spans="1:14" ht="12.75" hidden="1" customHeight="1" x14ac:dyDescent="0.25">
      <c r="A369" s="274">
        <v>5301</v>
      </c>
      <c r="B369" s="83">
        <v>463100</v>
      </c>
      <c r="C369" s="84" t="s">
        <v>330</v>
      </c>
      <c r="D369" s="257"/>
      <c r="E369" s="108"/>
      <c r="F369" s="108"/>
      <c r="G369" s="109">
        <f t="shared" si="112"/>
        <v>0</v>
      </c>
      <c r="H369" s="108"/>
      <c r="I369" s="108"/>
      <c r="J369" s="108"/>
      <c r="K369" s="108"/>
      <c r="L369" s="108"/>
      <c r="M369" s="110"/>
      <c r="N369" s="137" t="e">
        <f t="shared" si="106"/>
        <v>#DIV/0!</v>
      </c>
    </row>
    <row r="370" spans="1:14" ht="12.75" hidden="1" customHeight="1" x14ac:dyDescent="0.25">
      <c r="A370" s="274">
        <v>5302</v>
      </c>
      <c r="B370" s="83">
        <v>463200</v>
      </c>
      <c r="C370" s="84" t="s">
        <v>331</v>
      </c>
      <c r="D370" s="257"/>
      <c r="E370" s="108"/>
      <c r="F370" s="108"/>
      <c r="G370" s="109">
        <f t="shared" si="112"/>
        <v>0</v>
      </c>
      <c r="H370" s="108"/>
      <c r="I370" s="108"/>
      <c r="J370" s="108"/>
      <c r="K370" s="108"/>
      <c r="L370" s="108"/>
      <c r="M370" s="110"/>
      <c r="N370" s="137" t="e">
        <f t="shared" si="106"/>
        <v>#DIV/0!</v>
      </c>
    </row>
    <row r="371" spans="1:14" ht="12.75" hidden="1" customHeight="1" x14ac:dyDescent="0.25">
      <c r="A371" s="273">
        <v>5303</v>
      </c>
      <c r="B371" s="488">
        <v>464000</v>
      </c>
      <c r="C371" s="82" t="s">
        <v>332</v>
      </c>
      <c r="D371" s="256">
        <f>D372+D373</f>
        <v>0</v>
      </c>
      <c r="E371" s="100">
        <f>E372+E373</f>
        <v>0</v>
      </c>
      <c r="F371" s="100">
        <f>F372+F373</f>
        <v>0</v>
      </c>
      <c r="G371" s="100">
        <f t="shared" si="112"/>
        <v>0</v>
      </c>
      <c r="H371" s="100">
        <f t="shared" ref="H371:M371" si="114">H372+H373</f>
        <v>0</v>
      </c>
      <c r="I371" s="100">
        <f t="shared" si="114"/>
        <v>0</v>
      </c>
      <c r="J371" s="100">
        <f t="shared" si="114"/>
        <v>0</v>
      </c>
      <c r="K371" s="100">
        <f t="shared" si="114"/>
        <v>0</v>
      </c>
      <c r="L371" s="100">
        <f t="shared" si="114"/>
        <v>0</v>
      </c>
      <c r="M371" s="101">
        <f t="shared" si="114"/>
        <v>0</v>
      </c>
      <c r="N371" s="137" t="e">
        <f t="shared" si="106"/>
        <v>#DIV/0!</v>
      </c>
    </row>
    <row r="372" spans="1:14" ht="12.75" hidden="1" customHeight="1" x14ac:dyDescent="0.25">
      <c r="A372" s="274">
        <v>5304</v>
      </c>
      <c r="B372" s="83">
        <v>464100</v>
      </c>
      <c r="C372" s="84" t="s">
        <v>333</v>
      </c>
      <c r="D372" s="257"/>
      <c r="E372" s="108"/>
      <c r="F372" s="108"/>
      <c r="G372" s="109">
        <f t="shared" si="112"/>
        <v>0</v>
      </c>
      <c r="H372" s="108"/>
      <c r="I372" s="108"/>
      <c r="J372" s="108"/>
      <c r="K372" s="108"/>
      <c r="L372" s="108"/>
      <c r="M372" s="110"/>
      <c r="N372" s="137" t="e">
        <f t="shared" si="106"/>
        <v>#DIV/0!</v>
      </c>
    </row>
    <row r="373" spans="1:14" ht="12.75" hidden="1" customHeight="1" x14ac:dyDescent="0.25">
      <c r="A373" s="274">
        <v>5305</v>
      </c>
      <c r="B373" s="83">
        <v>464200</v>
      </c>
      <c r="C373" s="84" t="s">
        <v>334</v>
      </c>
      <c r="D373" s="257"/>
      <c r="E373" s="108"/>
      <c r="F373" s="108"/>
      <c r="G373" s="109">
        <f t="shared" si="112"/>
        <v>0</v>
      </c>
      <c r="H373" s="108"/>
      <c r="I373" s="108"/>
      <c r="J373" s="108"/>
      <c r="K373" s="108"/>
      <c r="L373" s="108"/>
      <c r="M373" s="110"/>
      <c r="N373" s="137" t="e">
        <f t="shared" si="106"/>
        <v>#DIV/0!</v>
      </c>
    </row>
    <row r="374" spans="1:14" ht="12.75" customHeight="1" x14ac:dyDescent="0.25">
      <c r="A374" s="273">
        <v>5306</v>
      </c>
      <c r="B374" s="488">
        <v>465000</v>
      </c>
      <c r="C374" s="82" t="s">
        <v>335</v>
      </c>
      <c r="D374" s="256">
        <f>D375+D376</f>
        <v>0</v>
      </c>
      <c r="E374" s="100">
        <f>E375+E376</f>
        <v>10080</v>
      </c>
      <c r="F374" s="100">
        <f>F375+F376</f>
        <v>10080</v>
      </c>
      <c r="G374" s="100">
        <f t="shared" si="112"/>
        <v>4700</v>
      </c>
      <c r="H374" s="100">
        <f t="shared" ref="H374:M374" si="115">H375+H376</f>
        <v>0</v>
      </c>
      <c r="I374" s="100">
        <f t="shared" si="115"/>
        <v>0</v>
      </c>
      <c r="J374" s="100">
        <f t="shared" si="115"/>
        <v>0</v>
      </c>
      <c r="K374" s="100">
        <f t="shared" si="115"/>
        <v>4700</v>
      </c>
      <c r="L374" s="100">
        <f t="shared" si="115"/>
        <v>0</v>
      </c>
      <c r="M374" s="101">
        <f t="shared" si="115"/>
        <v>0</v>
      </c>
      <c r="N374" s="137">
        <f t="shared" si="106"/>
        <v>0.46626984126984128</v>
      </c>
    </row>
    <row r="375" spans="1:14" ht="12.75" customHeight="1" x14ac:dyDescent="0.25">
      <c r="A375" s="274">
        <v>5307</v>
      </c>
      <c r="B375" s="83">
        <v>465100</v>
      </c>
      <c r="C375" s="84" t="s">
        <v>336</v>
      </c>
      <c r="D375" s="257">
        <v>0</v>
      </c>
      <c r="E375" s="108">
        <v>10080</v>
      </c>
      <c r="F375" s="108">
        <f>D375+E375</f>
        <v>10080</v>
      </c>
      <c r="G375" s="109">
        <f t="shared" si="112"/>
        <v>4700</v>
      </c>
      <c r="H375" s="108"/>
      <c r="I375" s="108"/>
      <c r="J375" s="108"/>
      <c r="K375" s="108">
        <v>4700</v>
      </c>
      <c r="L375" s="108"/>
      <c r="M375" s="110"/>
      <c r="N375" s="137">
        <f t="shared" si="106"/>
        <v>0.46626984126984128</v>
      </c>
    </row>
    <row r="376" spans="1:14" ht="12.75" hidden="1" customHeight="1" x14ac:dyDescent="0.25">
      <c r="A376" s="274">
        <v>5308</v>
      </c>
      <c r="B376" s="83">
        <v>465200</v>
      </c>
      <c r="C376" s="84" t="s">
        <v>337</v>
      </c>
      <c r="D376" s="257"/>
      <c r="E376" s="108"/>
      <c r="F376" s="108"/>
      <c r="G376" s="109">
        <f t="shared" si="112"/>
        <v>0</v>
      </c>
      <c r="H376" s="108"/>
      <c r="I376" s="108"/>
      <c r="J376" s="108"/>
      <c r="K376" s="108"/>
      <c r="L376" s="108"/>
      <c r="M376" s="110"/>
      <c r="N376" s="137" t="e">
        <f t="shared" si="106"/>
        <v>#DIV/0!</v>
      </c>
    </row>
    <row r="377" spans="1:14" ht="12.75" hidden="1" customHeight="1" x14ac:dyDescent="0.25">
      <c r="A377" s="273">
        <v>5309</v>
      </c>
      <c r="B377" s="488">
        <v>470000</v>
      </c>
      <c r="C377" s="82" t="s">
        <v>338</v>
      </c>
      <c r="D377" s="256">
        <f>D378+D382</f>
        <v>0</v>
      </c>
      <c r="E377" s="100">
        <f>E378+E382</f>
        <v>0</v>
      </c>
      <c r="F377" s="100">
        <f>F378+F382</f>
        <v>0</v>
      </c>
      <c r="G377" s="100">
        <f t="shared" si="112"/>
        <v>0</v>
      </c>
      <c r="H377" s="100">
        <f t="shared" ref="H377:M377" si="116">H378+H382</f>
        <v>0</v>
      </c>
      <c r="I377" s="100">
        <f t="shared" si="116"/>
        <v>0</v>
      </c>
      <c r="J377" s="100">
        <f t="shared" si="116"/>
        <v>0</v>
      </c>
      <c r="K377" s="100">
        <f t="shared" si="116"/>
        <v>0</v>
      </c>
      <c r="L377" s="100">
        <f t="shared" si="116"/>
        <v>0</v>
      </c>
      <c r="M377" s="101">
        <f t="shared" si="116"/>
        <v>0</v>
      </c>
      <c r="N377" s="137" t="e">
        <f t="shared" si="106"/>
        <v>#DIV/0!</v>
      </c>
    </row>
    <row r="378" spans="1:14" ht="12.75" hidden="1" customHeight="1" x14ac:dyDescent="0.25">
      <c r="A378" s="273">
        <v>5310</v>
      </c>
      <c r="B378" s="488">
        <v>471000</v>
      </c>
      <c r="C378" s="82" t="s">
        <v>339</v>
      </c>
      <c r="D378" s="256">
        <f>SUM(D379:D381)</f>
        <v>0</v>
      </c>
      <c r="E378" s="100">
        <f>SUM(E379:E381)</f>
        <v>0</v>
      </c>
      <c r="F378" s="100">
        <f>SUM(F379:F381)</f>
        <v>0</v>
      </c>
      <c r="G378" s="100">
        <f t="shared" si="112"/>
        <v>0</v>
      </c>
      <c r="H378" s="100">
        <f t="shared" ref="H378:M378" si="117">SUM(H379:H381)</f>
        <v>0</v>
      </c>
      <c r="I378" s="100">
        <f t="shared" si="117"/>
        <v>0</v>
      </c>
      <c r="J378" s="100">
        <f t="shared" si="117"/>
        <v>0</v>
      </c>
      <c r="K378" s="100">
        <f t="shared" si="117"/>
        <v>0</v>
      </c>
      <c r="L378" s="100">
        <f t="shared" si="117"/>
        <v>0</v>
      </c>
      <c r="M378" s="101">
        <f t="shared" si="117"/>
        <v>0</v>
      </c>
      <c r="N378" s="137" t="e">
        <f t="shared" si="106"/>
        <v>#DIV/0!</v>
      </c>
    </row>
    <row r="379" spans="1:14" ht="12.75" hidden="1" customHeight="1" x14ac:dyDescent="0.25">
      <c r="A379" s="274">
        <v>5311</v>
      </c>
      <c r="B379" s="83">
        <v>471100</v>
      </c>
      <c r="C379" s="84" t="s">
        <v>340</v>
      </c>
      <c r="D379" s="257"/>
      <c r="E379" s="108"/>
      <c r="F379" s="108"/>
      <c r="G379" s="109">
        <f t="shared" si="112"/>
        <v>0</v>
      </c>
      <c r="H379" s="108"/>
      <c r="I379" s="108"/>
      <c r="J379" s="108"/>
      <c r="K379" s="108"/>
      <c r="L379" s="108"/>
      <c r="M379" s="110"/>
      <c r="N379" s="137" t="e">
        <f t="shared" si="106"/>
        <v>#DIV/0!</v>
      </c>
    </row>
    <row r="380" spans="1:14" ht="12.75" hidden="1" customHeight="1" x14ac:dyDescent="0.25">
      <c r="A380" s="274">
        <v>5312</v>
      </c>
      <c r="B380" s="83">
        <v>471200</v>
      </c>
      <c r="C380" s="84" t="s">
        <v>341</v>
      </c>
      <c r="D380" s="257"/>
      <c r="E380" s="108"/>
      <c r="F380" s="108"/>
      <c r="G380" s="109">
        <f t="shared" si="112"/>
        <v>0</v>
      </c>
      <c r="H380" s="108"/>
      <c r="I380" s="108"/>
      <c r="J380" s="108"/>
      <c r="K380" s="108"/>
      <c r="L380" s="108"/>
      <c r="M380" s="110"/>
      <c r="N380" s="137" t="e">
        <f t="shared" si="106"/>
        <v>#DIV/0!</v>
      </c>
    </row>
    <row r="381" spans="1:14" ht="12.75" hidden="1" customHeight="1" x14ac:dyDescent="0.25">
      <c r="A381" s="274">
        <v>5313</v>
      </c>
      <c r="B381" s="83">
        <v>471900</v>
      </c>
      <c r="C381" s="84" t="s">
        <v>342</v>
      </c>
      <c r="D381" s="257"/>
      <c r="E381" s="108"/>
      <c r="F381" s="108"/>
      <c r="G381" s="109">
        <f t="shared" si="112"/>
        <v>0</v>
      </c>
      <c r="H381" s="108"/>
      <c r="I381" s="108"/>
      <c r="J381" s="108"/>
      <c r="K381" s="108"/>
      <c r="L381" s="108"/>
      <c r="M381" s="110"/>
      <c r="N381" s="137" t="e">
        <f t="shared" si="106"/>
        <v>#DIV/0!</v>
      </c>
    </row>
    <row r="382" spans="1:14" ht="12.75" hidden="1" customHeight="1" x14ac:dyDescent="0.25">
      <c r="A382" s="273">
        <v>5314</v>
      </c>
      <c r="B382" s="488">
        <v>472000</v>
      </c>
      <c r="C382" s="82" t="s">
        <v>343</v>
      </c>
      <c r="D382" s="256">
        <f>SUM(D387:D395)</f>
        <v>0</v>
      </c>
      <c r="E382" s="100">
        <f>SUM(E387:E395)</f>
        <v>0</v>
      </c>
      <c r="F382" s="100">
        <f>SUM(F387:F395)</f>
        <v>0</v>
      </c>
      <c r="G382" s="100">
        <f t="shared" si="112"/>
        <v>0</v>
      </c>
      <c r="H382" s="100">
        <f t="shared" ref="H382:M382" si="118">SUM(H387:H395)</f>
        <v>0</v>
      </c>
      <c r="I382" s="100">
        <f t="shared" si="118"/>
        <v>0</v>
      </c>
      <c r="J382" s="100">
        <f t="shared" si="118"/>
        <v>0</v>
      </c>
      <c r="K382" s="100">
        <f t="shared" si="118"/>
        <v>0</v>
      </c>
      <c r="L382" s="100">
        <f t="shared" si="118"/>
        <v>0</v>
      </c>
      <c r="M382" s="101">
        <f t="shared" si="118"/>
        <v>0</v>
      </c>
      <c r="N382" s="137" t="e">
        <f t="shared" si="106"/>
        <v>#DIV/0!</v>
      </c>
    </row>
    <row r="383" spans="1:14" ht="12.75" hidden="1" customHeight="1" x14ac:dyDescent="0.25">
      <c r="A383" s="645" t="s">
        <v>0</v>
      </c>
      <c r="B383" s="646" t="s">
        <v>1</v>
      </c>
      <c r="C383" s="585" t="s">
        <v>2</v>
      </c>
      <c r="D383" s="259" t="s">
        <v>217</v>
      </c>
      <c r="E383" s="585" t="s">
        <v>217</v>
      </c>
      <c r="F383" s="486" t="s">
        <v>217</v>
      </c>
      <c r="G383" s="575" t="s">
        <v>198</v>
      </c>
      <c r="H383" s="589"/>
      <c r="I383" s="589"/>
      <c r="J383" s="589"/>
      <c r="K383" s="589"/>
      <c r="L383" s="589"/>
      <c r="M383" s="592"/>
      <c r="N383" s="137" t="e">
        <f t="shared" si="106"/>
        <v>#VALUE!</v>
      </c>
    </row>
    <row r="384" spans="1:14" ht="12.75" hidden="1" customHeight="1" x14ac:dyDescent="0.25">
      <c r="A384" s="645"/>
      <c r="B384" s="646"/>
      <c r="C384" s="585"/>
      <c r="D384" s="259"/>
      <c r="E384" s="585"/>
      <c r="F384" s="486"/>
      <c r="G384" s="575" t="s">
        <v>199</v>
      </c>
      <c r="H384" s="575" t="s">
        <v>200</v>
      </c>
      <c r="I384" s="589"/>
      <c r="J384" s="589"/>
      <c r="K384" s="589"/>
      <c r="L384" s="575" t="s">
        <v>7</v>
      </c>
      <c r="M384" s="582" t="s">
        <v>8</v>
      </c>
      <c r="N384" s="137" t="e">
        <f t="shared" si="106"/>
        <v>#VALUE!</v>
      </c>
    </row>
    <row r="385" spans="1:14" ht="12.75" hidden="1" customHeight="1" x14ac:dyDescent="0.25">
      <c r="A385" s="645"/>
      <c r="B385" s="646"/>
      <c r="C385" s="585"/>
      <c r="D385" s="259"/>
      <c r="E385" s="585"/>
      <c r="F385" s="486"/>
      <c r="G385" s="589"/>
      <c r="H385" s="487" t="s">
        <v>201</v>
      </c>
      <c r="I385" s="487" t="s">
        <v>10</v>
      </c>
      <c r="J385" s="487" t="s">
        <v>11</v>
      </c>
      <c r="K385" s="487" t="s">
        <v>12</v>
      </c>
      <c r="L385" s="589"/>
      <c r="M385" s="592"/>
      <c r="N385" s="137" t="e">
        <f t="shared" si="106"/>
        <v>#DIV/0!</v>
      </c>
    </row>
    <row r="386" spans="1:14" ht="12.75" hidden="1" customHeight="1" x14ac:dyDescent="0.25">
      <c r="A386" s="275" t="s">
        <v>18</v>
      </c>
      <c r="B386" s="491" t="s">
        <v>19</v>
      </c>
      <c r="C386" s="485" t="s">
        <v>20</v>
      </c>
      <c r="D386" s="259" t="s">
        <v>21</v>
      </c>
      <c r="E386" s="485" t="s">
        <v>21</v>
      </c>
      <c r="F386" s="485" t="s">
        <v>21</v>
      </c>
      <c r="G386" s="485" t="s">
        <v>22</v>
      </c>
      <c r="H386" s="485" t="s">
        <v>23</v>
      </c>
      <c r="I386" s="485" t="s">
        <v>24</v>
      </c>
      <c r="J386" s="485" t="s">
        <v>25</v>
      </c>
      <c r="K386" s="485" t="s">
        <v>26</v>
      </c>
      <c r="L386" s="485" t="s">
        <v>27</v>
      </c>
      <c r="M386" s="99" t="s">
        <v>28</v>
      </c>
      <c r="N386" s="137">
        <f t="shared" si="106"/>
        <v>1.25</v>
      </c>
    </row>
    <row r="387" spans="1:14" ht="12.75" hidden="1" customHeight="1" x14ac:dyDescent="0.25">
      <c r="A387" s="274">
        <v>5315</v>
      </c>
      <c r="B387" s="83">
        <v>472100</v>
      </c>
      <c r="C387" s="84" t="s">
        <v>344</v>
      </c>
      <c r="D387" s="257"/>
      <c r="E387" s="108"/>
      <c r="F387" s="108"/>
      <c r="G387" s="109">
        <f t="shared" si="112"/>
        <v>0</v>
      </c>
      <c r="H387" s="108"/>
      <c r="I387" s="108"/>
      <c r="J387" s="108"/>
      <c r="K387" s="108"/>
      <c r="L387" s="108"/>
      <c r="M387" s="110"/>
      <c r="N387" s="137" t="e">
        <f t="shared" si="106"/>
        <v>#DIV/0!</v>
      </c>
    </row>
    <row r="388" spans="1:14" ht="12.75" hidden="1" customHeight="1" x14ac:dyDescent="0.25">
      <c r="A388" s="274">
        <v>5316</v>
      </c>
      <c r="B388" s="83">
        <v>472200</v>
      </c>
      <c r="C388" s="84" t="s">
        <v>345</v>
      </c>
      <c r="D388" s="257"/>
      <c r="E388" s="108"/>
      <c r="F388" s="108"/>
      <c r="G388" s="109">
        <f t="shared" si="112"/>
        <v>0</v>
      </c>
      <c r="H388" s="108"/>
      <c r="I388" s="108"/>
      <c r="J388" s="108"/>
      <c r="K388" s="108"/>
      <c r="L388" s="108"/>
      <c r="M388" s="110"/>
      <c r="N388" s="137" t="e">
        <f t="shared" si="106"/>
        <v>#DIV/0!</v>
      </c>
    </row>
    <row r="389" spans="1:14" ht="12.75" hidden="1" customHeight="1" x14ac:dyDescent="0.25">
      <c r="A389" s="274">
        <v>5317</v>
      </c>
      <c r="B389" s="83">
        <v>472300</v>
      </c>
      <c r="C389" s="84" t="s">
        <v>346</v>
      </c>
      <c r="D389" s="257"/>
      <c r="E389" s="108"/>
      <c r="F389" s="108"/>
      <c r="G389" s="109">
        <f t="shared" si="112"/>
        <v>0</v>
      </c>
      <c r="H389" s="108"/>
      <c r="I389" s="108"/>
      <c r="J389" s="108"/>
      <c r="K389" s="108"/>
      <c r="L389" s="108"/>
      <c r="M389" s="110"/>
      <c r="N389" s="137" t="e">
        <f t="shared" si="106"/>
        <v>#DIV/0!</v>
      </c>
    </row>
    <row r="390" spans="1:14" ht="12.75" hidden="1" customHeight="1" x14ac:dyDescent="0.25">
      <c r="A390" s="274">
        <v>5318</v>
      </c>
      <c r="B390" s="83">
        <v>472400</v>
      </c>
      <c r="C390" s="84" t="s">
        <v>347</v>
      </c>
      <c r="D390" s="257"/>
      <c r="E390" s="108"/>
      <c r="F390" s="108"/>
      <c r="G390" s="109">
        <f t="shared" si="112"/>
        <v>0</v>
      </c>
      <c r="H390" s="108"/>
      <c r="I390" s="108"/>
      <c r="J390" s="108"/>
      <c r="K390" s="108"/>
      <c r="L390" s="108"/>
      <c r="M390" s="110"/>
      <c r="N390" s="137" t="e">
        <f t="shared" si="106"/>
        <v>#DIV/0!</v>
      </c>
    </row>
    <row r="391" spans="1:14" ht="12.75" hidden="1" customHeight="1" x14ac:dyDescent="0.25">
      <c r="A391" s="274">
        <v>5319</v>
      </c>
      <c r="B391" s="83">
        <v>472500</v>
      </c>
      <c r="C391" s="84" t="s">
        <v>348</v>
      </c>
      <c r="D391" s="257"/>
      <c r="E391" s="108"/>
      <c r="F391" s="108"/>
      <c r="G391" s="109">
        <f t="shared" si="112"/>
        <v>0</v>
      </c>
      <c r="H391" s="108"/>
      <c r="I391" s="108"/>
      <c r="J391" s="108"/>
      <c r="K391" s="108"/>
      <c r="L391" s="108"/>
      <c r="M391" s="110"/>
      <c r="N391" s="137" t="e">
        <f t="shared" si="106"/>
        <v>#DIV/0!</v>
      </c>
    </row>
    <row r="392" spans="1:14" ht="12.75" hidden="1" customHeight="1" x14ac:dyDescent="0.25">
      <c r="A392" s="274">
        <v>5320</v>
      </c>
      <c r="B392" s="83">
        <v>472600</v>
      </c>
      <c r="C392" s="84" t="s">
        <v>349</v>
      </c>
      <c r="D392" s="257"/>
      <c r="E392" s="108"/>
      <c r="F392" s="108"/>
      <c r="G392" s="109">
        <f t="shared" si="112"/>
        <v>0</v>
      </c>
      <c r="H392" s="108"/>
      <c r="I392" s="108"/>
      <c r="J392" s="108"/>
      <c r="K392" s="108"/>
      <c r="L392" s="108"/>
      <c r="M392" s="110"/>
      <c r="N392" s="137" t="e">
        <f t="shared" si="106"/>
        <v>#DIV/0!</v>
      </c>
    </row>
    <row r="393" spans="1:14" ht="12.75" hidden="1" customHeight="1" x14ac:dyDescent="0.25">
      <c r="A393" s="274">
        <v>5321</v>
      </c>
      <c r="B393" s="83">
        <v>472700</v>
      </c>
      <c r="C393" s="84" t="s">
        <v>350</v>
      </c>
      <c r="D393" s="257"/>
      <c r="E393" s="108"/>
      <c r="F393" s="108"/>
      <c r="G393" s="109">
        <f t="shared" si="112"/>
        <v>0</v>
      </c>
      <c r="H393" s="108"/>
      <c r="I393" s="108"/>
      <c r="J393" s="108"/>
      <c r="K393" s="108"/>
      <c r="L393" s="108"/>
      <c r="M393" s="110"/>
      <c r="N393" s="137" t="e">
        <f t="shared" si="106"/>
        <v>#DIV/0!</v>
      </c>
    </row>
    <row r="394" spans="1:14" ht="12.75" hidden="1" customHeight="1" x14ac:dyDescent="0.25">
      <c r="A394" s="274">
        <v>5322</v>
      </c>
      <c r="B394" s="83">
        <v>472800</v>
      </c>
      <c r="C394" s="84" t="s">
        <v>351</v>
      </c>
      <c r="D394" s="257"/>
      <c r="E394" s="108"/>
      <c r="F394" s="108"/>
      <c r="G394" s="109">
        <f t="shared" si="112"/>
        <v>0</v>
      </c>
      <c r="H394" s="108"/>
      <c r="I394" s="108"/>
      <c r="J394" s="108"/>
      <c r="K394" s="108"/>
      <c r="L394" s="108"/>
      <c r="M394" s="110"/>
      <c r="N394" s="137" t="e">
        <f t="shared" si="106"/>
        <v>#DIV/0!</v>
      </c>
    </row>
    <row r="395" spans="1:14" ht="12.75" hidden="1" customHeight="1" x14ac:dyDescent="0.25">
      <c r="A395" s="274">
        <v>5323</v>
      </c>
      <c r="B395" s="83">
        <v>472900</v>
      </c>
      <c r="C395" s="84" t="s">
        <v>352</v>
      </c>
      <c r="D395" s="257"/>
      <c r="E395" s="108"/>
      <c r="F395" s="108"/>
      <c r="G395" s="109">
        <f t="shared" si="112"/>
        <v>0</v>
      </c>
      <c r="H395" s="108"/>
      <c r="I395" s="108"/>
      <c r="J395" s="108"/>
      <c r="K395" s="108"/>
      <c r="L395" s="108"/>
      <c r="M395" s="110"/>
      <c r="N395" s="137" t="e">
        <f t="shared" si="106"/>
        <v>#DIV/0!</v>
      </c>
    </row>
    <row r="396" spans="1:14" ht="12.75" customHeight="1" x14ac:dyDescent="0.25">
      <c r="A396" s="273">
        <v>5324</v>
      </c>
      <c r="B396" s="488">
        <v>480000</v>
      </c>
      <c r="C396" s="82" t="s">
        <v>353</v>
      </c>
      <c r="D396" s="256">
        <f>D397+D400+D404+D406+D409+D415</f>
        <v>0</v>
      </c>
      <c r="E396" s="100">
        <f>E397+E400+E404+E406+E409+E415</f>
        <v>300</v>
      </c>
      <c r="F396" s="100">
        <f>F397+F400+F404+F406+F409+F415</f>
        <v>300</v>
      </c>
      <c r="G396" s="100">
        <f t="shared" si="112"/>
        <v>156</v>
      </c>
      <c r="H396" s="100">
        <f t="shared" ref="H396:M396" si="119">H397+H400+H404+H406+H409+H415</f>
        <v>0</v>
      </c>
      <c r="I396" s="100">
        <f t="shared" si="119"/>
        <v>0</v>
      </c>
      <c r="J396" s="100">
        <f t="shared" si="119"/>
        <v>0</v>
      </c>
      <c r="K396" s="100">
        <f t="shared" si="119"/>
        <v>0</v>
      </c>
      <c r="L396" s="100">
        <f t="shared" si="119"/>
        <v>0</v>
      </c>
      <c r="M396" s="101">
        <f t="shared" si="119"/>
        <v>156</v>
      </c>
      <c r="N396" s="137">
        <f t="shared" si="106"/>
        <v>0.52</v>
      </c>
    </row>
    <row r="397" spans="1:14" ht="12.75" customHeight="1" x14ac:dyDescent="0.25">
      <c r="A397" s="273">
        <v>5325</v>
      </c>
      <c r="B397" s="488">
        <v>481000</v>
      </c>
      <c r="C397" s="82" t="s">
        <v>354</v>
      </c>
      <c r="D397" s="256">
        <f>D398+D399</f>
        <v>0</v>
      </c>
      <c r="E397" s="100">
        <f>E398+E399</f>
        <v>35</v>
      </c>
      <c r="F397" s="100">
        <f>F398+F399</f>
        <v>35</v>
      </c>
      <c r="G397" s="100">
        <f t="shared" si="112"/>
        <v>25</v>
      </c>
      <c r="H397" s="100">
        <f t="shared" ref="H397:M397" si="120">H398+H399</f>
        <v>0</v>
      </c>
      <c r="I397" s="100">
        <f t="shared" si="120"/>
        <v>0</v>
      </c>
      <c r="J397" s="100">
        <f t="shared" si="120"/>
        <v>0</v>
      </c>
      <c r="K397" s="100">
        <f t="shared" si="120"/>
        <v>0</v>
      </c>
      <c r="L397" s="100">
        <f t="shared" si="120"/>
        <v>0</v>
      </c>
      <c r="M397" s="101">
        <f t="shared" si="120"/>
        <v>25</v>
      </c>
      <c r="N397" s="137">
        <f t="shared" si="106"/>
        <v>0.7142857142857143</v>
      </c>
    </row>
    <row r="398" spans="1:14" ht="12.75" hidden="1" customHeight="1" x14ac:dyDescent="0.25">
      <c r="A398" s="274">
        <v>5326</v>
      </c>
      <c r="B398" s="83">
        <v>481100</v>
      </c>
      <c r="C398" s="84" t="s">
        <v>355</v>
      </c>
      <c r="D398" s="257"/>
      <c r="E398" s="108"/>
      <c r="F398" s="108"/>
      <c r="G398" s="109">
        <f t="shared" si="112"/>
        <v>0</v>
      </c>
      <c r="H398" s="108"/>
      <c r="I398" s="108"/>
      <c r="J398" s="108"/>
      <c r="K398" s="108"/>
      <c r="L398" s="108"/>
      <c r="M398" s="110"/>
      <c r="N398" s="137" t="e">
        <f t="shared" si="106"/>
        <v>#DIV/0!</v>
      </c>
    </row>
    <row r="399" spans="1:14" ht="12.75" customHeight="1" x14ac:dyDescent="0.25">
      <c r="A399" s="274">
        <v>5327</v>
      </c>
      <c r="B399" s="83">
        <v>481900</v>
      </c>
      <c r="C399" s="84" t="s">
        <v>356</v>
      </c>
      <c r="D399" s="257">
        <v>0</v>
      </c>
      <c r="E399" s="108">
        <v>35</v>
      </c>
      <c r="F399" s="108">
        <f>D399+E399</f>
        <v>35</v>
      </c>
      <c r="G399" s="109">
        <f t="shared" si="112"/>
        <v>25</v>
      </c>
      <c r="H399" s="108"/>
      <c r="I399" s="108"/>
      <c r="J399" s="108"/>
      <c r="K399" s="108"/>
      <c r="L399" s="108"/>
      <c r="M399" s="110">
        <v>25</v>
      </c>
      <c r="N399" s="137">
        <f t="shared" si="106"/>
        <v>0.7142857142857143</v>
      </c>
    </row>
    <row r="400" spans="1:14" ht="12.75" customHeight="1" x14ac:dyDescent="0.25">
      <c r="A400" s="273">
        <v>5328</v>
      </c>
      <c r="B400" s="488">
        <v>482000</v>
      </c>
      <c r="C400" s="82" t="s">
        <v>357</v>
      </c>
      <c r="D400" s="256">
        <f>SUM(D401:D403)</f>
        <v>0</v>
      </c>
      <c r="E400" s="100">
        <f>SUM(E401:E403)</f>
        <v>165</v>
      </c>
      <c r="F400" s="100">
        <f>SUM(F401:F403)</f>
        <v>165</v>
      </c>
      <c r="G400" s="100">
        <f t="shared" si="112"/>
        <v>101</v>
      </c>
      <c r="H400" s="100">
        <f t="shared" ref="H400:M400" si="121">SUM(H401:H403)</f>
        <v>0</v>
      </c>
      <c r="I400" s="100">
        <f t="shared" si="121"/>
        <v>0</v>
      </c>
      <c r="J400" s="100">
        <f t="shared" si="121"/>
        <v>0</v>
      </c>
      <c r="K400" s="100">
        <f t="shared" si="121"/>
        <v>0</v>
      </c>
      <c r="L400" s="100">
        <f t="shared" si="121"/>
        <v>0</v>
      </c>
      <c r="M400" s="101">
        <f t="shared" si="121"/>
        <v>101</v>
      </c>
      <c r="N400" s="137">
        <f t="shared" si="106"/>
        <v>0.61212121212121207</v>
      </c>
    </row>
    <row r="401" spans="1:14" ht="12.75" customHeight="1" x14ac:dyDescent="0.25">
      <c r="A401" s="274">
        <v>5329</v>
      </c>
      <c r="B401" s="83">
        <v>482100</v>
      </c>
      <c r="C401" s="84" t="s">
        <v>358</v>
      </c>
      <c r="D401" s="257">
        <v>0</v>
      </c>
      <c r="E401" s="108">
        <v>130</v>
      </c>
      <c r="F401" s="108">
        <f>D401+E401</f>
        <v>130</v>
      </c>
      <c r="G401" s="109">
        <f t="shared" si="112"/>
        <v>101</v>
      </c>
      <c r="H401" s="108"/>
      <c r="I401" s="108"/>
      <c r="J401" s="108"/>
      <c r="K401" s="108"/>
      <c r="L401" s="108"/>
      <c r="M401" s="110">
        <v>101</v>
      </c>
      <c r="N401" s="137">
        <f t="shared" si="106"/>
        <v>0.77692307692307694</v>
      </c>
    </row>
    <row r="402" spans="1:14" ht="12.75" customHeight="1" x14ac:dyDescent="0.25">
      <c r="A402" s="274">
        <v>5330</v>
      </c>
      <c r="B402" s="83">
        <v>482200</v>
      </c>
      <c r="C402" s="84" t="s">
        <v>359</v>
      </c>
      <c r="D402" s="257">
        <v>0</v>
      </c>
      <c r="E402" s="108">
        <v>25</v>
      </c>
      <c r="F402" s="108">
        <f t="shared" ref="F402:F403" si="122">D402+E402</f>
        <v>25</v>
      </c>
      <c r="G402" s="109">
        <f t="shared" si="112"/>
        <v>0</v>
      </c>
      <c r="H402" s="108"/>
      <c r="I402" s="108"/>
      <c r="J402" s="108"/>
      <c r="K402" s="108"/>
      <c r="L402" s="108"/>
      <c r="M402" s="110"/>
      <c r="N402" s="137">
        <f t="shared" si="106"/>
        <v>0</v>
      </c>
    </row>
    <row r="403" spans="1:14" ht="12.75" customHeight="1" x14ac:dyDescent="0.25">
      <c r="A403" s="274">
        <v>5331</v>
      </c>
      <c r="B403" s="83">
        <v>482300</v>
      </c>
      <c r="C403" s="84" t="s">
        <v>360</v>
      </c>
      <c r="D403" s="257">
        <v>0</v>
      </c>
      <c r="E403" s="108">
        <v>10</v>
      </c>
      <c r="F403" s="108">
        <f t="shared" si="122"/>
        <v>10</v>
      </c>
      <c r="G403" s="109">
        <f t="shared" si="112"/>
        <v>0</v>
      </c>
      <c r="H403" s="108"/>
      <c r="I403" s="108"/>
      <c r="J403" s="108"/>
      <c r="K403" s="108"/>
      <c r="L403" s="108"/>
      <c r="M403" s="110"/>
      <c r="N403" s="137">
        <f t="shared" si="106"/>
        <v>0</v>
      </c>
    </row>
    <row r="404" spans="1:14" ht="12.75" customHeight="1" x14ac:dyDescent="0.25">
      <c r="A404" s="273">
        <v>5332</v>
      </c>
      <c r="B404" s="488">
        <v>483000</v>
      </c>
      <c r="C404" s="82" t="s">
        <v>361</v>
      </c>
      <c r="D404" s="256">
        <f>D405</f>
        <v>0</v>
      </c>
      <c r="E404" s="100">
        <f>E405</f>
        <v>100</v>
      </c>
      <c r="F404" s="100">
        <f>F405</f>
        <v>100</v>
      </c>
      <c r="G404" s="100">
        <f t="shared" si="112"/>
        <v>30</v>
      </c>
      <c r="H404" s="100">
        <f t="shared" ref="H404:M404" si="123">H405</f>
        <v>0</v>
      </c>
      <c r="I404" s="100">
        <f t="shared" si="123"/>
        <v>0</v>
      </c>
      <c r="J404" s="100">
        <f t="shared" si="123"/>
        <v>0</v>
      </c>
      <c r="K404" s="100">
        <f t="shared" si="123"/>
        <v>0</v>
      </c>
      <c r="L404" s="100">
        <f t="shared" si="123"/>
        <v>0</v>
      </c>
      <c r="M404" s="101">
        <f t="shared" si="123"/>
        <v>30</v>
      </c>
      <c r="N404" s="137">
        <f t="shared" si="106"/>
        <v>0.3</v>
      </c>
    </row>
    <row r="405" spans="1:14" ht="12.75" customHeight="1" x14ac:dyDescent="0.25">
      <c r="A405" s="274">
        <v>5333</v>
      </c>
      <c r="B405" s="83">
        <v>483100</v>
      </c>
      <c r="C405" s="84" t="s">
        <v>362</v>
      </c>
      <c r="D405" s="257">
        <v>0</v>
      </c>
      <c r="E405" s="108">
        <v>100</v>
      </c>
      <c r="F405" s="108">
        <f>D405+E405</f>
        <v>100</v>
      </c>
      <c r="G405" s="109">
        <f t="shared" si="112"/>
        <v>30</v>
      </c>
      <c r="H405" s="108"/>
      <c r="I405" s="108"/>
      <c r="J405" s="108"/>
      <c r="K405" s="108"/>
      <c r="L405" s="108"/>
      <c r="M405" s="110">
        <v>30</v>
      </c>
      <c r="N405" s="137">
        <f t="shared" si="106"/>
        <v>0.3</v>
      </c>
    </row>
    <row r="406" spans="1:14" ht="12.75" hidden="1" customHeight="1" x14ac:dyDescent="0.25">
      <c r="A406" s="273">
        <v>5334</v>
      </c>
      <c r="B406" s="488">
        <v>484000</v>
      </c>
      <c r="C406" s="82" t="s">
        <v>363</v>
      </c>
      <c r="D406" s="256">
        <f>D407+D408</f>
        <v>0</v>
      </c>
      <c r="E406" s="100">
        <f>E407+E408</f>
        <v>0</v>
      </c>
      <c r="F406" s="100">
        <f>F407+F408</f>
        <v>0</v>
      </c>
      <c r="G406" s="100">
        <f t="shared" si="112"/>
        <v>0</v>
      </c>
      <c r="H406" s="100">
        <f t="shared" ref="H406:M406" si="124">H407+H408</f>
        <v>0</v>
      </c>
      <c r="I406" s="100">
        <f t="shared" si="124"/>
        <v>0</v>
      </c>
      <c r="J406" s="100">
        <f t="shared" si="124"/>
        <v>0</v>
      </c>
      <c r="K406" s="100">
        <f t="shared" si="124"/>
        <v>0</v>
      </c>
      <c r="L406" s="100">
        <f t="shared" si="124"/>
        <v>0</v>
      </c>
      <c r="M406" s="101">
        <f t="shared" si="124"/>
        <v>0</v>
      </c>
      <c r="N406" s="137" t="e">
        <f t="shared" si="106"/>
        <v>#DIV/0!</v>
      </c>
    </row>
    <row r="407" spans="1:14" ht="12.75" hidden="1" customHeight="1" x14ac:dyDescent="0.25">
      <c r="A407" s="274">
        <v>5335</v>
      </c>
      <c r="B407" s="83">
        <v>484100</v>
      </c>
      <c r="C407" s="84" t="s">
        <v>364</v>
      </c>
      <c r="D407" s="257"/>
      <c r="E407" s="108"/>
      <c r="F407" s="108"/>
      <c r="G407" s="109">
        <f t="shared" si="112"/>
        <v>0</v>
      </c>
      <c r="H407" s="108"/>
      <c r="I407" s="108"/>
      <c r="J407" s="108"/>
      <c r="K407" s="108"/>
      <c r="L407" s="108"/>
      <c r="M407" s="110"/>
      <c r="N407" s="137" t="e">
        <f t="shared" si="106"/>
        <v>#DIV/0!</v>
      </c>
    </row>
    <row r="408" spans="1:14" ht="12.75" hidden="1" customHeight="1" x14ac:dyDescent="0.25">
      <c r="A408" s="274">
        <v>5336</v>
      </c>
      <c r="B408" s="83">
        <v>484200</v>
      </c>
      <c r="C408" s="84" t="s">
        <v>365</v>
      </c>
      <c r="D408" s="257"/>
      <c r="E408" s="108"/>
      <c r="F408" s="108"/>
      <c r="G408" s="109">
        <f t="shared" si="112"/>
        <v>0</v>
      </c>
      <c r="H408" s="108"/>
      <c r="I408" s="108"/>
      <c r="J408" s="108"/>
      <c r="K408" s="108"/>
      <c r="L408" s="108"/>
      <c r="M408" s="110"/>
      <c r="N408" s="137" t="e">
        <f t="shared" si="106"/>
        <v>#DIV/0!</v>
      </c>
    </row>
    <row r="409" spans="1:14" ht="12.75" hidden="1" customHeight="1" x14ac:dyDescent="0.25">
      <c r="A409" s="273">
        <v>5337</v>
      </c>
      <c r="B409" s="488">
        <v>485000</v>
      </c>
      <c r="C409" s="82" t="s">
        <v>366</v>
      </c>
      <c r="D409" s="256">
        <f>D410</f>
        <v>0</v>
      </c>
      <c r="E409" s="100">
        <f>E410</f>
        <v>0</v>
      </c>
      <c r="F409" s="100">
        <f>F410</f>
        <v>0</v>
      </c>
      <c r="G409" s="100">
        <f t="shared" si="112"/>
        <v>0</v>
      </c>
      <c r="H409" s="100">
        <f t="shared" ref="H409:M409" si="125">H410</f>
        <v>0</v>
      </c>
      <c r="I409" s="100">
        <f t="shared" si="125"/>
        <v>0</v>
      </c>
      <c r="J409" s="100">
        <f t="shared" si="125"/>
        <v>0</v>
      </c>
      <c r="K409" s="100">
        <f t="shared" si="125"/>
        <v>0</v>
      </c>
      <c r="L409" s="100">
        <f t="shared" si="125"/>
        <v>0</v>
      </c>
      <c r="M409" s="101">
        <f t="shared" si="125"/>
        <v>0</v>
      </c>
      <c r="N409" s="137" t="e">
        <f t="shared" si="106"/>
        <v>#DIV/0!</v>
      </c>
    </row>
    <row r="410" spans="1:14" ht="12.75" hidden="1" customHeight="1" x14ac:dyDescent="0.25">
      <c r="A410" s="274">
        <v>5338</v>
      </c>
      <c r="B410" s="83">
        <v>485100</v>
      </c>
      <c r="C410" s="84" t="s">
        <v>367</v>
      </c>
      <c r="D410" s="257"/>
      <c r="E410" s="108"/>
      <c r="F410" s="108"/>
      <c r="G410" s="109">
        <f t="shared" si="112"/>
        <v>0</v>
      </c>
      <c r="H410" s="108"/>
      <c r="I410" s="108"/>
      <c r="J410" s="108"/>
      <c r="K410" s="108"/>
      <c r="L410" s="108"/>
      <c r="M410" s="110"/>
      <c r="N410" s="137" t="e">
        <f t="shared" si="106"/>
        <v>#DIV/0!</v>
      </c>
    </row>
    <row r="411" spans="1:14" ht="12.75" hidden="1" customHeight="1" x14ac:dyDescent="0.25">
      <c r="A411" s="645" t="s">
        <v>0</v>
      </c>
      <c r="B411" s="646" t="s">
        <v>1</v>
      </c>
      <c r="C411" s="585" t="s">
        <v>2</v>
      </c>
      <c r="D411" s="259" t="s">
        <v>217</v>
      </c>
      <c r="E411" s="585" t="s">
        <v>217</v>
      </c>
      <c r="F411" s="486" t="s">
        <v>217</v>
      </c>
      <c r="G411" s="575" t="s">
        <v>198</v>
      </c>
      <c r="H411" s="589"/>
      <c r="I411" s="589"/>
      <c r="J411" s="589"/>
      <c r="K411" s="589"/>
      <c r="L411" s="589"/>
      <c r="M411" s="592"/>
      <c r="N411" s="137" t="e">
        <f t="shared" si="106"/>
        <v>#VALUE!</v>
      </c>
    </row>
    <row r="412" spans="1:14" ht="12.75" hidden="1" customHeight="1" x14ac:dyDescent="0.25">
      <c r="A412" s="645"/>
      <c r="B412" s="646"/>
      <c r="C412" s="585"/>
      <c r="D412" s="259"/>
      <c r="E412" s="585"/>
      <c r="F412" s="486"/>
      <c r="G412" s="575" t="s">
        <v>199</v>
      </c>
      <c r="H412" s="575" t="s">
        <v>200</v>
      </c>
      <c r="I412" s="589"/>
      <c r="J412" s="589"/>
      <c r="K412" s="589"/>
      <c r="L412" s="575" t="s">
        <v>7</v>
      </c>
      <c r="M412" s="582" t="s">
        <v>8</v>
      </c>
      <c r="N412" s="137" t="e">
        <f t="shared" si="106"/>
        <v>#VALUE!</v>
      </c>
    </row>
    <row r="413" spans="1:14" ht="12.75" hidden="1" customHeight="1" x14ac:dyDescent="0.25">
      <c r="A413" s="645"/>
      <c r="B413" s="646"/>
      <c r="C413" s="585"/>
      <c r="D413" s="259"/>
      <c r="E413" s="585"/>
      <c r="F413" s="486"/>
      <c r="G413" s="589"/>
      <c r="H413" s="487" t="s">
        <v>201</v>
      </c>
      <c r="I413" s="487" t="s">
        <v>10</v>
      </c>
      <c r="J413" s="487" t="s">
        <v>11</v>
      </c>
      <c r="K413" s="487" t="s">
        <v>12</v>
      </c>
      <c r="L413" s="589"/>
      <c r="M413" s="592"/>
      <c r="N413" s="137" t="e">
        <f t="shared" ref="N413:N430" si="126">G413/F413</f>
        <v>#DIV/0!</v>
      </c>
    </row>
    <row r="414" spans="1:14" ht="12.75" hidden="1" customHeight="1" x14ac:dyDescent="0.25">
      <c r="A414" s="275" t="s">
        <v>18</v>
      </c>
      <c r="B414" s="491" t="s">
        <v>19</v>
      </c>
      <c r="C414" s="485" t="s">
        <v>20</v>
      </c>
      <c r="D414" s="259" t="s">
        <v>21</v>
      </c>
      <c r="E414" s="485" t="s">
        <v>21</v>
      </c>
      <c r="F414" s="485" t="s">
        <v>21</v>
      </c>
      <c r="G414" s="485" t="s">
        <v>22</v>
      </c>
      <c r="H414" s="485" t="s">
        <v>23</v>
      </c>
      <c r="I414" s="485" t="s">
        <v>24</v>
      </c>
      <c r="J414" s="485" t="s">
        <v>25</v>
      </c>
      <c r="K414" s="485" t="s">
        <v>26</v>
      </c>
      <c r="L414" s="485" t="s">
        <v>27</v>
      </c>
      <c r="M414" s="99" t="s">
        <v>28</v>
      </c>
      <c r="N414" s="137">
        <f t="shared" si="126"/>
        <v>1.25</v>
      </c>
    </row>
    <row r="415" spans="1:14" ht="12.75" hidden="1" customHeight="1" x14ac:dyDescent="0.25">
      <c r="A415" s="273">
        <v>5339</v>
      </c>
      <c r="B415" s="488">
        <v>489000</v>
      </c>
      <c r="C415" s="82" t="s">
        <v>368</v>
      </c>
      <c r="D415" s="256">
        <f>D416</f>
        <v>0</v>
      </c>
      <c r="E415" s="100">
        <f>E416</f>
        <v>0</v>
      </c>
      <c r="F415" s="100">
        <f>F416</f>
        <v>0</v>
      </c>
      <c r="G415" s="100">
        <f t="shared" si="112"/>
        <v>0</v>
      </c>
      <c r="H415" s="100">
        <f t="shared" ref="H415:M415" si="127">H416</f>
        <v>0</v>
      </c>
      <c r="I415" s="100">
        <f t="shared" si="127"/>
        <v>0</v>
      </c>
      <c r="J415" s="100">
        <f t="shared" si="127"/>
        <v>0</v>
      </c>
      <c r="K415" s="100">
        <f t="shared" si="127"/>
        <v>0</v>
      </c>
      <c r="L415" s="100">
        <f t="shared" si="127"/>
        <v>0</v>
      </c>
      <c r="M415" s="101">
        <f t="shared" si="127"/>
        <v>0</v>
      </c>
      <c r="N415" s="137" t="e">
        <f t="shared" si="126"/>
        <v>#DIV/0!</v>
      </c>
    </row>
    <row r="416" spans="1:14" ht="12.75" hidden="1" customHeight="1" x14ac:dyDescent="0.25">
      <c r="A416" s="274">
        <v>5340</v>
      </c>
      <c r="B416" s="83">
        <v>489100</v>
      </c>
      <c r="C416" s="84" t="s">
        <v>369</v>
      </c>
      <c r="D416" s="257"/>
      <c r="E416" s="108"/>
      <c r="F416" s="108"/>
      <c r="G416" s="109">
        <f t="shared" si="112"/>
        <v>0</v>
      </c>
      <c r="H416" s="108"/>
      <c r="I416" s="108"/>
      <c r="J416" s="108"/>
      <c r="K416" s="108"/>
      <c r="L416" s="108"/>
      <c r="M416" s="110"/>
      <c r="N416" s="137" t="e">
        <f t="shared" si="126"/>
        <v>#DIV/0!</v>
      </c>
    </row>
    <row r="417" spans="1:14" ht="12.75" customHeight="1" x14ac:dyDescent="0.25">
      <c r="A417" s="273">
        <v>5341</v>
      </c>
      <c r="B417" s="488">
        <v>500000</v>
      </c>
      <c r="C417" s="82" t="s">
        <v>370</v>
      </c>
      <c r="D417" s="256">
        <f>D418+D441+D454+D457+D465</f>
        <v>960</v>
      </c>
      <c r="E417" s="100">
        <f>E418+E441+E454+E457+E465</f>
        <v>31901</v>
      </c>
      <c r="F417" s="100">
        <f>F418+F441+F454+F457+F465</f>
        <v>32861</v>
      </c>
      <c r="G417" s="100">
        <f t="shared" si="112"/>
        <v>3473</v>
      </c>
      <c r="H417" s="100">
        <f t="shared" ref="H417:M417" si="128">H418+H441+H454+H457+H465</f>
        <v>2292</v>
      </c>
      <c r="I417" s="100">
        <f t="shared" si="128"/>
        <v>0</v>
      </c>
      <c r="J417" s="100">
        <f t="shared" si="128"/>
        <v>485</v>
      </c>
      <c r="K417" s="100">
        <f t="shared" si="128"/>
        <v>0</v>
      </c>
      <c r="L417" s="100">
        <f t="shared" si="128"/>
        <v>0</v>
      </c>
      <c r="M417" s="101">
        <f t="shared" si="128"/>
        <v>696</v>
      </c>
      <c r="N417" s="137">
        <f t="shared" si="126"/>
        <v>0.10568759319558139</v>
      </c>
    </row>
    <row r="418" spans="1:14" ht="12.75" customHeight="1" x14ac:dyDescent="0.25">
      <c r="A418" s="273">
        <v>5342</v>
      </c>
      <c r="B418" s="488">
        <v>510000</v>
      </c>
      <c r="C418" s="82" t="s">
        <v>371</v>
      </c>
      <c r="D418" s="256">
        <f>D419+D424+D435+D437+D439</f>
        <v>960</v>
      </c>
      <c r="E418" s="100">
        <f>E419+E424+E435+E437+E439</f>
        <v>31901</v>
      </c>
      <c r="F418" s="100">
        <f>F419+F424+F435+F437+F439</f>
        <v>32861</v>
      </c>
      <c r="G418" s="100">
        <f t="shared" si="112"/>
        <v>3473</v>
      </c>
      <c r="H418" s="100">
        <f t="shared" ref="H418:M418" si="129">H419+H424+H435+H437+H439</f>
        <v>2292</v>
      </c>
      <c r="I418" s="100">
        <f t="shared" si="129"/>
        <v>0</v>
      </c>
      <c r="J418" s="100">
        <f t="shared" si="129"/>
        <v>485</v>
      </c>
      <c r="K418" s="100">
        <f t="shared" si="129"/>
        <v>0</v>
      </c>
      <c r="L418" s="100">
        <f t="shared" si="129"/>
        <v>0</v>
      </c>
      <c r="M418" s="101">
        <f t="shared" si="129"/>
        <v>696</v>
      </c>
      <c r="N418" s="137">
        <f t="shared" si="126"/>
        <v>0.10568759319558139</v>
      </c>
    </row>
    <row r="419" spans="1:14" ht="12.75" customHeight="1" x14ac:dyDescent="0.25">
      <c r="A419" s="273">
        <v>5343</v>
      </c>
      <c r="B419" s="488">
        <v>511000</v>
      </c>
      <c r="C419" s="82" t="s">
        <v>372</v>
      </c>
      <c r="D419" s="256">
        <f>SUM(D420:D423)</f>
        <v>0</v>
      </c>
      <c r="E419" s="100">
        <f>SUM(E420:E423)</f>
        <v>5000</v>
      </c>
      <c r="F419" s="100">
        <f>SUM(F420:F423)</f>
        <v>5000</v>
      </c>
      <c r="G419" s="100">
        <f t="shared" si="112"/>
        <v>0</v>
      </c>
      <c r="H419" s="100">
        <f t="shared" ref="H419:M419" si="130">SUM(H420:H423)</f>
        <v>0</v>
      </c>
      <c r="I419" s="100">
        <f t="shared" si="130"/>
        <v>0</v>
      </c>
      <c r="J419" s="100">
        <f t="shared" si="130"/>
        <v>0</v>
      </c>
      <c r="K419" s="100">
        <f t="shared" si="130"/>
        <v>0</v>
      </c>
      <c r="L419" s="100">
        <f t="shared" si="130"/>
        <v>0</v>
      </c>
      <c r="M419" s="101">
        <f t="shared" si="130"/>
        <v>0</v>
      </c>
      <c r="N419" s="137">
        <f t="shared" si="126"/>
        <v>0</v>
      </c>
    </row>
    <row r="420" spans="1:14" ht="12.75" hidden="1" customHeight="1" x14ac:dyDescent="0.25">
      <c r="A420" s="274">
        <v>5344</v>
      </c>
      <c r="B420" s="83">
        <v>511100</v>
      </c>
      <c r="C420" s="84" t="s">
        <v>373</v>
      </c>
      <c r="D420" s="257"/>
      <c r="E420" s="108"/>
      <c r="F420" s="108"/>
      <c r="G420" s="109">
        <f t="shared" si="112"/>
        <v>0</v>
      </c>
      <c r="H420" s="108"/>
      <c r="I420" s="108"/>
      <c r="J420" s="108"/>
      <c r="K420" s="108"/>
      <c r="L420" s="108"/>
      <c r="M420" s="110"/>
      <c r="N420" s="137" t="e">
        <f t="shared" si="126"/>
        <v>#DIV/0!</v>
      </c>
    </row>
    <row r="421" spans="1:14" ht="12.75" hidden="1" customHeight="1" x14ac:dyDescent="0.25">
      <c r="A421" s="274">
        <v>5345</v>
      </c>
      <c r="B421" s="83">
        <v>511200</v>
      </c>
      <c r="C421" s="84" t="s">
        <v>374</v>
      </c>
      <c r="D421" s="257"/>
      <c r="E421" s="108"/>
      <c r="F421" s="108"/>
      <c r="G421" s="109">
        <f t="shared" si="112"/>
        <v>0</v>
      </c>
      <c r="H421" s="108"/>
      <c r="I421" s="108"/>
      <c r="J421" s="108"/>
      <c r="K421" s="108"/>
      <c r="L421" s="108"/>
      <c r="M421" s="110"/>
      <c r="N421" s="137" t="e">
        <f t="shared" si="126"/>
        <v>#DIV/0!</v>
      </c>
    </row>
    <row r="422" spans="1:14" ht="12.75" customHeight="1" x14ac:dyDescent="0.25">
      <c r="A422" s="274">
        <v>5346</v>
      </c>
      <c r="B422" s="83">
        <v>511300</v>
      </c>
      <c r="C422" s="84" t="s">
        <v>375</v>
      </c>
      <c r="D422" s="257">
        <v>0</v>
      </c>
      <c r="E422" s="108">
        <v>5000</v>
      </c>
      <c r="F422" s="108">
        <f>D422+E422</f>
        <v>5000</v>
      </c>
      <c r="G422" s="109">
        <f t="shared" si="112"/>
        <v>0</v>
      </c>
      <c r="H422" s="108"/>
      <c r="I422" s="108"/>
      <c r="J422" s="108"/>
      <c r="K422" s="108"/>
      <c r="L422" s="108"/>
      <c r="M422" s="110"/>
      <c r="N422" s="137">
        <f t="shared" si="126"/>
        <v>0</v>
      </c>
    </row>
    <row r="423" spans="1:14" ht="12.75" hidden="1" customHeight="1" x14ac:dyDescent="0.25">
      <c r="A423" s="274">
        <v>5347</v>
      </c>
      <c r="B423" s="83">
        <v>511400</v>
      </c>
      <c r="C423" s="84" t="s">
        <v>376</v>
      </c>
      <c r="D423" s="257"/>
      <c r="E423" s="108"/>
      <c r="F423" s="108"/>
      <c r="G423" s="109">
        <f t="shared" si="112"/>
        <v>0</v>
      </c>
      <c r="H423" s="108"/>
      <c r="I423" s="108"/>
      <c r="J423" s="108"/>
      <c r="K423" s="108"/>
      <c r="L423" s="108"/>
      <c r="M423" s="110"/>
      <c r="N423" s="137" t="e">
        <f t="shared" si="126"/>
        <v>#DIV/0!</v>
      </c>
    </row>
    <row r="424" spans="1:14" ht="12.75" customHeight="1" x14ac:dyDescent="0.25">
      <c r="A424" s="273">
        <v>5348</v>
      </c>
      <c r="B424" s="488">
        <v>512000</v>
      </c>
      <c r="C424" s="82" t="s">
        <v>377</v>
      </c>
      <c r="D424" s="256">
        <f>SUM(D425:D434)</f>
        <v>960</v>
      </c>
      <c r="E424" s="100">
        <f>SUM(E425:E434)</f>
        <v>26901</v>
      </c>
      <c r="F424" s="100">
        <f>SUM(F425:F434)</f>
        <v>27861</v>
      </c>
      <c r="G424" s="100">
        <f t="shared" si="112"/>
        <v>3473</v>
      </c>
      <c r="H424" s="100">
        <f t="shared" ref="H424:M424" si="131">SUM(H425:H434)</f>
        <v>2292</v>
      </c>
      <c r="I424" s="100">
        <f t="shared" si="131"/>
        <v>0</v>
      </c>
      <c r="J424" s="100">
        <f t="shared" si="131"/>
        <v>485</v>
      </c>
      <c r="K424" s="100">
        <f t="shared" si="131"/>
        <v>0</v>
      </c>
      <c r="L424" s="100">
        <f t="shared" si="131"/>
        <v>0</v>
      </c>
      <c r="M424" s="101">
        <f t="shared" si="131"/>
        <v>696</v>
      </c>
      <c r="N424" s="137">
        <f t="shared" si="126"/>
        <v>0.12465453501310075</v>
      </c>
    </row>
    <row r="425" spans="1:14" ht="12.75" hidden="1" customHeight="1" x14ac:dyDescent="0.25">
      <c r="A425" s="274">
        <v>5349</v>
      </c>
      <c r="B425" s="83">
        <v>512100</v>
      </c>
      <c r="C425" s="84" t="s">
        <v>378</v>
      </c>
      <c r="D425" s="257"/>
      <c r="E425" s="108"/>
      <c r="F425" s="108"/>
      <c r="G425" s="100">
        <f t="shared" si="112"/>
        <v>0</v>
      </c>
      <c r="H425" s="108"/>
      <c r="I425" s="108"/>
      <c r="J425" s="108"/>
      <c r="K425" s="108"/>
      <c r="L425" s="108"/>
      <c r="M425" s="110"/>
      <c r="N425" s="137" t="e">
        <f t="shared" si="126"/>
        <v>#DIV/0!</v>
      </c>
    </row>
    <row r="426" spans="1:14" ht="12.75" hidden="1" customHeight="1" x14ac:dyDescent="0.25">
      <c r="A426" s="274">
        <v>5349</v>
      </c>
      <c r="B426" s="83">
        <v>512100</v>
      </c>
      <c r="C426" s="84" t="s">
        <v>378</v>
      </c>
      <c r="D426" s="257">
        <v>0</v>
      </c>
      <c r="E426" s="108"/>
      <c r="F426" s="108">
        <f>D426+E426</f>
        <v>0</v>
      </c>
      <c r="G426" s="109">
        <f t="shared" si="112"/>
        <v>0</v>
      </c>
      <c r="H426" s="108"/>
      <c r="I426" s="108"/>
      <c r="J426" s="108"/>
      <c r="K426" s="108"/>
      <c r="L426" s="108"/>
      <c r="M426" s="110"/>
      <c r="N426" s="137" t="e">
        <f t="shared" si="126"/>
        <v>#DIV/0!</v>
      </c>
    </row>
    <row r="427" spans="1:14" ht="12.75" customHeight="1" x14ac:dyDescent="0.25">
      <c r="A427" s="274">
        <v>5350</v>
      </c>
      <c r="B427" s="83">
        <v>512200</v>
      </c>
      <c r="C427" s="84" t="s">
        <v>379</v>
      </c>
      <c r="D427" s="257">
        <v>0</v>
      </c>
      <c r="E427" s="108">
        <v>5590</v>
      </c>
      <c r="F427" s="108">
        <f t="shared" ref="F427:F430" si="132">D427+E427</f>
        <v>5590</v>
      </c>
      <c r="G427" s="109">
        <f t="shared" si="112"/>
        <v>225</v>
      </c>
      <c r="H427" s="108"/>
      <c r="I427" s="108"/>
      <c r="J427" s="108"/>
      <c r="K427" s="108"/>
      <c r="L427" s="108"/>
      <c r="M427" s="110">
        <v>225</v>
      </c>
      <c r="N427" s="137">
        <f t="shared" si="126"/>
        <v>4.0250447227191413E-2</v>
      </c>
    </row>
    <row r="428" spans="1:14" ht="12.75" hidden="1" customHeight="1" x14ac:dyDescent="0.25">
      <c r="A428" s="274">
        <v>5351</v>
      </c>
      <c r="B428" s="83">
        <v>512300</v>
      </c>
      <c r="C428" s="84" t="s">
        <v>380</v>
      </c>
      <c r="D428" s="257"/>
      <c r="E428" s="108"/>
      <c r="F428" s="108">
        <f t="shared" si="132"/>
        <v>0</v>
      </c>
      <c r="G428" s="109">
        <f t="shared" si="112"/>
        <v>0</v>
      </c>
      <c r="H428" s="108"/>
      <c r="I428" s="108"/>
      <c r="J428" s="108"/>
      <c r="K428" s="108"/>
      <c r="L428" s="108"/>
      <c r="M428" s="110"/>
      <c r="N428" s="137" t="e">
        <f t="shared" si="126"/>
        <v>#DIV/0!</v>
      </c>
    </row>
    <row r="429" spans="1:14" ht="12.75" hidden="1" customHeight="1" x14ac:dyDescent="0.25">
      <c r="A429" s="274">
        <v>5352</v>
      </c>
      <c r="B429" s="83">
        <v>512400</v>
      </c>
      <c r="C429" s="84" t="s">
        <v>381</v>
      </c>
      <c r="D429" s="257"/>
      <c r="E429" s="108"/>
      <c r="F429" s="108">
        <f t="shared" si="132"/>
        <v>0</v>
      </c>
      <c r="G429" s="109">
        <f t="shared" si="112"/>
        <v>0</v>
      </c>
      <c r="H429" s="108"/>
      <c r="I429" s="108"/>
      <c r="J429" s="108"/>
      <c r="K429" s="108"/>
      <c r="L429" s="108"/>
      <c r="M429" s="110"/>
      <c r="N429" s="137" t="e">
        <f t="shared" si="126"/>
        <v>#DIV/0!</v>
      </c>
    </row>
    <row r="430" spans="1:14" ht="12.75" customHeight="1" x14ac:dyDescent="0.25">
      <c r="A430" s="274">
        <v>5353</v>
      </c>
      <c r="B430" s="83">
        <v>512500</v>
      </c>
      <c r="C430" s="84" t="s">
        <v>382</v>
      </c>
      <c r="D430" s="257">
        <f>485+220+255</f>
        <v>960</v>
      </c>
      <c r="E430" s="108">
        <v>21311</v>
      </c>
      <c r="F430" s="108">
        <f t="shared" si="132"/>
        <v>22271</v>
      </c>
      <c r="G430" s="109">
        <f t="shared" si="112"/>
        <v>3248</v>
      </c>
      <c r="H430" s="108">
        <v>2292</v>
      </c>
      <c r="I430" s="108"/>
      <c r="J430" s="108">
        <v>485</v>
      </c>
      <c r="K430" s="108"/>
      <c r="L430" s="108"/>
      <c r="M430" s="110">
        <v>471</v>
      </c>
      <c r="N430" s="137">
        <f t="shared" si="126"/>
        <v>0.14583988146019486</v>
      </c>
    </row>
    <row r="431" spans="1:14" ht="12.75" hidden="1" customHeight="1" x14ac:dyDescent="0.25">
      <c r="A431" s="274">
        <v>5354</v>
      </c>
      <c r="B431" s="83">
        <v>512600</v>
      </c>
      <c r="C431" s="84" t="s">
        <v>383</v>
      </c>
      <c r="D431" s="257"/>
      <c r="E431" s="108"/>
      <c r="F431" s="108"/>
      <c r="G431" s="109">
        <f t="shared" si="112"/>
        <v>0</v>
      </c>
      <c r="H431" s="108"/>
      <c r="I431" s="108"/>
      <c r="J431" s="108"/>
      <c r="K431" s="108"/>
      <c r="L431" s="108"/>
      <c r="M431" s="110"/>
      <c r="N431" s="137" t="e">
        <f>G431/F431</f>
        <v>#DIV/0!</v>
      </c>
    </row>
    <row r="432" spans="1:14" ht="12.75" hidden="1" customHeight="1" x14ac:dyDescent="0.25">
      <c r="A432" s="274">
        <v>5355</v>
      </c>
      <c r="B432" s="83">
        <v>512700</v>
      </c>
      <c r="C432" s="84" t="s">
        <v>384</v>
      </c>
      <c r="D432" s="257"/>
      <c r="E432" s="108"/>
      <c r="F432" s="108"/>
      <c r="G432" s="109">
        <f t="shared" si="112"/>
        <v>0</v>
      </c>
      <c r="H432" s="108"/>
      <c r="I432" s="108"/>
      <c r="J432" s="108"/>
      <c r="K432" s="108"/>
      <c r="L432" s="108"/>
      <c r="M432" s="110"/>
      <c r="N432" s="137" t="e">
        <f t="shared" ref="N432:N495" si="133">G432/F432</f>
        <v>#DIV/0!</v>
      </c>
    </row>
    <row r="433" spans="1:14" ht="12.75" hidden="1" customHeight="1" x14ac:dyDescent="0.25">
      <c r="A433" s="274">
        <v>5356</v>
      </c>
      <c r="B433" s="83">
        <v>512800</v>
      </c>
      <c r="C433" s="84" t="s">
        <v>385</v>
      </c>
      <c r="D433" s="257"/>
      <c r="E433" s="108"/>
      <c r="F433" s="108"/>
      <c r="G433" s="109">
        <f t="shared" si="112"/>
        <v>0</v>
      </c>
      <c r="H433" s="108"/>
      <c r="I433" s="108"/>
      <c r="J433" s="108"/>
      <c r="K433" s="108"/>
      <c r="L433" s="108"/>
      <c r="M433" s="110"/>
      <c r="N433" s="137" t="e">
        <f t="shared" si="133"/>
        <v>#DIV/0!</v>
      </c>
    </row>
    <row r="434" spans="1:14" ht="12.75" hidden="1" customHeight="1" x14ac:dyDescent="0.25">
      <c r="A434" s="274">
        <v>5357</v>
      </c>
      <c r="B434" s="83">
        <v>512900</v>
      </c>
      <c r="C434" s="84" t="s">
        <v>386</v>
      </c>
      <c r="D434" s="257"/>
      <c r="E434" s="108"/>
      <c r="F434" s="108"/>
      <c r="G434" s="109">
        <f t="shared" si="112"/>
        <v>0</v>
      </c>
      <c r="H434" s="108"/>
      <c r="I434" s="108"/>
      <c r="J434" s="108"/>
      <c r="K434" s="108"/>
      <c r="L434" s="108"/>
      <c r="M434" s="110"/>
      <c r="N434" s="137" t="e">
        <f t="shared" si="133"/>
        <v>#DIV/0!</v>
      </c>
    </row>
    <row r="435" spans="1:14" ht="12.75" hidden="1" customHeight="1" x14ac:dyDescent="0.25">
      <c r="A435" s="273">
        <v>5358</v>
      </c>
      <c r="B435" s="488">
        <v>513000</v>
      </c>
      <c r="C435" s="82" t="s">
        <v>387</v>
      </c>
      <c r="D435" s="256">
        <f>D436</f>
        <v>0</v>
      </c>
      <c r="E435" s="100">
        <f>E436</f>
        <v>0</v>
      </c>
      <c r="F435" s="100">
        <f>F436</f>
        <v>0</v>
      </c>
      <c r="G435" s="100">
        <f t="shared" si="112"/>
        <v>0</v>
      </c>
      <c r="H435" s="100">
        <f t="shared" ref="H435:M435" si="134">H436</f>
        <v>0</v>
      </c>
      <c r="I435" s="100">
        <f t="shared" si="134"/>
        <v>0</v>
      </c>
      <c r="J435" s="100">
        <f t="shared" si="134"/>
        <v>0</v>
      </c>
      <c r="K435" s="100">
        <f t="shared" si="134"/>
        <v>0</v>
      </c>
      <c r="L435" s="100">
        <f t="shared" si="134"/>
        <v>0</v>
      </c>
      <c r="M435" s="101">
        <f t="shared" si="134"/>
        <v>0</v>
      </c>
      <c r="N435" s="137" t="e">
        <f t="shared" si="133"/>
        <v>#DIV/0!</v>
      </c>
    </row>
    <row r="436" spans="1:14" ht="12.75" hidden="1" customHeight="1" x14ac:dyDescent="0.25">
      <c r="A436" s="274">
        <v>5359</v>
      </c>
      <c r="B436" s="83">
        <v>513100</v>
      </c>
      <c r="C436" s="84" t="s">
        <v>388</v>
      </c>
      <c r="D436" s="257"/>
      <c r="E436" s="108"/>
      <c r="F436" s="108"/>
      <c r="G436" s="109">
        <f t="shared" si="112"/>
        <v>0</v>
      </c>
      <c r="H436" s="108"/>
      <c r="I436" s="108"/>
      <c r="J436" s="108"/>
      <c r="K436" s="108"/>
      <c r="L436" s="108"/>
      <c r="M436" s="110"/>
      <c r="N436" s="137" t="e">
        <f t="shared" si="133"/>
        <v>#DIV/0!</v>
      </c>
    </row>
    <row r="437" spans="1:14" ht="12.75" hidden="1" customHeight="1" x14ac:dyDescent="0.25">
      <c r="A437" s="273">
        <v>5360</v>
      </c>
      <c r="B437" s="488">
        <v>514000</v>
      </c>
      <c r="C437" s="82" t="s">
        <v>389</v>
      </c>
      <c r="D437" s="256">
        <f>D438</f>
        <v>0</v>
      </c>
      <c r="E437" s="100">
        <f>E438</f>
        <v>0</v>
      </c>
      <c r="F437" s="100">
        <f>F438</f>
        <v>0</v>
      </c>
      <c r="G437" s="100">
        <f t="shared" si="112"/>
        <v>0</v>
      </c>
      <c r="H437" s="100">
        <f t="shared" ref="H437:M437" si="135">H438</f>
        <v>0</v>
      </c>
      <c r="I437" s="100">
        <f t="shared" si="135"/>
        <v>0</v>
      </c>
      <c r="J437" s="100">
        <f t="shared" si="135"/>
        <v>0</v>
      </c>
      <c r="K437" s="100">
        <f t="shared" si="135"/>
        <v>0</v>
      </c>
      <c r="L437" s="100">
        <f t="shared" si="135"/>
        <v>0</v>
      </c>
      <c r="M437" s="101">
        <f t="shared" si="135"/>
        <v>0</v>
      </c>
      <c r="N437" s="137" t="e">
        <f t="shared" si="133"/>
        <v>#DIV/0!</v>
      </c>
    </row>
    <row r="438" spans="1:14" ht="12.75" hidden="1" customHeight="1" x14ac:dyDescent="0.25">
      <c r="A438" s="274">
        <v>5361</v>
      </c>
      <c r="B438" s="83">
        <v>514100</v>
      </c>
      <c r="C438" s="84" t="s">
        <v>390</v>
      </c>
      <c r="D438" s="257"/>
      <c r="E438" s="108"/>
      <c r="F438" s="108"/>
      <c r="G438" s="109">
        <f t="shared" si="112"/>
        <v>0</v>
      </c>
      <c r="H438" s="108"/>
      <c r="I438" s="108"/>
      <c r="J438" s="108"/>
      <c r="K438" s="108"/>
      <c r="L438" s="108"/>
      <c r="M438" s="110"/>
      <c r="N438" s="137" t="e">
        <f t="shared" si="133"/>
        <v>#DIV/0!</v>
      </c>
    </row>
    <row r="439" spans="1:14" ht="12.75" hidden="1" customHeight="1" x14ac:dyDescent="0.25">
      <c r="A439" s="273">
        <v>5362</v>
      </c>
      <c r="B439" s="488">
        <v>515000</v>
      </c>
      <c r="C439" s="82" t="s">
        <v>391</v>
      </c>
      <c r="D439" s="256">
        <f>D440</f>
        <v>0</v>
      </c>
      <c r="E439" s="100">
        <f>E440</f>
        <v>0</v>
      </c>
      <c r="F439" s="100">
        <f>F440</f>
        <v>0</v>
      </c>
      <c r="G439" s="100">
        <f t="shared" si="112"/>
        <v>0</v>
      </c>
      <c r="H439" s="100">
        <f t="shared" ref="H439:M439" si="136">H440</f>
        <v>0</v>
      </c>
      <c r="I439" s="100">
        <f t="shared" si="136"/>
        <v>0</v>
      </c>
      <c r="J439" s="100">
        <f t="shared" si="136"/>
        <v>0</v>
      </c>
      <c r="K439" s="100">
        <f t="shared" si="136"/>
        <v>0</v>
      </c>
      <c r="L439" s="100">
        <f t="shared" si="136"/>
        <v>0</v>
      </c>
      <c r="M439" s="101">
        <f t="shared" si="136"/>
        <v>0</v>
      </c>
      <c r="N439" s="137" t="e">
        <f t="shared" si="133"/>
        <v>#DIV/0!</v>
      </c>
    </row>
    <row r="440" spans="1:14" ht="12.75" hidden="1" customHeight="1" x14ac:dyDescent="0.25">
      <c r="A440" s="274">
        <v>5363</v>
      </c>
      <c r="B440" s="83">
        <v>515100</v>
      </c>
      <c r="C440" s="84" t="s">
        <v>392</v>
      </c>
      <c r="D440" s="257"/>
      <c r="E440" s="108"/>
      <c r="F440" s="108">
        <f>D440+E440</f>
        <v>0</v>
      </c>
      <c r="G440" s="109">
        <f t="shared" si="112"/>
        <v>0</v>
      </c>
      <c r="H440" s="108"/>
      <c r="I440" s="108"/>
      <c r="J440" s="108"/>
      <c r="K440" s="108"/>
      <c r="L440" s="108"/>
      <c r="M440" s="110"/>
      <c r="N440" s="137" t="e">
        <f t="shared" si="133"/>
        <v>#DIV/0!</v>
      </c>
    </row>
    <row r="441" spans="1:14" ht="12.75" hidden="1" customHeight="1" x14ac:dyDescent="0.25">
      <c r="A441" s="273">
        <v>5364</v>
      </c>
      <c r="B441" s="488">
        <v>520000</v>
      </c>
      <c r="C441" s="82" t="s">
        <v>393</v>
      </c>
      <c r="D441" s="256">
        <f>D442+D444+D452</f>
        <v>0</v>
      </c>
      <c r="E441" s="100">
        <f>E442+E444+E452</f>
        <v>0</v>
      </c>
      <c r="F441" s="100">
        <f>F442+F444+F452</f>
        <v>0</v>
      </c>
      <c r="G441" s="100">
        <f t="shared" ref="G441:G518" si="137">SUM(H441:M441)</f>
        <v>0</v>
      </c>
      <c r="H441" s="100">
        <f t="shared" ref="H441:M441" si="138">H442+H444+H452</f>
        <v>0</v>
      </c>
      <c r="I441" s="100">
        <f t="shared" si="138"/>
        <v>0</v>
      </c>
      <c r="J441" s="100">
        <f t="shared" si="138"/>
        <v>0</v>
      </c>
      <c r="K441" s="100">
        <f t="shared" si="138"/>
        <v>0</v>
      </c>
      <c r="L441" s="100">
        <f t="shared" si="138"/>
        <v>0</v>
      </c>
      <c r="M441" s="101">
        <f t="shared" si="138"/>
        <v>0</v>
      </c>
      <c r="N441" s="137" t="e">
        <f t="shared" si="133"/>
        <v>#DIV/0!</v>
      </c>
    </row>
    <row r="442" spans="1:14" ht="12.75" hidden="1" customHeight="1" x14ac:dyDescent="0.25">
      <c r="A442" s="273">
        <v>5365</v>
      </c>
      <c r="B442" s="488">
        <v>521000</v>
      </c>
      <c r="C442" s="82" t="s">
        <v>394</v>
      </c>
      <c r="D442" s="256">
        <f>D443</f>
        <v>0</v>
      </c>
      <c r="E442" s="100">
        <f>E443</f>
        <v>0</v>
      </c>
      <c r="F442" s="100">
        <f>F443</f>
        <v>0</v>
      </c>
      <c r="G442" s="100">
        <f t="shared" si="137"/>
        <v>0</v>
      </c>
      <c r="H442" s="100">
        <f t="shared" ref="H442:M442" si="139">H443</f>
        <v>0</v>
      </c>
      <c r="I442" s="100">
        <f t="shared" si="139"/>
        <v>0</v>
      </c>
      <c r="J442" s="100">
        <f t="shared" si="139"/>
        <v>0</v>
      </c>
      <c r="K442" s="100">
        <f t="shared" si="139"/>
        <v>0</v>
      </c>
      <c r="L442" s="100">
        <f t="shared" si="139"/>
        <v>0</v>
      </c>
      <c r="M442" s="101">
        <f t="shared" si="139"/>
        <v>0</v>
      </c>
      <c r="N442" s="137" t="e">
        <f t="shared" si="133"/>
        <v>#DIV/0!</v>
      </c>
    </row>
    <row r="443" spans="1:14" ht="12.75" hidden="1" customHeight="1" x14ac:dyDescent="0.25">
      <c r="A443" s="274">
        <v>5366</v>
      </c>
      <c r="B443" s="83">
        <v>521100</v>
      </c>
      <c r="C443" s="84" t="s">
        <v>395</v>
      </c>
      <c r="D443" s="257"/>
      <c r="E443" s="108"/>
      <c r="F443" s="108"/>
      <c r="G443" s="109">
        <f t="shared" si="137"/>
        <v>0</v>
      </c>
      <c r="H443" s="108"/>
      <c r="I443" s="108"/>
      <c r="J443" s="108"/>
      <c r="K443" s="108"/>
      <c r="L443" s="108"/>
      <c r="M443" s="110"/>
      <c r="N443" s="137" t="e">
        <f t="shared" si="133"/>
        <v>#DIV/0!</v>
      </c>
    </row>
    <row r="444" spans="1:14" ht="12.75" hidden="1" customHeight="1" x14ac:dyDescent="0.25">
      <c r="A444" s="273">
        <v>5367</v>
      </c>
      <c r="B444" s="488">
        <v>522000</v>
      </c>
      <c r="C444" s="82" t="s">
        <v>396</v>
      </c>
      <c r="D444" s="256">
        <f>SUM(D445:D451)</f>
        <v>0</v>
      </c>
      <c r="E444" s="100">
        <f>SUM(E445:E451)</f>
        <v>0</v>
      </c>
      <c r="F444" s="100">
        <f>SUM(F445:F451)</f>
        <v>0</v>
      </c>
      <c r="G444" s="100">
        <f t="shared" si="137"/>
        <v>0</v>
      </c>
      <c r="H444" s="100">
        <f t="shared" ref="H444:M444" si="140">SUM(H445:H451)</f>
        <v>0</v>
      </c>
      <c r="I444" s="100">
        <f t="shared" si="140"/>
        <v>0</v>
      </c>
      <c r="J444" s="100">
        <f t="shared" si="140"/>
        <v>0</v>
      </c>
      <c r="K444" s="100">
        <f t="shared" si="140"/>
        <v>0</v>
      </c>
      <c r="L444" s="100">
        <f t="shared" si="140"/>
        <v>0</v>
      </c>
      <c r="M444" s="101">
        <f t="shared" si="140"/>
        <v>0</v>
      </c>
      <c r="N444" s="137" t="e">
        <f t="shared" si="133"/>
        <v>#DIV/0!</v>
      </c>
    </row>
    <row r="445" spans="1:14" ht="12.75" hidden="1" customHeight="1" x14ac:dyDescent="0.25">
      <c r="A445" s="274">
        <v>5368</v>
      </c>
      <c r="B445" s="83">
        <v>522100</v>
      </c>
      <c r="C445" s="84" t="s">
        <v>397</v>
      </c>
      <c r="D445" s="257"/>
      <c r="E445" s="108"/>
      <c r="F445" s="108"/>
      <c r="G445" s="109">
        <f t="shared" si="137"/>
        <v>0</v>
      </c>
      <c r="H445" s="108"/>
      <c r="I445" s="108"/>
      <c r="J445" s="108"/>
      <c r="K445" s="108"/>
      <c r="L445" s="108"/>
      <c r="M445" s="110"/>
      <c r="N445" s="137" t="e">
        <f t="shared" si="133"/>
        <v>#DIV/0!</v>
      </c>
    </row>
    <row r="446" spans="1:14" ht="12.75" hidden="1" customHeight="1" x14ac:dyDescent="0.25">
      <c r="A446" s="645" t="s">
        <v>0</v>
      </c>
      <c r="B446" s="646" t="s">
        <v>1</v>
      </c>
      <c r="C446" s="585" t="s">
        <v>2</v>
      </c>
      <c r="D446" s="259" t="s">
        <v>217</v>
      </c>
      <c r="E446" s="585" t="s">
        <v>217</v>
      </c>
      <c r="F446" s="486" t="s">
        <v>217</v>
      </c>
      <c r="G446" s="575" t="s">
        <v>198</v>
      </c>
      <c r="H446" s="589"/>
      <c r="I446" s="589"/>
      <c r="J446" s="589"/>
      <c r="K446" s="589"/>
      <c r="L446" s="589"/>
      <c r="M446" s="592"/>
      <c r="N446" s="137" t="e">
        <f t="shared" si="133"/>
        <v>#VALUE!</v>
      </c>
    </row>
    <row r="447" spans="1:14" ht="12.75" hidden="1" customHeight="1" x14ac:dyDescent="0.25">
      <c r="A447" s="645"/>
      <c r="B447" s="646"/>
      <c r="C447" s="585"/>
      <c r="D447" s="259"/>
      <c r="E447" s="585"/>
      <c r="F447" s="486"/>
      <c r="G447" s="575" t="s">
        <v>199</v>
      </c>
      <c r="H447" s="575" t="s">
        <v>200</v>
      </c>
      <c r="I447" s="589"/>
      <c r="J447" s="589"/>
      <c r="K447" s="589"/>
      <c r="L447" s="575" t="s">
        <v>7</v>
      </c>
      <c r="M447" s="582" t="s">
        <v>8</v>
      </c>
      <c r="N447" s="137" t="e">
        <f t="shared" si="133"/>
        <v>#VALUE!</v>
      </c>
    </row>
    <row r="448" spans="1:14" ht="12.75" hidden="1" customHeight="1" x14ac:dyDescent="0.25">
      <c r="A448" s="645"/>
      <c r="B448" s="646"/>
      <c r="C448" s="585"/>
      <c r="D448" s="259"/>
      <c r="E448" s="585"/>
      <c r="F448" s="486"/>
      <c r="G448" s="589"/>
      <c r="H448" s="487" t="s">
        <v>201</v>
      </c>
      <c r="I448" s="487" t="s">
        <v>10</v>
      </c>
      <c r="J448" s="487" t="s">
        <v>11</v>
      </c>
      <c r="K448" s="487" t="s">
        <v>12</v>
      </c>
      <c r="L448" s="589"/>
      <c r="M448" s="592"/>
      <c r="N448" s="137" t="e">
        <f t="shared" si="133"/>
        <v>#DIV/0!</v>
      </c>
    </row>
    <row r="449" spans="1:14" ht="12.75" hidden="1" customHeight="1" x14ac:dyDescent="0.25">
      <c r="A449" s="275" t="s">
        <v>18</v>
      </c>
      <c r="B449" s="491" t="s">
        <v>19</v>
      </c>
      <c r="C449" s="485" t="s">
        <v>20</v>
      </c>
      <c r="D449" s="259" t="s">
        <v>21</v>
      </c>
      <c r="E449" s="485" t="s">
        <v>21</v>
      </c>
      <c r="F449" s="485" t="s">
        <v>21</v>
      </c>
      <c r="G449" s="485" t="s">
        <v>22</v>
      </c>
      <c r="H449" s="485" t="s">
        <v>23</v>
      </c>
      <c r="I449" s="485" t="s">
        <v>24</v>
      </c>
      <c r="J449" s="485" t="s">
        <v>25</v>
      </c>
      <c r="K449" s="485" t="s">
        <v>26</v>
      </c>
      <c r="L449" s="485" t="s">
        <v>27</v>
      </c>
      <c r="M449" s="99" t="s">
        <v>28</v>
      </c>
      <c r="N449" s="137">
        <f t="shared" si="133"/>
        <v>1.25</v>
      </c>
    </row>
    <row r="450" spans="1:14" ht="12.75" hidden="1" customHeight="1" x14ac:dyDescent="0.25">
      <c r="A450" s="274">
        <v>5369</v>
      </c>
      <c r="B450" s="83">
        <v>522200</v>
      </c>
      <c r="C450" s="84" t="s">
        <v>398</v>
      </c>
      <c r="D450" s="257"/>
      <c r="E450" s="108"/>
      <c r="F450" s="108"/>
      <c r="G450" s="109">
        <f t="shared" si="137"/>
        <v>0</v>
      </c>
      <c r="H450" s="108"/>
      <c r="I450" s="108"/>
      <c r="J450" s="108"/>
      <c r="K450" s="108"/>
      <c r="L450" s="108"/>
      <c r="M450" s="110"/>
      <c r="N450" s="137" t="e">
        <f t="shared" si="133"/>
        <v>#DIV/0!</v>
      </c>
    </row>
    <row r="451" spans="1:14" ht="12.75" hidden="1" customHeight="1" x14ac:dyDescent="0.25">
      <c r="A451" s="274">
        <v>5370</v>
      </c>
      <c r="B451" s="83">
        <v>522300</v>
      </c>
      <c r="C451" s="84" t="s">
        <v>399</v>
      </c>
      <c r="D451" s="257"/>
      <c r="E451" s="108"/>
      <c r="F451" s="108"/>
      <c r="G451" s="109">
        <f t="shared" si="137"/>
        <v>0</v>
      </c>
      <c r="H451" s="108"/>
      <c r="I451" s="108"/>
      <c r="J451" s="108"/>
      <c r="K451" s="108"/>
      <c r="L451" s="108"/>
      <c r="M451" s="110"/>
      <c r="N451" s="137" t="e">
        <f t="shared" si="133"/>
        <v>#DIV/0!</v>
      </c>
    </row>
    <row r="452" spans="1:14" ht="12.75" hidden="1" customHeight="1" x14ac:dyDescent="0.25">
      <c r="A452" s="273">
        <v>5371</v>
      </c>
      <c r="B452" s="488">
        <v>523000</v>
      </c>
      <c r="C452" s="82" t="s">
        <v>400</v>
      </c>
      <c r="D452" s="256">
        <f>D453</f>
        <v>0</v>
      </c>
      <c r="E452" s="100">
        <f>E453</f>
        <v>0</v>
      </c>
      <c r="F452" s="100">
        <f>F453</f>
        <v>0</v>
      </c>
      <c r="G452" s="100">
        <f t="shared" si="137"/>
        <v>0</v>
      </c>
      <c r="H452" s="100">
        <f t="shared" ref="H452:M452" si="141">H453</f>
        <v>0</v>
      </c>
      <c r="I452" s="100">
        <f t="shared" si="141"/>
        <v>0</v>
      </c>
      <c r="J452" s="100">
        <f t="shared" si="141"/>
        <v>0</v>
      </c>
      <c r="K452" s="100">
        <f t="shared" si="141"/>
        <v>0</v>
      </c>
      <c r="L452" s="100">
        <f t="shared" si="141"/>
        <v>0</v>
      </c>
      <c r="M452" s="101">
        <f t="shared" si="141"/>
        <v>0</v>
      </c>
      <c r="N452" s="137" t="e">
        <f t="shared" si="133"/>
        <v>#DIV/0!</v>
      </c>
    </row>
    <row r="453" spans="1:14" ht="12.75" hidden="1" customHeight="1" x14ac:dyDescent="0.25">
      <c r="A453" s="274">
        <v>5372</v>
      </c>
      <c r="B453" s="83">
        <v>523100</v>
      </c>
      <c r="C453" s="84" t="s">
        <v>401</v>
      </c>
      <c r="D453" s="257"/>
      <c r="E453" s="108"/>
      <c r="F453" s="108"/>
      <c r="G453" s="109">
        <f t="shared" si="137"/>
        <v>0</v>
      </c>
      <c r="H453" s="108"/>
      <c r="I453" s="108"/>
      <c r="J453" s="108"/>
      <c r="K453" s="108"/>
      <c r="L453" s="108"/>
      <c r="M453" s="110"/>
      <c r="N453" s="137" t="e">
        <f t="shared" si="133"/>
        <v>#DIV/0!</v>
      </c>
    </row>
    <row r="454" spans="1:14" ht="12.75" hidden="1" customHeight="1" x14ac:dyDescent="0.25">
      <c r="A454" s="273">
        <v>5373</v>
      </c>
      <c r="B454" s="488">
        <v>530000</v>
      </c>
      <c r="C454" s="82" t="s">
        <v>402</v>
      </c>
      <c r="D454" s="256">
        <f t="shared" ref="D454:F455" si="142">D455</f>
        <v>0</v>
      </c>
      <c r="E454" s="100">
        <f t="shared" si="142"/>
        <v>0</v>
      </c>
      <c r="F454" s="100">
        <f t="shared" si="142"/>
        <v>0</v>
      </c>
      <c r="G454" s="100">
        <f t="shared" si="137"/>
        <v>0</v>
      </c>
      <c r="H454" s="100">
        <f t="shared" ref="H454:M455" si="143">H455</f>
        <v>0</v>
      </c>
      <c r="I454" s="100">
        <f t="shared" si="143"/>
        <v>0</v>
      </c>
      <c r="J454" s="100">
        <f t="shared" si="143"/>
        <v>0</v>
      </c>
      <c r="K454" s="100">
        <f t="shared" si="143"/>
        <v>0</v>
      </c>
      <c r="L454" s="100">
        <f t="shared" si="143"/>
        <v>0</v>
      </c>
      <c r="M454" s="101">
        <f t="shared" si="143"/>
        <v>0</v>
      </c>
      <c r="N454" s="137" t="e">
        <f t="shared" si="133"/>
        <v>#DIV/0!</v>
      </c>
    </row>
    <row r="455" spans="1:14" ht="12.75" hidden="1" customHeight="1" x14ac:dyDescent="0.25">
      <c r="A455" s="273">
        <v>5374</v>
      </c>
      <c r="B455" s="488">
        <v>531000</v>
      </c>
      <c r="C455" s="82" t="s">
        <v>403</v>
      </c>
      <c r="D455" s="256">
        <f t="shared" si="142"/>
        <v>0</v>
      </c>
      <c r="E455" s="100">
        <f t="shared" si="142"/>
        <v>0</v>
      </c>
      <c r="F455" s="100">
        <f t="shared" si="142"/>
        <v>0</v>
      </c>
      <c r="G455" s="100">
        <f t="shared" si="137"/>
        <v>0</v>
      </c>
      <c r="H455" s="100">
        <f t="shared" si="143"/>
        <v>0</v>
      </c>
      <c r="I455" s="100">
        <f t="shared" si="143"/>
        <v>0</v>
      </c>
      <c r="J455" s="100">
        <f t="shared" si="143"/>
        <v>0</v>
      </c>
      <c r="K455" s="100">
        <f t="shared" si="143"/>
        <v>0</v>
      </c>
      <c r="L455" s="100">
        <f t="shared" si="143"/>
        <v>0</v>
      </c>
      <c r="M455" s="101">
        <f t="shared" si="143"/>
        <v>0</v>
      </c>
      <c r="N455" s="137" t="e">
        <f t="shared" si="133"/>
        <v>#DIV/0!</v>
      </c>
    </row>
    <row r="456" spans="1:14" ht="12.75" hidden="1" customHeight="1" x14ac:dyDescent="0.25">
      <c r="A456" s="274">
        <v>5375</v>
      </c>
      <c r="B456" s="83">
        <v>531100</v>
      </c>
      <c r="C456" s="84" t="s">
        <v>404</v>
      </c>
      <c r="D456" s="257"/>
      <c r="E456" s="108"/>
      <c r="F456" s="108"/>
      <c r="G456" s="109">
        <f t="shared" si="137"/>
        <v>0</v>
      </c>
      <c r="H456" s="108"/>
      <c r="I456" s="108"/>
      <c r="J456" s="108"/>
      <c r="K456" s="108"/>
      <c r="L456" s="108"/>
      <c r="M456" s="110"/>
      <c r="N456" s="137" t="e">
        <f t="shared" si="133"/>
        <v>#DIV/0!</v>
      </c>
    </row>
    <row r="457" spans="1:14" ht="12.75" hidden="1" customHeight="1" x14ac:dyDescent="0.25">
      <c r="A457" s="273">
        <v>5376</v>
      </c>
      <c r="B457" s="488">
        <v>540000</v>
      </c>
      <c r="C457" s="82" t="s">
        <v>405</v>
      </c>
      <c r="D457" s="256">
        <f>D458+D460+D462</f>
        <v>0</v>
      </c>
      <c r="E457" s="100">
        <f>E458+E460+E462</f>
        <v>0</v>
      </c>
      <c r="F457" s="100">
        <f>F458+F460+F462</f>
        <v>0</v>
      </c>
      <c r="G457" s="100">
        <f t="shared" si="137"/>
        <v>0</v>
      </c>
      <c r="H457" s="100">
        <f t="shared" ref="H457:M457" si="144">H458+H460+H462</f>
        <v>0</v>
      </c>
      <c r="I457" s="100">
        <f t="shared" si="144"/>
        <v>0</v>
      </c>
      <c r="J457" s="100">
        <f t="shared" si="144"/>
        <v>0</v>
      </c>
      <c r="K457" s="100">
        <f t="shared" si="144"/>
        <v>0</v>
      </c>
      <c r="L457" s="100">
        <f t="shared" si="144"/>
        <v>0</v>
      </c>
      <c r="M457" s="101">
        <f t="shared" si="144"/>
        <v>0</v>
      </c>
      <c r="N457" s="137" t="e">
        <f t="shared" si="133"/>
        <v>#DIV/0!</v>
      </c>
    </row>
    <row r="458" spans="1:14" ht="12.75" hidden="1" customHeight="1" x14ac:dyDescent="0.25">
      <c r="A458" s="273">
        <v>5377</v>
      </c>
      <c r="B458" s="488">
        <v>541000</v>
      </c>
      <c r="C458" s="82" t="s">
        <v>406</v>
      </c>
      <c r="D458" s="256">
        <f>D459</f>
        <v>0</v>
      </c>
      <c r="E458" s="100">
        <f>E459</f>
        <v>0</v>
      </c>
      <c r="F458" s="100">
        <f>F459</f>
        <v>0</v>
      </c>
      <c r="G458" s="100">
        <f t="shared" si="137"/>
        <v>0</v>
      </c>
      <c r="H458" s="100">
        <f t="shared" ref="H458:M458" si="145">H459</f>
        <v>0</v>
      </c>
      <c r="I458" s="100">
        <f t="shared" si="145"/>
        <v>0</v>
      </c>
      <c r="J458" s="100">
        <f t="shared" si="145"/>
        <v>0</v>
      </c>
      <c r="K458" s="100">
        <f t="shared" si="145"/>
        <v>0</v>
      </c>
      <c r="L458" s="100">
        <f t="shared" si="145"/>
        <v>0</v>
      </c>
      <c r="M458" s="101">
        <f t="shared" si="145"/>
        <v>0</v>
      </c>
      <c r="N458" s="137" t="e">
        <f t="shared" si="133"/>
        <v>#DIV/0!</v>
      </c>
    </row>
    <row r="459" spans="1:14" ht="12.75" hidden="1" customHeight="1" x14ac:dyDescent="0.25">
      <c r="A459" s="274">
        <v>5378</v>
      </c>
      <c r="B459" s="83">
        <v>541100</v>
      </c>
      <c r="C459" s="84" t="s">
        <v>407</v>
      </c>
      <c r="D459" s="257"/>
      <c r="E459" s="108"/>
      <c r="F459" s="108"/>
      <c r="G459" s="109">
        <f t="shared" si="137"/>
        <v>0</v>
      </c>
      <c r="H459" s="108"/>
      <c r="I459" s="108"/>
      <c r="J459" s="108"/>
      <c r="K459" s="108"/>
      <c r="L459" s="108"/>
      <c r="M459" s="110"/>
      <c r="N459" s="137" t="e">
        <f t="shared" si="133"/>
        <v>#DIV/0!</v>
      </c>
    </row>
    <row r="460" spans="1:14" ht="12.75" hidden="1" customHeight="1" x14ac:dyDescent="0.25">
      <c r="A460" s="273">
        <v>5379</v>
      </c>
      <c r="B460" s="488">
        <v>542000</v>
      </c>
      <c r="C460" s="82" t="s">
        <v>408</v>
      </c>
      <c r="D460" s="256">
        <f>D461</f>
        <v>0</v>
      </c>
      <c r="E460" s="100">
        <f>E461</f>
        <v>0</v>
      </c>
      <c r="F460" s="100">
        <f>F461</f>
        <v>0</v>
      </c>
      <c r="G460" s="100">
        <f t="shared" si="137"/>
        <v>0</v>
      </c>
      <c r="H460" s="100">
        <f t="shared" ref="H460:M460" si="146">H461</f>
        <v>0</v>
      </c>
      <c r="I460" s="100">
        <f t="shared" si="146"/>
        <v>0</v>
      </c>
      <c r="J460" s="100">
        <f t="shared" si="146"/>
        <v>0</v>
      </c>
      <c r="K460" s="100">
        <f t="shared" si="146"/>
        <v>0</v>
      </c>
      <c r="L460" s="100">
        <f t="shared" si="146"/>
        <v>0</v>
      </c>
      <c r="M460" s="101">
        <f t="shared" si="146"/>
        <v>0</v>
      </c>
      <c r="N460" s="137" t="e">
        <f t="shared" si="133"/>
        <v>#DIV/0!</v>
      </c>
    </row>
    <row r="461" spans="1:14" ht="12.75" hidden="1" customHeight="1" x14ac:dyDescent="0.25">
      <c r="A461" s="274">
        <v>5380</v>
      </c>
      <c r="B461" s="83">
        <v>542100</v>
      </c>
      <c r="C461" s="84" t="s">
        <v>409</v>
      </c>
      <c r="D461" s="257"/>
      <c r="E461" s="108"/>
      <c r="F461" s="108"/>
      <c r="G461" s="109">
        <f t="shared" si="137"/>
        <v>0</v>
      </c>
      <c r="H461" s="108"/>
      <c r="I461" s="108"/>
      <c r="J461" s="108"/>
      <c r="K461" s="108"/>
      <c r="L461" s="108"/>
      <c r="M461" s="110"/>
      <c r="N461" s="137" t="e">
        <f t="shared" si="133"/>
        <v>#DIV/0!</v>
      </c>
    </row>
    <row r="462" spans="1:14" ht="12.75" hidden="1" customHeight="1" x14ac:dyDescent="0.25">
      <c r="A462" s="273">
        <v>5381</v>
      </c>
      <c r="B462" s="488">
        <v>543000</v>
      </c>
      <c r="C462" s="82" t="s">
        <v>410</v>
      </c>
      <c r="D462" s="256">
        <f>D463+D464</f>
        <v>0</v>
      </c>
      <c r="E462" s="100">
        <f>E463+E464</f>
        <v>0</v>
      </c>
      <c r="F462" s="100">
        <f>F463+F464</f>
        <v>0</v>
      </c>
      <c r="G462" s="100">
        <f t="shared" si="137"/>
        <v>0</v>
      </c>
      <c r="H462" s="100">
        <f t="shared" ref="H462:M462" si="147">H463+H464</f>
        <v>0</v>
      </c>
      <c r="I462" s="100">
        <f t="shared" si="147"/>
        <v>0</v>
      </c>
      <c r="J462" s="100">
        <f t="shared" si="147"/>
        <v>0</v>
      </c>
      <c r="K462" s="100">
        <f t="shared" si="147"/>
        <v>0</v>
      </c>
      <c r="L462" s="100">
        <f t="shared" si="147"/>
        <v>0</v>
      </c>
      <c r="M462" s="101">
        <f t="shared" si="147"/>
        <v>0</v>
      </c>
      <c r="N462" s="137" t="e">
        <f t="shared" si="133"/>
        <v>#DIV/0!</v>
      </c>
    </row>
    <row r="463" spans="1:14" ht="12.75" hidden="1" customHeight="1" x14ac:dyDescent="0.25">
      <c r="A463" s="274">
        <v>5382</v>
      </c>
      <c r="B463" s="83">
        <v>543100</v>
      </c>
      <c r="C463" s="84" t="s">
        <v>411</v>
      </c>
      <c r="D463" s="257"/>
      <c r="E463" s="108"/>
      <c r="F463" s="108"/>
      <c r="G463" s="109">
        <f t="shared" si="137"/>
        <v>0</v>
      </c>
      <c r="H463" s="108"/>
      <c r="I463" s="108"/>
      <c r="J463" s="108"/>
      <c r="K463" s="108"/>
      <c r="L463" s="108"/>
      <c r="M463" s="110"/>
      <c r="N463" s="137" t="e">
        <f t="shared" si="133"/>
        <v>#DIV/0!</v>
      </c>
    </row>
    <row r="464" spans="1:14" ht="12.75" hidden="1" customHeight="1" x14ac:dyDescent="0.25">
      <c r="A464" s="274">
        <v>5383</v>
      </c>
      <c r="B464" s="83">
        <v>543200</v>
      </c>
      <c r="C464" s="84" t="s">
        <v>412</v>
      </c>
      <c r="D464" s="257"/>
      <c r="E464" s="108"/>
      <c r="F464" s="108"/>
      <c r="G464" s="109">
        <f t="shared" si="137"/>
        <v>0</v>
      </c>
      <c r="H464" s="108"/>
      <c r="I464" s="108"/>
      <c r="J464" s="108"/>
      <c r="K464" s="108"/>
      <c r="L464" s="108"/>
      <c r="M464" s="110"/>
      <c r="N464" s="137" t="e">
        <f t="shared" si="133"/>
        <v>#DIV/0!</v>
      </c>
    </row>
    <row r="465" spans="1:14" ht="12.75" hidden="1" customHeight="1" x14ac:dyDescent="0.25">
      <c r="A465" s="273">
        <v>5384</v>
      </c>
      <c r="B465" s="488">
        <v>550000</v>
      </c>
      <c r="C465" s="82" t="s">
        <v>413</v>
      </c>
      <c r="D465" s="256">
        <f t="shared" ref="D465:F466" si="148">D466</f>
        <v>0</v>
      </c>
      <c r="E465" s="100">
        <f t="shared" si="148"/>
        <v>0</v>
      </c>
      <c r="F465" s="100">
        <f t="shared" si="148"/>
        <v>0</v>
      </c>
      <c r="G465" s="100">
        <f t="shared" si="137"/>
        <v>0</v>
      </c>
      <c r="H465" s="100">
        <f t="shared" ref="H465:M466" si="149">H466</f>
        <v>0</v>
      </c>
      <c r="I465" s="100">
        <f t="shared" si="149"/>
        <v>0</v>
      </c>
      <c r="J465" s="100">
        <f t="shared" si="149"/>
        <v>0</v>
      </c>
      <c r="K465" s="100">
        <f t="shared" si="149"/>
        <v>0</v>
      </c>
      <c r="L465" s="100">
        <f t="shared" si="149"/>
        <v>0</v>
      </c>
      <c r="M465" s="101">
        <f t="shared" si="149"/>
        <v>0</v>
      </c>
      <c r="N465" s="137" t="e">
        <f t="shared" si="133"/>
        <v>#DIV/0!</v>
      </c>
    </row>
    <row r="466" spans="1:14" ht="12.75" hidden="1" customHeight="1" x14ac:dyDescent="0.25">
      <c r="A466" s="273">
        <v>5385</v>
      </c>
      <c r="B466" s="488">
        <v>551000</v>
      </c>
      <c r="C466" s="82" t="s">
        <v>414</v>
      </c>
      <c r="D466" s="256">
        <f t="shared" si="148"/>
        <v>0</v>
      </c>
      <c r="E466" s="100">
        <f t="shared" si="148"/>
        <v>0</v>
      </c>
      <c r="F466" s="100">
        <f t="shared" si="148"/>
        <v>0</v>
      </c>
      <c r="G466" s="100">
        <f t="shared" si="137"/>
        <v>0</v>
      </c>
      <c r="H466" s="100">
        <f t="shared" si="149"/>
        <v>0</v>
      </c>
      <c r="I466" s="100">
        <f t="shared" si="149"/>
        <v>0</v>
      </c>
      <c r="J466" s="100">
        <f t="shared" si="149"/>
        <v>0</v>
      </c>
      <c r="K466" s="100">
        <f t="shared" si="149"/>
        <v>0</v>
      </c>
      <c r="L466" s="100">
        <f t="shared" si="149"/>
        <v>0</v>
      </c>
      <c r="M466" s="101">
        <f t="shared" si="149"/>
        <v>0</v>
      </c>
      <c r="N466" s="137" t="e">
        <f t="shared" si="133"/>
        <v>#DIV/0!</v>
      </c>
    </row>
    <row r="467" spans="1:14" ht="12.75" hidden="1" customHeight="1" x14ac:dyDescent="0.25">
      <c r="A467" s="274">
        <v>5386</v>
      </c>
      <c r="B467" s="83">
        <v>551100</v>
      </c>
      <c r="C467" s="84" t="s">
        <v>415</v>
      </c>
      <c r="D467" s="257"/>
      <c r="E467" s="108"/>
      <c r="F467" s="108"/>
      <c r="G467" s="109">
        <f t="shared" si="137"/>
        <v>0</v>
      </c>
      <c r="H467" s="108"/>
      <c r="I467" s="108"/>
      <c r="J467" s="108"/>
      <c r="K467" s="108"/>
      <c r="L467" s="108"/>
      <c r="M467" s="110"/>
      <c r="N467" s="137" t="e">
        <f t="shared" si="133"/>
        <v>#DIV/0!</v>
      </c>
    </row>
    <row r="468" spans="1:14" ht="12.75" hidden="1" customHeight="1" x14ac:dyDescent="0.25">
      <c r="A468" s="273">
        <v>5387</v>
      </c>
      <c r="B468" s="488">
        <v>600000</v>
      </c>
      <c r="C468" s="82" t="s">
        <v>416</v>
      </c>
      <c r="D468" s="256">
        <f>D469+D498</f>
        <v>0</v>
      </c>
      <c r="E468" s="100">
        <f>E469+E498</f>
        <v>0</v>
      </c>
      <c r="F468" s="100">
        <f>F469+F498</f>
        <v>0</v>
      </c>
      <c r="G468" s="100">
        <f t="shared" si="137"/>
        <v>0</v>
      </c>
      <c r="H468" s="100">
        <f t="shared" ref="H468:M468" si="150">H469+H498</f>
        <v>0</v>
      </c>
      <c r="I468" s="100">
        <f t="shared" si="150"/>
        <v>0</v>
      </c>
      <c r="J468" s="100">
        <f t="shared" si="150"/>
        <v>0</v>
      </c>
      <c r="K468" s="100">
        <f t="shared" si="150"/>
        <v>0</v>
      </c>
      <c r="L468" s="100">
        <f t="shared" si="150"/>
        <v>0</v>
      </c>
      <c r="M468" s="101">
        <f t="shared" si="150"/>
        <v>0</v>
      </c>
      <c r="N468" s="137" t="e">
        <f t="shared" si="133"/>
        <v>#DIV/0!</v>
      </c>
    </row>
    <row r="469" spans="1:14" ht="12.75" hidden="1" customHeight="1" x14ac:dyDescent="0.25">
      <c r="A469" s="273">
        <v>5388</v>
      </c>
      <c r="B469" s="488">
        <v>610000</v>
      </c>
      <c r="C469" s="82" t="s">
        <v>417</v>
      </c>
      <c r="D469" s="256">
        <f>D470+D484+D492+D494+D496</f>
        <v>0</v>
      </c>
      <c r="E469" s="100">
        <f>E470+E484+E492+E494+E496</f>
        <v>0</v>
      </c>
      <c r="F469" s="100">
        <f>F470+F484+F492+F494+F496</f>
        <v>0</v>
      </c>
      <c r="G469" s="100">
        <f t="shared" si="137"/>
        <v>0</v>
      </c>
      <c r="H469" s="100">
        <f t="shared" ref="H469:M469" si="151">H470+H484+H492+H494+H496</f>
        <v>0</v>
      </c>
      <c r="I469" s="100">
        <f t="shared" si="151"/>
        <v>0</v>
      </c>
      <c r="J469" s="100">
        <f t="shared" si="151"/>
        <v>0</v>
      </c>
      <c r="K469" s="100">
        <f t="shared" si="151"/>
        <v>0</v>
      </c>
      <c r="L469" s="100">
        <f t="shared" si="151"/>
        <v>0</v>
      </c>
      <c r="M469" s="101">
        <f t="shared" si="151"/>
        <v>0</v>
      </c>
      <c r="N469" s="137" t="e">
        <f t="shared" si="133"/>
        <v>#DIV/0!</v>
      </c>
    </row>
    <row r="470" spans="1:14" ht="12.75" hidden="1" customHeight="1" x14ac:dyDescent="0.25">
      <c r="A470" s="273">
        <v>5389</v>
      </c>
      <c r="B470" s="488">
        <v>611000</v>
      </c>
      <c r="C470" s="82" t="s">
        <v>418</v>
      </c>
      <c r="D470" s="256">
        <f>SUM(D471:D483)</f>
        <v>0</v>
      </c>
      <c r="E470" s="100">
        <f>SUM(E471:E483)</f>
        <v>0</v>
      </c>
      <c r="F470" s="100">
        <f>SUM(F471:F483)</f>
        <v>0</v>
      </c>
      <c r="G470" s="100">
        <f t="shared" si="137"/>
        <v>0</v>
      </c>
      <c r="H470" s="100">
        <f t="shared" ref="H470:M470" si="152">SUM(H471:H483)</f>
        <v>0</v>
      </c>
      <c r="I470" s="100">
        <f t="shared" si="152"/>
        <v>0</v>
      </c>
      <c r="J470" s="100">
        <f t="shared" si="152"/>
        <v>0</v>
      </c>
      <c r="K470" s="100">
        <f t="shared" si="152"/>
        <v>0</v>
      </c>
      <c r="L470" s="100">
        <f t="shared" si="152"/>
        <v>0</v>
      </c>
      <c r="M470" s="101">
        <f t="shared" si="152"/>
        <v>0</v>
      </c>
      <c r="N470" s="137" t="e">
        <f t="shared" si="133"/>
        <v>#DIV/0!</v>
      </c>
    </row>
    <row r="471" spans="1:14" ht="12.75" hidden="1" customHeight="1" x14ac:dyDescent="0.25">
      <c r="A471" s="274">
        <v>5390</v>
      </c>
      <c r="B471" s="83">
        <v>611100</v>
      </c>
      <c r="C471" s="84" t="s">
        <v>419</v>
      </c>
      <c r="D471" s="257"/>
      <c r="E471" s="108"/>
      <c r="F471" s="108"/>
      <c r="G471" s="109">
        <f t="shared" si="137"/>
        <v>0</v>
      </c>
      <c r="H471" s="108"/>
      <c r="I471" s="108"/>
      <c r="J471" s="108"/>
      <c r="K471" s="108"/>
      <c r="L471" s="108"/>
      <c r="M471" s="110"/>
      <c r="N471" s="137" t="e">
        <f t="shared" si="133"/>
        <v>#DIV/0!</v>
      </c>
    </row>
    <row r="472" spans="1:14" ht="12.75" hidden="1" customHeight="1" x14ac:dyDescent="0.25">
      <c r="A472" s="274">
        <v>5391</v>
      </c>
      <c r="B472" s="83">
        <v>611200</v>
      </c>
      <c r="C472" s="84" t="s">
        <v>420</v>
      </c>
      <c r="D472" s="257"/>
      <c r="E472" s="108"/>
      <c r="F472" s="108"/>
      <c r="G472" s="109">
        <f t="shared" si="137"/>
        <v>0</v>
      </c>
      <c r="H472" s="108"/>
      <c r="I472" s="108"/>
      <c r="J472" s="108"/>
      <c r="K472" s="108"/>
      <c r="L472" s="108"/>
      <c r="M472" s="110"/>
      <c r="N472" s="137" t="e">
        <f t="shared" si="133"/>
        <v>#DIV/0!</v>
      </c>
    </row>
    <row r="473" spans="1:14" ht="12.75" hidden="1" customHeight="1" x14ac:dyDescent="0.25">
      <c r="A473" s="274">
        <v>5392</v>
      </c>
      <c r="B473" s="83">
        <v>611300</v>
      </c>
      <c r="C473" s="84" t="s">
        <v>421</v>
      </c>
      <c r="D473" s="257"/>
      <c r="E473" s="108"/>
      <c r="F473" s="108"/>
      <c r="G473" s="109">
        <f t="shared" si="137"/>
        <v>0</v>
      </c>
      <c r="H473" s="108"/>
      <c r="I473" s="108"/>
      <c r="J473" s="108"/>
      <c r="K473" s="108"/>
      <c r="L473" s="108"/>
      <c r="M473" s="110"/>
      <c r="N473" s="137" t="e">
        <f t="shared" si="133"/>
        <v>#DIV/0!</v>
      </c>
    </row>
    <row r="474" spans="1:14" ht="12.75" hidden="1" customHeight="1" x14ac:dyDescent="0.25">
      <c r="A474" s="645" t="s">
        <v>0</v>
      </c>
      <c r="B474" s="646" t="s">
        <v>1</v>
      </c>
      <c r="C474" s="585" t="s">
        <v>2</v>
      </c>
      <c r="D474" s="259" t="s">
        <v>217</v>
      </c>
      <c r="E474" s="585" t="s">
        <v>217</v>
      </c>
      <c r="F474" s="486" t="s">
        <v>217</v>
      </c>
      <c r="G474" s="575" t="s">
        <v>198</v>
      </c>
      <c r="H474" s="589"/>
      <c r="I474" s="589"/>
      <c r="J474" s="589"/>
      <c r="K474" s="589"/>
      <c r="L474" s="589"/>
      <c r="M474" s="592"/>
      <c r="N474" s="137" t="e">
        <f t="shared" si="133"/>
        <v>#VALUE!</v>
      </c>
    </row>
    <row r="475" spans="1:14" ht="12.75" hidden="1" customHeight="1" x14ac:dyDescent="0.25">
      <c r="A475" s="645"/>
      <c r="B475" s="646"/>
      <c r="C475" s="585"/>
      <c r="D475" s="259"/>
      <c r="E475" s="585"/>
      <c r="F475" s="486"/>
      <c r="G475" s="575" t="s">
        <v>199</v>
      </c>
      <c r="H475" s="575" t="s">
        <v>200</v>
      </c>
      <c r="I475" s="589"/>
      <c r="J475" s="589"/>
      <c r="K475" s="589"/>
      <c r="L475" s="575" t="s">
        <v>7</v>
      </c>
      <c r="M475" s="582" t="s">
        <v>8</v>
      </c>
      <c r="N475" s="137" t="e">
        <f t="shared" si="133"/>
        <v>#VALUE!</v>
      </c>
    </row>
    <row r="476" spans="1:14" ht="12.75" hidden="1" customHeight="1" x14ac:dyDescent="0.25">
      <c r="A476" s="645"/>
      <c r="B476" s="646"/>
      <c r="C476" s="585"/>
      <c r="D476" s="259"/>
      <c r="E476" s="585"/>
      <c r="F476" s="486"/>
      <c r="G476" s="589"/>
      <c r="H476" s="487" t="s">
        <v>201</v>
      </c>
      <c r="I476" s="487" t="s">
        <v>10</v>
      </c>
      <c r="J476" s="487" t="s">
        <v>11</v>
      </c>
      <c r="K476" s="487" t="s">
        <v>12</v>
      </c>
      <c r="L476" s="589"/>
      <c r="M476" s="592"/>
      <c r="N476" s="137" t="e">
        <f t="shared" si="133"/>
        <v>#DIV/0!</v>
      </c>
    </row>
    <row r="477" spans="1:14" ht="12.75" hidden="1" customHeight="1" x14ac:dyDescent="0.25">
      <c r="A477" s="275" t="s">
        <v>18</v>
      </c>
      <c r="B477" s="491" t="s">
        <v>19</v>
      </c>
      <c r="C477" s="485" t="s">
        <v>20</v>
      </c>
      <c r="D477" s="259" t="s">
        <v>21</v>
      </c>
      <c r="E477" s="485" t="s">
        <v>21</v>
      </c>
      <c r="F477" s="485" t="s">
        <v>21</v>
      </c>
      <c r="G477" s="485" t="s">
        <v>22</v>
      </c>
      <c r="H477" s="485" t="s">
        <v>23</v>
      </c>
      <c r="I477" s="485" t="s">
        <v>24</v>
      </c>
      <c r="J477" s="485" t="s">
        <v>25</v>
      </c>
      <c r="K477" s="485" t="s">
        <v>26</v>
      </c>
      <c r="L477" s="485" t="s">
        <v>27</v>
      </c>
      <c r="M477" s="99" t="s">
        <v>28</v>
      </c>
      <c r="N477" s="137">
        <f t="shared" si="133"/>
        <v>1.25</v>
      </c>
    </row>
    <row r="478" spans="1:14" ht="12.75" hidden="1" customHeight="1" x14ac:dyDescent="0.25">
      <c r="A478" s="274">
        <v>5393</v>
      </c>
      <c r="B478" s="83">
        <v>611400</v>
      </c>
      <c r="C478" s="84" t="s">
        <v>422</v>
      </c>
      <c r="D478" s="257"/>
      <c r="E478" s="108"/>
      <c r="F478" s="108"/>
      <c r="G478" s="109">
        <f t="shared" si="137"/>
        <v>0</v>
      </c>
      <c r="H478" s="108"/>
      <c r="I478" s="108"/>
      <c r="J478" s="108"/>
      <c r="K478" s="108"/>
      <c r="L478" s="108"/>
      <c r="M478" s="110"/>
      <c r="N478" s="137" t="e">
        <f t="shared" si="133"/>
        <v>#DIV/0!</v>
      </c>
    </row>
    <row r="479" spans="1:14" ht="12.75" hidden="1" customHeight="1" x14ac:dyDescent="0.25">
      <c r="A479" s="274">
        <v>5394</v>
      </c>
      <c r="B479" s="83">
        <v>611500</v>
      </c>
      <c r="C479" s="84" t="s">
        <v>423</v>
      </c>
      <c r="D479" s="257"/>
      <c r="E479" s="108"/>
      <c r="F479" s="108"/>
      <c r="G479" s="109">
        <f t="shared" si="137"/>
        <v>0</v>
      </c>
      <c r="H479" s="108"/>
      <c r="I479" s="108"/>
      <c r="J479" s="108"/>
      <c r="K479" s="108"/>
      <c r="L479" s="108"/>
      <c r="M479" s="110"/>
      <c r="N479" s="137" t="e">
        <f t="shared" si="133"/>
        <v>#DIV/0!</v>
      </c>
    </row>
    <row r="480" spans="1:14" ht="12.75" hidden="1" customHeight="1" x14ac:dyDescent="0.25">
      <c r="A480" s="274">
        <v>5395</v>
      </c>
      <c r="B480" s="83">
        <v>611600</v>
      </c>
      <c r="C480" s="84" t="s">
        <v>424</v>
      </c>
      <c r="D480" s="257"/>
      <c r="E480" s="108"/>
      <c r="F480" s="108"/>
      <c r="G480" s="109">
        <f t="shared" si="137"/>
        <v>0</v>
      </c>
      <c r="H480" s="108"/>
      <c r="I480" s="108"/>
      <c r="J480" s="108"/>
      <c r="K480" s="108"/>
      <c r="L480" s="108"/>
      <c r="M480" s="110"/>
      <c r="N480" s="137" t="e">
        <f t="shared" si="133"/>
        <v>#DIV/0!</v>
      </c>
    </row>
    <row r="481" spans="1:14" ht="12.75" hidden="1" customHeight="1" x14ac:dyDescent="0.25">
      <c r="A481" s="274">
        <v>5396</v>
      </c>
      <c r="B481" s="83">
        <v>611700</v>
      </c>
      <c r="C481" s="84" t="s">
        <v>425</v>
      </c>
      <c r="D481" s="257"/>
      <c r="E481" s="108"/>
      <c r="F481" s="108"/>
      <c r="G481" s="109">
        <f t="shared" si="137"/>
        <v>0</v>
      </c>
      <c r="H481" s="108"/>
      <c r="I481" s="108"/>
      <c r="J481" s="108"/>
      <c r="K481" s="108"/>
      <c r="L481" s="108"/>
      <c r="M481" s="110"/>
      <c r="N481" s="137" t="e">
        <f t="shared" si="133"/>
        <v>#DIV/0!</v>
      </c>
    </row>
    <row r="482" spans="1:14" ht="12.75" hidden="1" customHeight="1" x14ac:dyDescent="0.25">
      <c r="A482" s="274">
        <v>5397</v>
      </c>
      <c r="B482" s="83">
        <v>611800</v>
      </c>
      <c r="C482" s="84" t="s">
        <v>426</v>
      </c>
      <c r="D482" s="257"/>
      <c r="E482" s="108"/>
      <c r="F482" s="108"/>
      <c r="G482" s="109">
        <f t="shared" si="137"/>
        <v>0</v>
      </c>
      <c r="H482" s="108"/>
      <c r="I482" s="108"/>
      <c r="J482" s="108"/>
      <c r="K482" s="108"/>
      <c r="L482" s="108"/>
      <c r="M482" s="110"/>
      <c r="N482" s="137" t="e">
        <f t="shared" si="133"/>
        <v>#DIV/0!</v>
      </c>
    </row>
    <row r="483" spans="1:14" ht="12.75" hidden="1" customHeight="1" x14ac:dyDescent="0.25">
      <c r="A483" s="274">
        <v>5398</v>
      </c>
      <c r="B483" s="83">
        <v>611900</v>
      </c>
      <c r="C483" s="84" t="s">
        <v>165</v>
      </c>
      <c r="D483" s="257"/>
      <c r="E483" s="108"/>
      <c r="F483" s="108"/>
      <c r="G483" s="109">
        <f t="shared" si="137"/>
        <v>0</v>
      </c>
      <c r="H483" s="108"/>
      <c r="I483" s="108"/>
      <c r="J483" s="108"/>
      <c r="K483" s="108"/>
      <c r="L483" s="108"/>
      <c r="M483" s="110"/>
      <c r="N483" s="137" t="e">
        <f t="shared" si="133"/>
        <v>#DIV/0!</v>
      </c>
    </row>
    <row r="484" spans="1:14" ht="12.75" hidden="1" customHeight="1" x14ac:dyDescent="0.25">
      <c r="A484" s="273">
        <v>5399</v>
      </c>
      <c r="B484" s="488">
        <v>612000</v>
      </c>
      <c r="C484" s="82" t="s">
        <v>427</v>
      </c>
      <c r="D484" s="256">
        <f>SUM(D485:D491)</f>
        <v>0</v>
      </c>
      <c r="E484" s="100">
        <f>SUM(E485:E491)</f>
        <v>0</v>
      </c>
      <c r="F484" s="100">
        <f>SUM(F485:F491)</f>
        <v>0</v>
      </c>
      <c r="G484" s="100">
        <f t="shared" si="137"/>
        <v>0</v>
      </c>
      <c r="H484" s="100">
        <f t="shared" ref="H484:M484" si="153">SUM(H485:H491)</f>
        <v>0</v>
      </c>
      <c r="I484" s="100">
        <f t="shared" si="153"/>
        <v>0</v>
      </c>
      <c r="J484" s="100">
        <f t="shared" si="153"/>
        <v>0</v>
      </c>
      <c r="K484" s="100">
        <f t="shared" si="153"/>
        <v>0</v>
      </c>
      <c r="L484" s="100">
        <f t="shared" si="153"/>
        <v>0</v>
      </c>
      <c r="M484" s="101">
        <f t="shared" si="153"/>
        <v>0</v>
      </c>
      <c r="N484" s="137" t="e">
        <f t="shared" si="133"/>
        <v>#DIV/0!</v>
      </c>
    </row>
    <row r="485" spans="1:14" ht="12.75" hidden="1" customHeight="1" x14ac:dyDescent="0.25">
      <c r="A485" s="274">
        <v>5400</v>
      </c>
      <c r="B485" s="83">
        <v>612100</v>
      </c>
      <c r="C485" s="84" t="s">
        <v>428</v>
      </c>
      <c r="D485" s="257"/>
      <c r="E485" s="108"/>
      <c r="F485" s="108"/>
      <c r="G485" s="109">
        <f t="shared" si="137"/>
        <v>0</v>
      </c>
      <c r="H485" s="108"/>
      <c r="I485" s="108"/>
      <c r="J485" s="108"/>
      <c r="K485" s="108"/>
      <c r="L485" s="108"/>
      <c r="M485" s="110"/>
      <c r="N485" s="137" t="e">
        <f t="shared" si="133"/>
        <v>#DIV/0!</v>
      </c>
    </row>
    <row r="486" spans="1:14" ht="12.75" hidden="1" customHeight="1" x14ac:dyDescent="0.25">
      <c r="A486" s="274">
        <v>5401</v>
      </c>
      <c r="B486" s="83">
        <v>612200</v>
      </c>
      <c r="C486" s="84" t="s">
        <v>429</v>
      </c>
      <c r="D486" s="257"/>
      <c r="E486" s="108"/>
      <c r="F486" s="108"/>
      <c r="G486" s="109">
        <f t="shared" si="137"/>
        <v>0</v>
      </c>
      <c r="H486" s="108"/>
      <c r="I486" s="108"/>
      <c r="J486" s="108"/>
      <c r="K486" s="108"/>
      <c r="L486" s="108"/>
      <c r="M486" s="110"/>
      <c r="N486" s="137" t="e">
        <f t="shared" si="133"/>
        <v>#DIV/0!</v>
      </c>
    </row>
    <row r="487" spans="1:14" ht="12.75" hidden="1" customHeight="1" x14ac:dyDescent="0.25">
      <c r="A487" s="274">
        <v>5402</v>
      </c>
      <c r="B487" s="83">
        <v>612300</v>
      </c>
      <c r="C487" s="84" t="s">
        <v>430</v>
      </c>
      <c r="D487" s="257"/>
      <c r="E487" s="108"/>
      <c r="F487" s="108"/>
      <c r="G487" s="109">
        <f t="shared" si="137"/>
        <v>0</v>
      </c>
      <c r="H487" s="108"/>
      <c r="I487" s="108"/>
      <c r="J487" s="108"/>
      <c r="K487" s="108"/>
      <c r="L487" s="108"/>
      <c r="M487" s="110"/>
      <c r="N487" s="137" t="e">
        <f t="shared" si="133"/>
        <v>#DIV/0!</v>
      </c>
    </row>
    <row r="488" spans="1:14" ht="12.75" hidden="1" customHeight="1" x14ac:dyDescent="0.25">
      <c r="A488" s="274">
        <v>5403</v>
      </c>
      <c r="B488" s="83">
        <v>612400</v>
      </c>
      <c r="C488" s="84" t="s">
        <v>431</v>
      </c>
      <c r="D488" s="257"/>
      <c r="E488" s="108"/>
      <c r="F488" s="108"/>
      <c r="G488" s="109">
        <f t="shared" si="137"/>
        <v>0</v>
      </c>
      <c r="H488" s="108"/>
      <c r="I488" s="108"/>
      <c r="J488" s="108"/>
      <c r="K488" s="108"/>
      <c r="L488" s="108"/>
      <c r="M488" s="110"/>
      <c r="N488" s="137" t="e">
        <f t="shared" si="133"/>
        <v>#DIV/0!</v>
      </c>
    </row>
    <row r="489" spans="1:14" ht="12.75" hidden="1" customHeight="1" x14ac:dyDescent="0.25">
      <c r="A489" s="274">
        <v>5404</v>
      </c>
      <c r="B489" s="83">
        <v>612500</v>
      </c>
      <c r="C489" s="84" t="s">
        <v>432</v>
      </c>
      <c r="D489" s="257"/>
      <c r="E489" s="108"/>
      <c r="F489" s="108"/>
      <c r="G489" s="109">
        <f t="shared" si="137"/>
        <v>0</v>
      </c>
      <c r="H489" s="108"/>
      <c r="I489" s="108"/>
      <c r="J489" s="108"/>
      <c r="K489" s="108"/>
      <c r="L489" s="108"/>
      <c r="M489" s="110"/>
      <c r="N489" s="137" t="e">
        <f t="shared" si="133"/>
        <v>#DIV/0!</v>
      </c>
    </row>
    <row r="490" spans="1:14" ht="12.75" hidden="1" customHeight="1" x14ac:dyDescent="0.25">
      <c r="A490" s="274">
        <v>5405</v>
      </c>
      <c r="B490" s="83">
        <v>612600</v>
      </c>
      <c r="C490" s="84" t="s">
        <v>433</v>
      </c>
      <c r="D490" s="257"/>
      <c r="E490" s="108"/>
      <c r="F490" s="108"/>
      <c r="G490" s="109">
        <f t="shared" si="137"/>
        <v>0</v>
      </c>
      <c r="H490" s="108"/>
      <c r="I490" s="108"/>
      <c r="J490" s="108"/>
      <c r="K490" s="108"/>
      <c r="L490" s="108"/>
      <c r="M490" s="110"/>
      <c r="N490" s="137" t="e">
        <f t="shared" si="133"/>
        <v>#DIV/0!</v>
      </c>
    </row>
    <row r="491" spans="1:14" ht="12.75" hidden="1" customHeight="1" x14ac:dyDescent="0.25">
      <c r="A491" s="274">
        <v>5406</v>
      </c>
      <c r="B491" s="83">
        <v>612900</v>
      </c>
      <c r="C491" s="84" t="s">
        <v>173</v>
      </c>
      <c r="D491" s="257"/>
      <c r="E491" s="108"/>
      <c r="F491" s="108"/>
      <c r="G491" s="109">
        <f t="shared" si="137"/>
        <v>0</v>
      </c>
      <c r="H491" s="108"/>
      <c r="I491" s="108"/>
      <c r="J491" s="108"/>
      <c r="K491" s="108"/>
      <c r="L491" s="108"/>
      <c r="M491" s="110"/>
      <c r="N491" s="137" t="e">
        <f t="shared" si="133"/>
        <v>#DIV/0!</v>
      </c>
    </row>
    <row r="492" spans="1:14" ht="12.75" hidden="1" customHeight="1" x14ac:dyDescent="0.25">
      <c r="A492" s="273">
        <v>5407</v>
      </c>
      <c r="B492" s="488">
        <v>613000</v>
      </c>
      <c r="C492" s="82" t="s">
        <v>434</v>
      </c>
      <c r="D492" s="256">
        <f>D493</f>
        <v>0</v>
      </c>
      <c r="E492" s="100">
        <f>E493</f>
        <v>0</v>
      </c>
      <c r="F492" s="100">
        <f>F493</f>
        <v>0</v>
      </c>
      <c r="G492" s="100">
        <f t="shared" si="137"/>
        <v>0</v>
      </c>
      <c r="H492" s="100">
        <f t="shared" ref="H492:M492" si="154">H493</f>
        <v>0</v>
      </c>
      <c r="I492" s="100">
        <f t="shared" si="154"/>
        <v>0</v>
      </c>
      <c r="J492" s="100">
        <f t="shared" si="154"/>
        <v>0</v>
      </c>
      <c r="K492" s="100">
        <f t="shared" si="154"/>
        <v>0</v>
      </c>
      <c r="L492" s="100">
        <f t="shared" si="154"/>
        <v>0</v>
      </c>
      <c r="M492" s="101">
        <f t="shared" si="154"/>
        <v>0</v>
      </c>
      <c r="N492" s="137" t="e">
        <f t="shared" si="133"/>
        <v>#DIV/0!</v>
      </c>
    </row>
    <row r="493" spans="1:14" ht="12.75" hidden="1" customHeight="1" x14ac:dyDescent="0.25">
      <c r="A493" s="274">
        <v>5408</v>
      </c>
      <c r="B493" s="83">
        <v>613100</v>
      </c>
      <c r="C493" s="84" t="s">
        <v>435</v>
      </c>
      <c r="D493" s="257"/>
      <c r="E493" s="108"/>
      <c r="F493" s="108"/>
      <c r="G493" s="109">
        <f t="shared" si="137"/>
        <v>0</v>
      </c>
      <c r="H493" s="108"/>
      <c r="I493" s="108"/>
      <c r="J493" s="108"/>
      <c r="K493" s="108"/>
      <c r="L493" s="108"/>
      <c r="M493" s="110"/>
      <c r="N493" s="137" t="e">
        <f t="shared" si="133"/>
        <v>#DIV/0!</v>
      </c>
    </row>
    <row r="494" spans="1:14" ht="12.75" hidden="1" customHeight="1" x14ac:dyDescent="0.25">
      <c r="A494" s="273">
        <v>5409</v>
      </c>
      <c r="B494" s="488">
        <v>614000</v>
      </c>
      <c r="C494" s="82" t="s">
        <v>436</v>
      </c>
      <c r="D494" s="256">
        <f>D495</f>
        <v>0</v>
      </c>
      <c r="E494" s="100">
        <f>E495</f>
        <v>0</v>
      </c>
      <c r="F494" s="100">
        <f>F495</f>
        <v>0</v>
      </c>
      <c r="G494" s="100">
        <f t="shared" si="137"/>
        <v>0</v>
      </c>
      <c r="H494" s="100">
        <f t="shared" ref="H494:M496" si="155">H495</f>
        <v>0</v>
      </c>
      <c r="I494" s="100">
        <f t="shared" si="155"/>
        <v>0</v>
      </c>
      <c r="J494" s="100">
        <f t="shared" si="155"/>
        <v>0</v>
      </c>
      <c r="K494" s="100">
        <f t="shared" si="155"/>
        <v>0</v>
      </c>
      <c r="L494" s="100">
        <f t="shared" si="155"/>
        <v>0</v>
      </c>
      <c r="M494" s="101">
        <f t="shared" si="155"/>
        <v>0</v>
      </c>
      <c r="N494" s="137" t="e">
        <f t="shared" si="133"/>
        <v>#DIV/0!</v>
      </c>
    </row>
    <row r="495" spans="1:14" ht="12.75" hidden="1" customHeight="1" x14ac:dyDescent="0.25">
      <c r="A495" s="274">
        <v>5410</v>
      </c>
      <c r="B495" s="83">
        <v>614100</v>
      </c>
      <c r="C495" s="84" t="s">
        <v>437</v>
      </c>
      <c r="D495" s="257"/>
      <c r="E495" s="108"/>
      <c r="F495" s="108"/>
      <c r="G495" s="109">
        <f t="shared" si="137"/>
        <v>0</v>
      </c>
      <c r="H495" s="108"/>
      <c r="I495" s="108"/>
      <c r="J495" s="108"/>
      <c r="K495" s="108"/>
      <c r="L495" s="108"/>
      <c r="M495" s="110"/>
      <c r="N495" s="137" t="e">
        <f t="shared" si="133"/>
        <v>#DIV/0!</v>
      </c>
    </row>
    <row r="496" spans="1:14" ht="12.75" hidden="1" customHeight="1" x14ac:dyDescent="0.25">
      <c r="A496" s="273">
        <v>5411</v>
      </c>
      <c r="B496" s="488">
        <v>615000</v>
      </c>
      <c r="C496" s="82" t="s">
        <v>438</v>
      </c>
      <c r="D496" s="256">
        <f>D497</f>
        <v>0</v>
      </c>
      <c r="E496" s="100">
        <f>E497</f>
        <v>0</v>
      </c>
      <c r="F496" s="100">
        <f>F497</f>
        <v>0</v>
      </c>
      <c r="G496" s="100">
        <f t="shared" si="137"/>
        <v>0</v>
      </c>
      <c r="H496" s="100">
        <f t="shared" si="155"/>
        <v>0</v>
      </c>
      <c r="I496" s="100">
        <f t="shared" si="155"/>
        <v>0</v>
      </c>
      <c r="J496" s="100">
        <f t="shared" si="155"/>
        <v>0</v>
      </c>
      <c r="K496" s="100">
        <f t="shared" si="155"/>
        <v>0</v>
      </c>
      <c r="L496" s="100">
        <f t="shared" si="155"/>
        <v>0</v>
      </c>
      <c r="M496" s="101">
        <f t="shared" si="155"/>
        <v>0</v>
      </c>
      <c r="N496" s="137" t="e">
        <f t="shared" ref="N496:N524" si="156">G496/F496</f>
        <v>#DIV/0!</v>
      </c>
    </row>
    <row r="497" spans="1:14" ht="12.75" hidden="1" customHeight="1" x14ac:dyDescent="0.25">
      <c r="A497" s="274">
        <v>5412</v>
      </c>
      <c r="B497" s="83">
        <v>615100</v>
      </c>
      <c r="C497" s="84" t="s">
        <v>439</v>
      </c>
      <c r="D497" s="257"/>
      <c r="E497" s="108"/>
      <c r="F497" s="108"/>
      <c r="G497" s="109">
        <f t="shared" si="137"/>
        <v>0</v>
      </c>
      <c r="H497" s="108"/>
      <c r="I497" s="108"/>
      <c r="J497" s="108"/>
      <c r="K497" s="108"/>
      <c r="L497" s="108"/>
      <c r="M497" s="110"/>
      <c r="N497" s="137" t="e">
        <f t="shared" si="156"/>
        <v>#DIV/0!</v>
      </c>
    </row>
    <row r="498" spans="1:14" ht="12.75" hidden="1" customHeight="1" x14ac:dyDescent="0.25">
      <c r="A498" s="273">
        <v>5413</v>
      </c>
      <c r="B498" s="488">
        <v>620000</v>
      </c>
      <c r="C498" s="82" t="s">
        <v>440</v>
      </c>
      <c r="D498" s="256">
        <f>D499+D513+D522</f>
        <v>0</v>
      </c>
      <c r="E498" s="100">
        <f>E499+E513+E522</f>
        <v>0</v>
      </c>
      <c r="F498" s="100">
        <f>F499+F513+F522</f>
        <v>0</v>
      </c>
      <c r="G498" s="100">
        <f t="shared" si="137"/>
        <v>0</v>
      </c>
      <c r="H498" s="100">
        <f t="shared" ref="H498:M498" si="157">H499+H513+H522</f>
        <v>0</v>
      </c>
      <c r="I498" s="100">
        <f t="shared" si="157"/>
        <v>0</v>
      </c>
      <c r="J498" s="100">
        <f t="shared" si="157"/>
        <v>0</v>
      </c>
      <c r="K498" s="100">
        <f t="shared" si="157"/>
        <v>0</v>
      </c>
      <c r="L498" s="100">
        <f t="shared" si="157"/>
        <v>0</v>
      </c>
      <c r="M498" s="101">
        <f t="shared" si="157"/>
        <v>0</v>
      </c>
      <c r="N498" s="137" t="e">
        <f t="shared" si="156"/>
        <v>#DIV/0!</v>
      </c>
    </row>
    <row r="499" spans="1:14" ht="12.75" hidden="1" customHeight="1" x14ac:dyDescent="0.25">
      <c r="A499" s="273">
        <v>5414</v>
      </c>
      <c r="B499" s="488">
        <v>621000</v>
      </c>
      <c r="C499" s="82" t="s">
        <v>441</v>
      </c>
      <c r="D499" s="256">
        <f>SUM(D500:D512)</f>
        <v>0</v>
      </c>
      <c r="E499" s="100">
        <f>SUM(E500:E512)</f>
        <v>0</v>
      </c>
      <c r="F499" s="100">
        <f>SUM(F500:F512)</f>
        <v>0</v>
      </c>
      <c r="G499" s="100">
        <f t="shared" si="137"/>
        <v>0</v>
      </c>
      <c r="H499" s="100">
        <f t="shared" ref="H499:M499" si="158">SUM(H500:H512)</f>
        <v>0</v>
      </c>
      <c r="I499" s="100">
        <f t="shared" si="158"/>
        <v>0</v>
      </c>
      <c r="J499" s="100">
        <f t="shared" si="158"/>
        <v>0</v>
      </c>
      <c r="K499" s="100">
        <f t="shared" si="158"/>
        <v>0</v>
      </c>
      <c r="L499" s="100">
        <f t="shared" si="158"/>
        <v>0</v>
      </c>
      <c r="M499" s="101">
        <f t="shared" si="158"/>
        <v>0</v>
      </c>
      <c r="N499" s="137" t="e">
        <f t="shared" si="156"/>
        <v>#DIV/0!</v>
      </c>
    </row>
    <row r="500" spans="1:14" ht="12.75" hidden="1" customHeight="1" x14ac:dyDescent="0.25">
      <c r="A500" s="274">
        <v>5415</v>
      </c>
      <c r="B500" s="83">
        <v>621100</v>
      </c>
      <c r="C500" s="84" t="s">
        <v>442</v>
      </c>
      <c r="D500" s="257"/>
      <c r="E500" s="108"/>
      <c r="F500" s="108"/>
      <c r="G500" s="109">
        <f t="shared" si="137"/>
        <v>0</v>
      </c>
      <c r="H500" s="108"/>
      <c r="I500" s="108"/>
      <c r="J500" s="108"/>
      <c r="K500" s="108"/>
      <c r="L500" s="108"/>
      <c r="M500" s="110"/>
      <c r="N500" s="137" t="e">
        <f t="shared" si="156"/>
        <v>#DIV/0!</v>
      </c>
    </row>
    <row r="501" spans="1:14" ht="12.75" hidden="1" customHeight="1" x14ac:dyDescent="0.25">
      <c r="A501" s="645" t="s">
        <v>0</v>
      </c>
      <c r="B501" s="646" t="s">
        <v>1</v>
      </c>
      <c r="C501" s="585" t="s">
        <v>2</v>
      </c>
      <c r="D501" s="259" t="s">
        <v>217</v>
      </c>
      <c r="E501" s="585" t="s">
        <v>217</v>
      </c>
      <c r="F501" s="486" t="s">
        <v>217</v>
      </c>
      <c r="G501" s="575" t="s">
        <v>198</v>
      </c>
      <c r="H501" s="589"/>
      <c r="I501" s="589"/>
      <c r="J501" s="589"/>
      <c r="K501" s="589"/>
      <c r="L501" s="589"/>
      <c r="M501" s="592"/>
      <c r="N501" s="137" t="e">
        <f t="shared" si="156"/>
        <v>#VALUE!</v>
      </c>
    </row>
    <row r="502" spans="1:14" ht="12.75" hidden="1" customHeight="1" x14ac:dyDescent="0.25">
      <c r="A502" s="645"/>
      <c r="B502" s="646"/>
      <c r="C502" s="585"/>
      <c r="D502" s="259"/>
      <c r="E502" s="585"/>
      <c r="F502" s="486"/>
      <c r="G502" s="575" t="s">
        <v>199</v>
      </c>
      <c r="H502" s="575" t="s">
        <v>200</v>
      </c>
      <c r="I502" s="589"/>
      <c r="J502" s="589"/>
      <c r="K502" s="589"/>
      <c r="L502" s="575" t="s">
        <v>7</v>
      </c>
      <c r="M502" s="582" t="s">
        <v>8</v>
      </c>
      <c r="N502" s="137" t="e">
        <f t="shared" si="156"/>
        <v>#VALUE!</v>
      </c>
    </row>
    <row r="503" spans="1:14" ht="12.75" hidden="1" customHeight="1" x14ac:dyDescent="0.25">
      <c r="A503" s="645"/>
      <c r="B503" s="646"/>
      <c r="C503" s="585"/>
      <c r="D503" s="259"/>
      <c r="E503" s="585"/>
      <c r="F503" s="486"/>
      <c r="G503" s="589"/>
      <c r="H503" s="487" t="s">
        <v>201</v>
      </c>
      <c r="I503" s="487" t="s">
        <v>10</v>
      </c>
      <c r="J503" s="487" t="s">
        <v>11</v>
      </c>
      <c r="K503" s="487" t="s">
        <v>12</v>
      </c>
      <c r="L503" s="589"/>
      <c r="M503" s="592"/>
      <c r="N503" s="137" t="e">
        <f t="shared" si="156"/>
        <v>#DIV/0!</v>
      </c>
    </row>
    <row r="504" spans="1:14" ht="12.75" hidden="1" customHeight="1" x14ac:dyDescent="0.25">
      <c r="A504" s="275" t="s">
        <v>18</v>
      </c>
      <c r="B504" s="491" t="s">
        <v>19</v>
      </c>
      <c r="C504" s="485" t="s">
        <v>20</v>
      </c>
      <c r="D504" s="259" t="s">
        <v>21</v>
      </c>
      <c r="E504" s="485" t="s">
        <v>21</v>
      </c>
      <c r="F504" s="485" t="s">
        <v>21</v>
      </c>
      <c r="G504" s="485" t="s">
        <v>22</v>
      </c>
      <c r="H504" s="485" t="s">
        <v>23</v>
      </c>
      <c r="I504" s="485" t="s">
        <v>24</v>
      </c>
      <c r="J504" s="485" t="s">
        <v>25</v>
      </c>
      <c r="K504" s="485" t="s">
        <v>26</v>
      </c>
      <c r="L504" s="485" t="s">
        <v>27</v>
      </c>
      <c r="M504" s="99" t="s">
        <v>28</v>
      </c>
      <c r="N504" s="137">
        <f t="shared" si="156"/>
        <v>1.25</v>
      </c>
    </row>
    <row r="505" spans="1:14" ht="12.75" hidden="1" customHeight="1" x14ac:dyDescent="0.25">
      <c r="A505" s="274">
        <v>5416</v>
      </c>
      <c r="B505" s="83">
        <v>621200</v>
      </c>
      <c r="C505" s="84" t="s">
        <v>443</v>
      </c>
      <c r="D505" s="257"/>
      <c r="E505" s="108"/>
      <c r="F505" s="108"/>
      <c r="G505" s="109">
        <f t="shared" si="137"/>
        <v>0</v>
      </c>
      <c r="H505" s="108"/>
      <c r="I505" s="108"/>
      <c r="J505" s="108"/>
      <c r="K505" s="108"/>
      <c r="L505" s="108"/>
      <c r="M505" s="110"/>
      <c r="N505" s="137" t="e">
        <f t="shared" si="156"/>
        <v>#DIV/0!</v>
      </c>
    </row>
    <row r="506" spans="1:14" ht="12.75" hidden="1" customHeight="1" x14ac:dyDescent="0.25">
      <c r="A506" s="274">
        <v>5417</v>
      </c>
      <c r="B506" s="83">
        <v>621300</v>
      </c>
      <c r="C506" s="84" t="s">
        <v>444</v>
      </c>
      <c r="D506" s="257"/>
      <c r="E506" s="108"/>
      <c r="F506" s="108"/>
      <c r="G506" s="109">
        <f t="shared" si="137"/>
        <v>0</v>
      </c>
      <c r="H506" s="108"/>
      <c r="I506" s="108"/>
      <c r="J506" s="108"/>
      <c r="K506" s="108"/>
      <c r="L506" s="108"/>
      <c r="M506" s="110"/>
      <c r="N506" s="137" t="e">
        <f t="shared" si="156"/>
        <v>#DIV/0!</v>
      </c>
    </row>
    <row r="507" spans="1:14" ht="12.75" hidden="1" customHeight="1" x14ac:dyDescent="0.25">
      <c r="A507" s="274">
        <v>5418</v>
      </c>
      <c r="B507" s="83">
        <v>621400</v>
      </c>
      <c r="C507" s="84" t="s">
        <v>445</v>
      </c>
      <c r="D507" s="257"/>
      <c r="E507" s="108"/>
      <c r="F507" s="108"/>
      <c r="G507" s="109">
        <f t="shared" si="137"/>
        <v>0</v>
      </c>
      <c r="H507" s="108"/>
      <c r="I507" s="108"/>
      <c r="J507" s="108"/>
      <c r="K507" s="108"/>
      <c r="L507" s="108"/>
      <c r="M507" s="110"/>
      <c r="N507" s="137" t="e">
        <f t="shared" si="156"/>
        <v>#DIV/0!</v>
      </c>
    </row>
    <row r="508" spans="1:14" ht="12.75" hidden="1" customHeight="1" x14ac:dyDescent="0.25">
      <c r="A508" s="274">
        <v>5419</v>
      </c>
      <c r="B508" s="83">
        <v>621500</v>
      </c>
      <c r="C508" s="84" t="s">
        <v>446</v>
      </c>
      <c r="D508" s="257"/>
      <c r="E508" s="108"/>
      <c r="F508" s="108"/>
      <c r="G508" s="109">
        <f t="shared" si="137"/>
        <v>0</v>
      </c>
      <c r="H508" s="108"/>
      <c r="I508" s="108"/>
      <c r="J508" s="108"/>
      <c r="K508" s="108"/>
      <c r="L508" s="108"/>
      <c r="M508" s="110"/>
      <c r="N508" s="137" t="e">
        <f t="shared" si="156"/>
        <v>#DIV/0!</v>
      </c>
    </row>
    <row r="509" spans="1:14" ht="12.75" hidden="1" customHeight="1" x14ac:dyDescent="0.25">
      <c r="A509" s="274">
        <v>5420</v>
      </c>
      <c r="B509" s="83">
        <v>621600</v>
      </c>
      <c r="C509" s="84" t="s">
        <v>447</v>
      </c>
      <c r="D509" s="257"/>
      <c r="E509" s="108"/>
      <c r="F509" s="108"/>
      <c r="G509" s="109">
        <f t="shared" si="137"/>
        <v>0</v>
      </c>
      <c r="H509" s="108"/>
      <c r="I509" s="108"/>
      <c r="J509" s="108"/>
      <c r="K509" s="108"/>
      <c r="L509" s="108"/>
      <c r="M509" s="110"/>
      <c r="N509" s="137" t="e">
        <f t="shared" si="156"/>
        <v>#DIV/0!</v>
      </c>
    </row>
    <row r="510" spans="1:14" ht="12.75" hidden="1" customHeight="1" x14ac:dyDescent="0.25">
      <c r="A510" s="274">
        <v>5421</v>
      </c>
      <c r="B510" s="83">
        <v>621700</v>
      </c>
      <c r="C510" s="84" t="s">
        <v>448</v>
      </c>
      <c r="D510" s="257"/>
      <c r="E510" s="108"/>
      <c r="F510" s="108"/>
      <c r="G510" s="109">
        <f t="shared" si="137"/>
        <v>0</v>
      </c>
      <c r="H510" s="108"/>
      <c r="I510" s="108"/>
      <c r="J510" s="108"/>
      <c r="K510" s="108"/>
      <c r="L510" s="108"/>
      <c r="M510" s="110"/>
      <c r="N510" s="137" t="e">
        <f t="shared" si="156"/>
        <v>#DIV/0!</v>
      </c>
    </row>
    <row r="511" spans="1:14" ht="12.75" hidden="1" customHeight="1" x14ac:dyDescent="0.25">
      <c r="A511" s="274">
        <v>5422</v>
      </c>
      <c r="B511" s="83">
        <v>621800</v>
      </c>
      <c r="C511" s="84" t="s">
        <v>449</v>
      </c>
      <c r="D511" s="257"/>
      <c r="E511" s="108"/>
      <c r="F511" s="108"/>
      <c r="G511" s="109">
        <f t="shared" si="137"/>
        <v>0</v>
      </c>
      <c r="H511" s="108"/>
      <c r="I511" s="108"/>
      <c r="J511" s="108"/>
      <c r="K511" s="108"/>
      <c r="L511" s="108"/>
      <c r="M511" s="110"/>
      <c r="N511" s="137" t="e">
        <f t="shared" si="156"/>
        <v>#DIV/0!</v>
      </c>
    </row>
    <row r="512" spans="1:14" ht="12.75" hidden="1" customHeight="1" x14ac:dyDescent="0.25">
      <c r="A512" s="274">
        <v>5423</v>
      </c>
      <c r="B512" s="83">
        <v>621900</v>
      </c>
      <c r="C512" s="84" t="s">
        <v>450</v>
      </c>
      <c r="D512" s="257"/>
      <c r="E512" s="108"/>
      <c r="F512" s="108"/>
      <c r="G512" s="109">
        <f t="shared" si="137"/>
        <v>0</v>
      </c>
      <c r="H512" s="108"/>
      <c r="I512" s="108"/>
      <c r="J512" s="108"/>
      <c r="K512" s="108"/>
      <c r="L512" s="108"/>
      <c r="M512" s="110"/>
      <c r="N512" s="137" t="e">
        <f t="shared" si="156"/>
        <v>#DIV/0!</v>
      </c>
    </row>
    <row r="513" spans="1:14" ht="12.75" hidden="1" customHeight="1" x14ac:dyDescent="0.25">
      <c r="A513" s="273">
        <v>5424</v>
      </c>
      <c r="B513" s="488">
        <v>622000</v>
      </c>
      <c r="C513" s="82" t="s">
        <v>451</v>
      </c>
      <c r="D513" s="256">
        <f>SUM(D514:D521)</f>
        <v>0</v>
      </c>
      <c r="E513" s="100">
        <f>SUM(E514:E521)</f>
        <v>0</v>
      </c>
      <c r="F513" s="100">
        <f>SUM(F514:F521)</f>
        <v>0</v>
      </c>
      <c r="G513" s="100">
        <f t="shared" si="137"/>
        <v>0</v>
      </c>
      <c r="H513" s="100">
        <f t="shared" ref="H513:M513" si="159">SUM(H514:H521)</f>
        <v>0</v>
      </c>
      <c r="I513" s="100">
        <f t="shared" si="159"/>
        <v>0</v>
      </c>
      <c r="J513" s="100">
        <f t="shared" si="159"/>
        <v>0</v>
      </c>
      <c r="K513" s="100">
        <f t="shared" si="159"/>
        <v>0</v>
      </c>
      <c r="L513" s="100">
        <f t="shared" si="159"/>
        <v>0</v>
      </c>
      <c r="M513" s="101">
        <f t="shared" si="159"/>
        <v>0</v>
      </c>
      <c r="N513" s="137" t="e">
        <f t="shared" si="156"/>
        <v>#DIV/0!</v>
      </c>
    </row>
    <row r="514" spans="1:14" ht="12.75" hidden="1" customHeight="1" x14ac:dyDescent="0.25">
      <c r="A514" s="274">
        <v>5425</v>
      </c>
      <c r="B514" s="83">
        <v>622100</v>
      </c>
      <c r="C514" s="84" t="s">
        <v>452</v>
      </c>
      <c r="D514" s="257"/>
      <c r="E514" s="108"/>
      <c r="F514" s="108"/>
      <c r="G514" s="109">
        <f t="shared" si="137"/>
        <v>0</v>
      </c>
      <c r="H514" s="108"/>
      <c r="I514" s="108"/>
      <c r="J514" s="108"/>
      <c r="K514" s="108"/>
      <c r="L514" s="108"/>
      <c r="M514" s="110"/>
      <c r="N514" s="137" t="e">
        <f t="shared" si="156"/>
        <v>#DIV/0!</v>
      </c>
    </row>
    <row r="515" spans="1:14" ht="12.75" hidden="1" customHeight="1" x14ac:dyDescent="0.25">
      <c r="A515" s="274">
        <v>5426</v>
      </c>
      <c r="B515" s="83">
        <v>622200</v>
      </c>
      <c r="C515" s="84" t="s">
        <v>453</v>
      </c>
      <c r="D515" s="257"/>
      <c r="E515" s="108"/>
      <c r="F515" s="108"/>
      <c r="G515" s="109">
        <f t="shared" si="137"/>
        <v>0</v>
      </c>
      <c r="H515" s="108"/>
      <c r="I515" s="108"/>
      <c r="J515" s="108"/>
      <c r="K515" s="108"/>
      <c r="L515" s="108"/>
      <c r="M515" s="110"/>
      <c r="N515" s="137" t="e">
        <f t="shared" si="156"/>
        <v>#DIV/0!</v>
      </c>
    </row>
    <row r="516" spans="1:14" ht="12.75" hidden="1" customHeight="1" x14ac:dyDescent="0.25">
      <c r="A516" s="274">
        <v>5427</v>
      </c>
      <c r="B516" s="83">
        <v>622300</v>
      </c>
      <c r="C516" s="84" t="s">
        <v>454</v>
      </c>
      <c r="D516" s="257"/>
      <c r="E516" s="108"/>
      <c r="F516" s="108"/>
      <c r="G516" s="109">
        <f t="shared" si="137"/>
        <v>0</v>
      </c>
      <c r="H516" s="108"/>
      <c r="I516" s="108"/>
      <c r="J516" s="108"/>
      <c r="K516" s="108"/>
      <c r="L516" s="108"/>
      <c r="M516" s="110"/>
      <c r="N516" s="137" t="e">
        <f t="shared" si="156"/>
        <v>#DIV/0!</v>
      </c>
    </row>
    <row r="517" spans="1:14" ht="12.75" hidden="1" customHeight="1" x14ac:dyDescent="0.25">
      <c r="A517" s="274">
        <v>5428</v>
      </c>
      <c r="B517" s="83">
        <v>622400</v>
      </c>
      <c r="C517" s="84" t="s">
        <v>455</v>
      </c>
      <c r="D517" s="257"/>
      <c r="E517" s="108"/>
      <c r="F517" s="108"/>
      <c r="G517" s="109">
        <f t="shared" si="137"/>
        <v>0</v>
      </c>
      <c r="H517" s="108"/>
      <c r="I517" s="108"/>
      <c r="J517" s="108"/>
      <c r="K517" s="108"/>
      <c r="L517" s="108"/>
      <c r="M517" s="110"/>
      <c r="N517" s="137" t="e">
        <f t="shared" si="156"/>
        <v>#DIV/0!</v>
      </c>
    </row>
    <row r="518" spans="1:14" ht="12.75" hidden="1" customHeight="1" x14ac:dyDescent="0.25">
      <c r="A518" s="274">
        <v>5429</v>
      </c>
      <c r="B518" s="83">
        <v>622500</v>
      </c>
      <c r="C518" s="84" t="s">
        <v>456</v>
      </c>
      <c r="D518" s="257"/>
      <c r="E518" s="108"/>
      <c r="F518" s="108"/>
      <c r="G518" s="109">
        <f t="shared" si="137"/>
        <v>0</v>
      </c>
      <c r="H518" s="108"/>
      <c r="I518" s="108"/>
      <c r="J518" s="108"/>
      <c r="K518" s="108"/>
      <c r="L518" s="108"/>
      <c r="M518" s="110"/>
      <c r="N518" s="137" t="e">
        <f t="shared" si="156"/>
        <v>#DIV/0!</v>
      </c>
    </row>
    <row r="519" spans="1:14" ht="12.75" hidden="1" customHeight="1" x14ac:dyDescent="0.25">
      <c r="A519" s="274">
        <v>5430</v>
      </c>
      <c r="B519" s="83">
        <v>622600</v>
      </c>
      <c r="C519" s="84" t="s">
        <v>457</v>
      </c>
      <c r="D519" s="257"/>
      <c r="E519" s="108"/>
      <c r="F519" s="108"/>
      <c r="G519" s="109">
        <f t="shared" ref="G519:G524" si="160">SUM(H519:M519)</f>
        <v>0</v>
      </c>
      <c r="H519" s="108"/>
      <c r="I519" s="108"/>
      <c r="J519" s="108"/>
      <c r="K519" s="108"/>
      <c r="L519" s="108"/>
      <c r="M519" s="110"/>
      <c r="N519" s="137" t="e">
        <f t="shared" si="156"/>
        <v>#DIV/0!</v>
      </c>
    </row>
    <row r="520" spans="1:14" ht="12.75" hidden="1" customHeight="1" x14ac:dyDescent="0.25">
      <c r="A520" s="274">
        <v>5431</v>
      </c>
      <c r="B520" s="83">
        <v>622700</v>
      </c>
      <c r="C520" s="84" t="s">
        <v>458</v>
      </c>
      <c r="D520" s="257"/>
      <c r="E520" s="108"/>
      <c r="F520" s="108"/>
      <c r="G520" s="109">
        <f t="shared" si="160"/>
        <v>0</v>
      </c>
      <c r="H520" s="108"/>
      <c r="I520" s="108"/>
      <c r="J520" s="108"/>
      <c r="K520" s="108"/>
      <c r="L520" s="108"/>
      <c r="M520" s="110"/>
      <c r="N520" s="137" t="e">
        <f t="shared" si="156"/>
        <v>#DIV/0!</v>
      </c>
    </row>
    <row r="521" spans="1:14" ht="12.75" hidden="1" customHeight="1" x14ac:dyDescent="0.25">
      <c r="A521" s="274">
        <v>5432</v>
      </c>
      <c r="B521" s="83">
        <v>622800</v>
      </c>
      <c r="C521" s="84" t="s">
        <v>459</v>
      </c>
      <c r="D521" s="257"/>
      <c r="E521" s="108"/>
      <c r="F521" s="108"/>
      <c r="G521" s="109">
        <f t="shared" si="160"/>
        <v>0</v>
      </c>
      <c r="H521" s="108"/>
      <c r="I521" s="108"/>
      <c r="J521" s="108"/>
      <c r="K521" s="108"/>
      <c r="L521" s="108"/>
      <c r="M521" s="110"/>
      <c r="N521" s="137" t="e">
        <f t="shared" si="156"/>
        <v>#DIV/0!</v>
      </c>
    </row>
    <row r="522" spans="1:14" ht="12.75" hidden="1" customHeight="1" x14ac:dyDescent="0.25">
      <c r="A522" s="273">
        <v>5433</v>
      </c>
      <c r="B522" s="488">
        <v>623000</v>
      </c>
      <c r="C522" s="82" t="s">
        <v>460</v>
      </c>
      <c r="D522" s="256">
        <f>D523</f>
        <v>0</v>
      </c>
      <c r="E522" s="100">
        <f>E523</f>
        <v>0</v>
      </c>
      <c r="F522" s="100">
        <f>F523</f>
        <v>0</v>
      </c>
      <c r="G522" s="100">
        <f t="shared" si="160"/>
        <v>0</v>
      </c>
      <c r="H522" s="100">
        <f t="shared" ref="H522:M522" si="161">H523</f>
        <v>0</v>
      </c>
      <c r="I522" s="100">
        <f t="shared" si="161"/>
        <v>0</v>
      </c>
      <c r="J522" s="100">
        <f t="shared" si="161"/>
        <v>0</v>
      </c>
      <c r="K522" s="100">
        <f t="shared" si="161"/>
        <v>0</v>
      </c>
      <c r="L522" s="100">
        <f t="shared" si="161"/>
        <v>0</v>
      </c>
      <c r="M522" s="101">
        <f t="shared" si="161"/>
        <v>0</v>
      </c>
      <c r="N522" s="137" t="e">
        <f t="shared" si="156"/>
        <v>#DIV/0!</v>
      </c>
    </row>
    <row r="523" spans="1:14" ht="12.75" hidden="1" customHeight="1" x14ac:dyDescent="0.25">
      <c r="A523" s="274">
        <v>5434</v>
      </c>
      <c r="B523" s="83">
        <v>623100</v>
      </c>
      <c r="C523" s="84" t="s">
        <v>461</v>
      </c>
      <c r="D523" s="257"/>
      <c r="E523" s="108"/>
      <c r="F523" s="108"/>
      <c r="G523" s="109">
        <f t="shared" si="160"/>
        <v>0</v>
      </c>
      <c r="H523" s="108"/>
      <c r="I523" s="108"/>
      <c r="J523" s="108"/>
      <c r="K523" s="108"/>
      <c r="L523" s="108"/>
      <c r="M523" s="110"/>
      <c r="N523" s="137" t="e">
        <f t="shared" si="156"/>
        <v>#DIV/0!</v>
      </c>
    </row>
    <row r="524" spans="1:14" ht="12.75" customHeight="1" thickBot="1" x14ac:dyDescent="0.3">
      <c r="A524" s="276">
        <v>5435</v>
      </c>
      <c r="B524" s="272"/>
      <c r="C524" s="89" t="s">
        <v>462</v>
      </c>
      <c r="D524" s="260">
        <f>D220+D468</f>
        <v>69812</v>
      </c>
      <c r="E524" s="113">
        <f>E220+E468</f>
        <v>1643283</v>
      </c>
      <c r="F524" s="113">
        <f>F220+F468</f>
        <v>1713095</v>
      </c>
      <c r="G524" s="113">
        <f t="shared" si="160"/>
        <v>803277</v>
      </c>
      <c r="H524" s="113">
        <f t="shared" ref="H524:M524" si="162">H220+H468</f>
        <v>2737</v>
      </c>
      <c r="I524" s="113">
        <f t="shared" si="162"/>
        <v>0</v>
      </c>
      <c r="J524" s="113">
        <f t="shared" si="162"/>
        <v>5866</v>
      </c>
      <c r="K524" s="113">
        <f t="shared" si="162"/>
        <v>787205</v>
      </c>
      <c r="L524" s="113">
        <f t="shared" si="162"/>
        <v>0</v>
      </c>
      <c r="M524" s="114">
        <f t="shared" si="162"/>
        <v>7469</v>
      </c>
      <c r="N524" s="138">
        <f t="shared" si="156"/>
        <v>0.46890394286364739</v>
      </c>
    </row>
    <row r="525" spans="1:14" ht="18.75" customHeight="1" x14ac:dyDescent="0.25">
      <c r="A525" s="90"/>
      <c r="B525" s="91"/>
      <c r="C525" s="91"/>
      <c r="D525" s="91"/>
      <c r="E525" s="91"/>
      <c r="F525" s="91"/>
      <c r="G525" s="91"/>
      <c r="H525" s="91"/>
      <c r="I525" s="91"/>
      <c r="J525" s="91"/>
      <c r="K525" s="91"/>
      <c r="L525" s="91"/>
      <c r="M525" s="91"/>
    </row>
    <row r="526" spans="1:14" ht="12.75" customHeight="1" x14ac:dyDescent="0.25">
      <c r="A526" s="92" t="s">
        <v>516</v>
      </c>
      <c r="B526" s="91"/>
      <c r="C526" s="91"/>
      <c r="D526" s="91"/>
      <c r="E526" s="91"/>
      <c r="F526" s="91"/>
      <c r="G526" s="91"/>
      <c r="H526" s="91"/>
      <c r="I526" s="91"/>
      <c r="J526" s="91"/>
      <c r="K526" s="91"/>
      <c r="L526" s="91"/>
      <c r="M526" s="91"/>
    </row>
    <row r="527" spans="1:14" ht="12.75" customHeight="1" thickBot="1" x14ac:dyDescent="0.3">
      <c r="A527" s="90"/>
      <c r="B527" s="91"/>
      <c r="C527" s="91"/>
      <c r="D527" s="91"/>
      <c r="E527" s="91"/>
      <c r="F527" s="91"/>
      <c r="G527" s="91"/>
      <c r="H527" s="91"/>
      <c r="I527" s="91"/>
      <c r="J527" s="91"/>
      <c r="K527" s="91"/>
      <c r="L527" s="91"/>
      <c r="M527" s="91"/>
    </row>
    <row r="528" spans="1:14" ht="12.75" customHeight="1" thickBot="1" x14ac:dyDescent="0.3">
      <c r="A528" s="637" t="s">
        <v>0</v>
      </c>
      <c r="B528" s="572" t="s">
        <v>1</v>
      </c>
      <c r="C528" s="574" t="s">
        <v>2</v>
      </c>
      <c r="D528" s="700" t="s">
        <v>560</v>
      </c>
      <c r="E528" s="700" t="s">
        <v>517</v>
      </c>
      <c r="F528" s="700" t="s">
        <v>547</v>
      </c>
      <c r="G528" s="702" t="s">
        <v>518</v>
      </c>
      <c r="H528" s="702"/>
      <c r="I528" s="702"/>
      <c r="J528" s="702"/>
      <c r="K528" s="702"/>
      <c r="L528" s="702"/>
      <c r="M528" s="703"/>
    </row>
    <row r="529" spans="1:13" ht="12.75" customHeight="1" thickBot="1" x14ac:dyDescent="0.3">
      <c r="A529" s="638"/>
      <c r="B529" s="573"/>
      <c r="C529" s="575"/>
      <c r="D529" s="701"/>
      <c r="E529" s="701"/>
      <c r="F529" s="701"/>
      <c r="G529" s="698" t="s">
        <v>553</v>
      </c>
      <c r="H529" s="698" t="s">
        <v>519</v>
      </c>
      <c r="I529" s="698"/>
      <c r="J529" s="698"/>
      <c r="K529" s="698"/>
      <c r="L529" s="698" t="s">
        <v>7</v>
      </c>
      <c r="M529" s="704" t="s">
        <v>8</v>
      </c>
    </row>
    <row r="530" spans="1:13" s="523" customFormat="1" ht="54" customHeight="1" x14ac:dyDescent="0.25">
      <c r="A530" s="638"/>
      <c r="B530" s="573"/>
      <c r="C530" s="575"/>
      <c r="D530" s="701"/>
      <c r="E530" s="701"/>
      <c r="F530" s="701"/>
      <c r="G530" s="698"/>
      <c r="H530" s="526" t="s">
        <v>9</v>
      </c>
      <c r="I530" s="526" t="s">
        <v>10</v>
      </c>
      <c r="J530" s="526" t="s">
        <v>554</v>
      </c>
      <c r="K530" s="526" t="s">
        <v>12</v>
      </c>
      <c r="L530" s="698"/>
      <c r="M530" s="704"/>
    </row>
    <row r="531" spans="1:13" s="523" customFormat="1" ht="12.75" customHeight="1" x14ac:dyDescent="0.25">
      <c r="A531" s="490">
        <v>1</v>
      </c>
      <c r="B531" s="488">
        <v>2</v>
      </c>
      <c r="C531" s="487">
        <v>3</v>
      </c>
      <c r="D531" s="526">
        <v>4</v>
      </c>
      <c r="E531" s="526">
        <v>5</v>
      </c>
      <c r="F531" s="526" t="s">
        <v>551</v>
      </c>
      <c r="G531" s="526">
        <v>7</v>
      </c>
      <c r="H531" s="526">
        <v>8</v>
      </c>
      <c r="I531" s="526">
        <v>7</v>
      </c>
      <c r="J531" s="526">
        <v>9</v>
      </c>
      <c r="K531" s="526">
        <v>10</v>
      </c>
      <c r="L531" s="526">
        <v>10</v>
      </c>
      <c r="M531" s="529">
        <v>11</v>
      </c>
    </row>
    <row r="532" spans="1:13" s="523" customFormat="1" ht="12.75" customHeight="1" x14ac:dyDescent="0.25">
      <c r="A532" s="490">
        <v>5436</v>
      </c>
      <c r="B532" s="488"/>
      <c r="C532" s="82" t="s">
        <v>520</v>
      </c>
      <c r="D532" s="248">
        <f>D9</f>
        <v>63655</v>
      </c>
      <c r="E532" s="100">
        <f>E9</f>
        <v>1643534</v>
      </c>
      <c r="F532" s="100">
        <f>D532+E532</f>
        <v>1707189</v>
      </c>
      <c r="G532" s="100">
        <f>SUM(H532:M532)</f>
        <v>794070</v>
      </c>
      <c r="H532" s="100">
        <f t="shared" ref="H532:M532" si="163">H9</f>
        <v>2483</v>
      </c>
      <c r="I532" s="100">
        <f t="shared" si="163"/>
        <v>0</v>
      </c>
      <c r="J532" s="100">
        <f t="shared" si="163"/>
        <v>0</v>
      </c>
      <c r="K532" s="100">
        <f t="shared" si="163"/>
        <v>785888</v>
      </c>
      <c r="L532" s="100">
        <f t="shared" si="163"/>
        <v>0</v>
      </c>
      <c r="M532" s="121">
        <f t="shared" si="163"/>
        <v>5699</v>
      </c>
    </row>
    <row r="533" spans="1:13" s="523" customFormat="1" ht="12.75" customHeight="1" x14ac:dyDescent="0.25">
      <c r="A533" s="490">
        <v>5437</v>
      </c>
      <c r="B533" s="488"/>
      <c r="C533" s="82" t="s">
        <v>521</v>
      </c>
      <c r="D533" s="248">
        <f>D220</f>
        <v>69812</v>
      </c>
      <c r="E533" s="100">
        <f>E220</f>
        <v>1643283</v>
      </c>
      <c r="F533" s="100">
        <f>D533+E533</f>
        <v>1713095</v>
      </c>
      <c r="G533" s="100">
        <f>SUM(H533:M533)</f>
        <v>803277</v>
      </c>
      <c r="H533" s="100">
        <f t="shared" ref="H533:M533" si="164">H220</f>
        <v>2737</v>
      </c>
      <c r="I533" s="100">
        <f t="shared" si="164"/>
        <v>0</v>
      </c>
      <c r="J533" s="100">
        <f t="shared" si="164"/>
        <v>5866</v>
      </c>
      <c r="K533" s="100">
        <f t="shared" si="164"/>
        <v>787205</v>
      </c>
      <c r="L533" s="100">
        <f t="shared" si="164"/>
        <v>0</v>
      </c>
      <c r="M533" s="121">
        <f t="shared" si="164"/>
        <v>7469</v>
      </c>
    </row>
    <row r="534" spans="1:13" s="523" customFormat="1" ht="12.75" customHeight="1" x14ac:dyDescent="0.25">
      <c r="A534" s="266">
        <v>5438</v>
      </c>
      <c r="B534" s="83"/>
      <c r="C534" s="84" t="s">
        <v>522</v>
      </c>
      <c r="D534" s="249">
        <f>IF((D532-D533)&gt;0,D532-D533,0)</f>
        <v>0</v>
      </c>
      <c r="E534" s="109">
        <f>IF((E532-E533)&gt;0,E532-E533,0)</f>
        <v>251</v>
      </c>
      <c r="F534" s="109">
        <f>IF((F532-F533)&gt;0,F532-F533,0)</f>
        <v>0</v>
      </c>
      <c r="G534" s="109">
        <f>IF((G532-G533)&gt;0,G532-G533,0)</f>
        <v>0</v>
      </c>
      <c r="H534" s="109">
        <f t="shared" ref="H534:M534" si="165">IF((H532-H533)&gt;0,H532-H533,0)</f>
        <v>0</v>
      </c>
      <c r="I534" s="109">
        <f t="shared" si="165"/>
        <v>0</v>
      </c>
      <c r="J534" s="109">
        <f t="shared" si="165"/>
        <v>0</v>
      </c>
      <c r="K534" s="109">
        <f t="shared" si="165"/>
        <v>0</v>
      </c>
      <c r="L534" s="109">
        <f t="shared" si="165"/>
        <v>0</v>
      </c>
      <c r="M534" s="122">
        <f t="shared" si="165"/>
        <v>0</v>
      </c>
    </row>
    <row r="535" spans="1:13" s="523" customFormat="1" ht="12.75" customHeight="1" x14ac:dyDescent="0.25">
      <c r="A535" s="266">
        <v>5439</v>
      </c>
      <c r="B535" s="83"/>
      <c r="C535" s="84" t="s">
        <v>523</v>
      </c>
      <c r="D535" s="249">
        <f>IF((D533-D532)&gt;0,D533-D532,0)</f>
        <v>6157</v>
      </c>
      <c r="E535" s="109">
        <f>IF((E533-E532)&gt;0,E533-E532,0)</f>
        <v>0</v>
      </c>
      <c r="F535" s="109">
        <f>IF((F533-F532)&gt;0,F533-F532,0)</f>
        <v>5906</v>
      </c>
      <c r="G535" s="109">
        <f>IF((G533-G532)&gt;0,G533-G532,0)</f>
        <v>9207</v>
      </c>
      <c r="H535" s="109">
        <f t="shared" ref="H535:M535" si="166">IF((H533-H532)&gt;0,H533-H532,0)</f>
        <v>254</v>
      </c>
      <c r="I535" s="109">
        <f t="shared" si="166"/>
        <v>0</v>
      </c>
      <c r="J535" s="109">
        <f t="shared" si="166"/>
        <v>5866</v>
      </c>
      <c r="K535" s="109">
        <f t="shared" si="166"/>
        <v>1317</v>
      </c>
      <c r="L535" s="109">
        <f t="shared" si="166"/>
        <v>0</v>
      </c>
      <c r="M535" s="122">
        <f t="shared" si="166"/>
        <v>1770</v>
      </c>
    </row>
    <row r="536" spans="1:13" s="523" customFormat="1" ht="12.75" customHeight="1" x14ac:dyDescent="0.25">
      <c r="A536" s="490">
        <v>5440</v>
      </c>
      <c r="B536" s="488">
        <v>900000</v>
      </c>
      <c r="C536" s="82" t="s">
        <v>524</v>
      </c>
      <c r="D536" s="82"/>
      <c r="E536" s="100">
        <f>E163</f>
        <v>0</v>
      </c>
      <c r="F536" s="100"/>
      <c r="G536" s="100">
        <f>SUM(H536:M536)</f>
        <v>0</v>
      </c>
      <c r="H536" s="100">
        <f t="shared" ref="H536:M536" si="167">H163</f>
        <v>0</v>
      </c>
      <c r="I536" s="100">
        <f t="shared" si="167"/>
        <v>0</v>
      </c>
      <c r="J536" s="100">
        <f t="shared" si="167"/>
        <v>0</v>
      </c>
      <c r="K536" s="100">
        <f t="shared" si="167"/>
        <v>0</v>
      </c>
      <c r="L536" s="100">
        <f t="shared" si="167"/>
        <v>0</v>
      </c>
      <c r="M536" s="121">
        <f t="shared" si="167"/>
        <v>0</v>
      </c>
    </row>
    <row r="537" spans="1:13" s="523" customFormat="1" ht="12.75" customHeight="1" x14ac:dyDescent="0.25">
      <c r="A537" s="490">
        <v>5441</v>
      </c>
      <c r="B537" s="488">
        <v>600000</v>
      </c>
      <c r="C537" s="82" t="s">
        <v>525</v>
      </c>
      <c r="D537" s="82"/>
      <c r="E537" s="100">
        <f>E468</f>
        <v>0</v>
      </c>
      <c r="F537" s="100"/>
      <c r="G537" s="100">
        <f>SUM(H537:M537)</f>
        <v>0</v>
      </c>
      <c r="H537" s="100">
        <f t="shared" ref="H537:M537" si="168">H468</f>
        <v>0</v>
      </c>
      <c r="I537" s="100">
        <f t="shared" si="168"/>
        <v>0</v>
      </c>
      <c r="J537" s="100">
        <f t="shared" si="168"/>
        <v>0</v>
      </c>
      <c r="K537" s="100">
        <f t="shared" si="168"/>
        <v>0</v>
      </c>
      <c r="L537" s="100">
        <f t="shared" si="168"/>
        <v>0</v>
      </c>
      <c r="M537" s="121">
        <f t="shared" si="168"/>
        <v>0</v>
      </c>
    </row>
    <row r="538" spans="1:13" s="523" customFormat="1" ht="12.75" customHeight="1" x14ac:dyDescent="0.25">
      <c r="A538" s="490">
        <v>5442</v>
      </c>
      <c r="B538" s="488"/>
      <c r="C538" s="82" t="s">
        <v>526</v>
      </c>
      <c r="D538" s="82"/>
      <c r="E538" s="100">
        <f>IF((E536-E537)&gt;0,E536-E537,0)</f>
        <v>0</v>
      </c>
      <c r="F538" s="100"/>
      <c r="G538" s="100">
        <f>IF((G536-G537)&gt;0,G536-G537,0)</f>
        <v>0</v>
      </c>
      <c r="H538" s="100">
        <f t="shared" ref="H538:M538" si="169">IF((H536-H537)&gt;0,H536-H537,0)</f>
        <v>0</v>
      </c>
      <c r="I538" s="100">
        <f t="shared" si="169"/>
        <v>0</v>
      </c>
      <c r="J538" s="100">
        <f t="shared" si="169"/>
        <v>0</v>
      </c>
      <c r="K538" s="100">
        <f t="shared" si="169"/>
        <v>0</v>
      </c>
      <c r="L538" s="100">
        <f t="shared" si="169"/>
        <v>0</v>
      </c>
      <c r="M538" s="121">
        <f t="shared" si="169"/>
        <v>0</v>
      </c>
    </row>
    <row r="539" spans="1:13" s="523" customFormat="1" ht="12.75" customHeight="1" x14ac:dyDescent="0.25">
      <c r="A539" s="490">
        <v>5443</v>
      </c>
      <c r="B539" s="488"/>
      <c r="C539" s="82" t="s">
        <v>527</v>
      </c>
      <c r="D539" s="82"/>
      <c r="E539" s="100">
        <f>IF((E537-E536)&gt;0,E537-E536,0)</f>
        <v>0</v>
      </c>
      <c r="F539" s="100"/>
      <c r="G539" s="100">
        <f>IF((G537-G536)&gt;0,G537-G536,0)</f>
        <v>0</v>
      </c>
      <c r="H539" s="100">
        <f t="shared" ref="H539:M539" si="170">IF((H537-H536)&gt;0,H537-H536,0)</f>
        <v>0</v>
      </c>
      <c r="I539" s="100">
        <f t="shared" si="170"/>
        <v>0</v>
      </c>
      <c r="J539" s="100">
        <f t="shared" si="170"/>
        <v>0</v>
      </c>
      <c r="K539" s="100">
        <f t="shared" si="170"/>
        <v>0</v>
      </c>
      <c r="L539" s="100">
        <f t="shared" si="170"/>
        <v>0</v>
      </c>
      <c r="M539" s="121">
        <f t="shared" si="170"/>
        <v>0</v>
      </c>
    </row>
    <row r="540" spans="1:13" s="523" customFormat="1" ht="12.75" customHeight="1" x14ac:dyDescent="0.25">
      <c r="A540" s="490">
        <v>5444</v>
      </c>
      <c r="B540" s="488"/>
      <c r="C540" s="82" t="s">
        <v>528</v>
      </c>
      <c r="D540" s="82"/>
      <c r="E540" s="100">
        <f t="shared" ref="E540:M540" si="171">IF(E211-E524&gt;0,E211-E524,0)</f>
        <v>251</v>
      </c>
      <c r="F540" s="100"/>
      <c r="G540" s="100">
        <f t="shared" si="171"/>
        <v>0</v>
      </c>
      <c r="H540" s="100">
        <f t="shared" si="171"/>
        <v>0</v>
      </c>
      <c r="I540" s="100">
        <f t="shared" si="171"/>
        <v>0</v>
      </c>
      <c r="J540" s="100">
        <f t="shared" si="171"/>
        <v>0</v>
      </c>
      <c r="K540" s="100">
        <f t="shared" si="171"/>
        <v>0</v>
      </c>
      <c r="L540" s="100">
        <f t="shared" si="171"/>
        <v>0</v>
      </c>
      <c r="M540" s="121">
        <f t="shared" si="171"/>
        <v>0</v>
      </c>
    </row>
    <row r="541" spans="1:13" s="523" customFormat="1" ht="12.75" customHeight="1" thickBot="1" x14ac:dyDescent="0.3">
      <c r="A541" s="267">
        <v>5445</v>
      </c>
      <c r="B541" s="87"/>
      <c r="C541" s="89" t="s">
        <v>529</v>
      </c>
      <c r="D541" s="250">
        <f t="shared" ref="D541:M541" si="172">IF(D524-D211&gt;0,D524-D211,0)</f>
        <v>6157</v>
      </c>
      <c r="E541" s="113">
        <f t="shared" si="172"/>
        <v>0</v>
      </c>
      <c r="F541" s="113">
        <f t="shared" si="172"/>
        <v>5906</v>
      </c>
      <c r="G541" s="113">
        <f t="shared" si="172"/>
        <v>9207</v>
      </c>
      <c r="H541" s="113">
        <f t="shared" si="172"/>
        <v>254</v>
      </c>
      <c r="I541" s="113">
        <f t="shared" si="172"/>
        <v>0</v>
      </c>
      <c r="J541" s="113">
        <f t="shared" si="172"/>
        <v>5866</v>
      </c>
      <c r="K541" s="113">
        <f t="shared" si="172"/>
        <v>1317</v>
      </c>
      <c r="L541" s="113">
        <f t="shared" si="172"/>
        <v>0</v>
      </c>
      <c r="M541" s="123">
        <f t="shared" si="172"/>
        <v>1770</v>
      </c>
    </row>
  </sheetData>
  <mergeCells count="197">
    <mergeCell ref="G5:M5"/>
    <mergeCell ref="N5:N7"/>
    <mergeCell ref="G6:G7"/>
    <mergeCell ref="H6:K6"/>
    <mergeCell ref="L6:L7"/>
    <mergeCell ref="M6:M7"/>
    <mergeCell ref="A5:A7"/>
    <mergeCell ref="B5:B7"/>
    <mergeCell ref="C5:C7"/>
    <mergeCell ref="D5:D7"/>
    <mergeCell ref="E5:E7"/>
    <mergeCell ref="F5:F7"/>
    <mergeCell ref="A14:A16"/>
    <mergeCell ref="B14:B16"/>
    <mergeCell ref="C14:C16"/>
    <mergeCell ref="E14:E16"/>
    <mergeCell ref="G14:M14"/>
    <mergeCell ref="G15:G16"/>
    <mergeCell ref="H15:K15"/>
    <mergeCell ref="L15:L16"/>
    <mergeCell ref="M15:M16"/>
    <mergeCell ref="A46:A48"/>
    <mergeCell ref="B46:B48"/>
    <mergeCell ref="C46:C48"/>
    <mergeCell ref="E46:E48"/>
    <mergeCell ref="G46:M46"/>
    <mergeCell ref="G47:G48"/>
    <mergeCell ref="H47:K47"/>
    <mergeCell ref="L47:L48"/>
    <mergeCell ref="M47:M48"/>
    <mergeCell ref="A73:A75"/>
    <mergeCell ref="B73:B75"/>
    <mergeCell ref="C73:C75"/>
    <mergeCell ref="E73:E75"/>
    <mergeCell ref="G73:M73"/>
    <mergeCell ref="G74:G75"/>
    <mergeCell ref="H74:K74"/>
    <mergeCell ref="L74:L75"/>
    <mergeCell ref="M74:M75"/>
    <mergeCell ref="A103:A105"/>
    <mergeCell ref="B103:B105"/>
    <mergeCell ref="C103:C105"/>
    <mergeCell ref="E103:E105"/>
    <mergeCell ref="G103:M103"/>
    <mergeCell ref="G104:G105"/>
    <mergeCell ref="H104:K104"/>
    <mergeCell ref="L104:L105"/>
    <mergeCell ref="M104:M105"/>
    <mergeCell ref="A129:A131"/>
    <mergeCell ref="B129:B131"/>
    <mergeCell ref="C129:C131"/>
    <mergeCell ref="E129:E131"/>
    <mergeCell ref="G129:M129"/>
    <mergeCell ref="G130:G131"/>
    <mergeCell ref="H130:K130"/>
    <mergeCell ref="L130:L131"/>
    <mergeCell ref="M130:M131"/>
    <mergeCell ref="A156:A158"/>
    <mergeCell ref="B156:B158"/>
    <mergeCell ref="C156:C158"/>
    <mergeCell ref="E156:E158"/>
    <mergeCell ref="G156:M156"/>
    <mergeCell ref="G157:G158"/>
    <mergeCell ref="H157:K157"/>
    <mergeCell ref="L157:L158"/>
    <mergeCell ref="M157:M158"/>
    <mergeCell ref="A182:A184"/>
    <mergeCell ref="B182:B184"/>
    <mergeCell ref="C182:C184"/>
    <mergeCell ref="E182:E184"/>
    <mergeCell ref="G182:M182"/>
    <mergeCell ref="G183:G184"/>
    <mergeCell ref="H183:K183"/>
    <mergeCell ref="L183:L184"/>
    <mergeCell ref="M183:M184"/>
    <mergeCell ref="A204:A206"/>
    <mergeCell ref="B204:B206"/>
    <mergeCell ref="C204:C206"/>
    <mergeCell ref="E204:E206"/>
    <mergeCell ref="G204:M204"/>
    <mergeCell ref="G205:G206"/>
    <mergeCell ref="H205:K205"/>
    <mergeCell ref="L205:L206"/>
    <mergeCell ref="M205:M206"/>
    <mergeCell ref="G216:M216"/>
    <mergeCell ref="N216:N218"/>
    <mergeCell ref="G217:G218"/>
    <mergeCell ref="H217:K217"/>
    <mergeCell ref="L217:L218"/>
    <mergeCell ref="M217:M218"/>
    <mergeCell ref="A216:A218"/>
    <mergeCell ref="B216:B218"/>
    <mergeCell ref="C216:C218"/>
    <mergeCell ref="D216:D218"/>
    <mergeCell ref="E216:E218"/>
    <mergeCell ref="F216:F218"/>
    <mergeCell ref="A235:A237"/>
    <mergeCell ref="B235:B237"/>
    <mergeCell ref="C235:C237"/>
    <mergeCell ref="E235:E237"/>
    <mergeCell ref="G235:M235"/>
    <mergeCell ref="G236:G237"/>
    <mergeCell ref="H236:K236"/>
    <mergeCell ref="L236:L237"/>
    <mergeCell ref="M236:M237"/>
    <mergeCell ref="A271:A273"/>
    <mergeCell ref="B271:B273"/>
    <mergeCell ref="C271:C273"/>
    <mergeCell ref="E271:E273"/>
    <mergeCell ref="G271:M271"/>
    <mergeCell ref="G272:G273"/>
    <mergeCell ref="H272:K272"/>
    <mergeCell ref="L272:L273"/>
    <mergeCell ref="M272:M273"/>
    <mergeCell ref="A302:A304"/>
    <mergeCell ref="B302:B304"/>
    <mergeCell ref="C302:C304"/>
    <mergeCell ref="E302:E304"/>
    <mergeCell ref="G302:M302"/>
    <mergeCell ref="G303:G304"/>
    <mergeCell ref="H303:K303"/>
    <mergeCell ref="L303:L304"/>
    <mergeCell ref="M303:M304"/>
    <mergeCell ref="A332:A334"/>
    <mergeCell ref="B332:B334"/>
    <mergeCell ref="C332:C334"/>
    <mergeCell ref="E332:E334"/>
    <mergeCell ref="G332:M332"/>
    <mergeCell ref="G333:G334"/>
    <mergeCell ref="H333:K333"/>
    <mergeCell ref="L333:L334"/>
    <mergeCell ref="M333:M334"/>
    <mergeCell ref="A358:A360"/>
    <mergeCell ref="B358:B360"/>
    <mergeCell ref="C358:C360"/>
    <mergeCell ref="E358:E360"/>
    <mergeCell ref="G358:M358"/>
    <mergeCell ref="G359:G360"/>
    <mergeCell ref="H359:K359"/>
    <mergeCell ref="L359:L360"/>
    <mergeCell ref="M359:M360"/>
    <mergeCell ref="A383:A385"/>
    <mergeCell ref="B383:B385"/>
    <mergeCell ref="C383:C385"/>
    <mergeCell ref="E383:E385"/>
    <mergeCell ref="G383:M383"/>
    <mergeCell ref="G384:G385"/>
    <mergeCell ref="H384:K384"/>
    <mergeCell ref="L384:L385"/>
    <mergeCell ref="M384:M385"/>
    <mergeCell ref="A411:A413"/>
    <mergeCell ref="B411:B413"/>
    <mergeCell ref="C411:C413"/>
    <mergeCell ref="E411:E413"/>
    <mergeCell ref="G411:M411"/>
    <mergeCell ref="G412:G413"/>
    <mergeCell ref="H412:K412"/>
    <mergeCell ref="L412:L413"/>
    <mergeCell ref="M412:M413"/>
    <mergeCell ref="A446:A448"/>
    <mergeCell ref="B446:B448"/>
    <mergeCell ref="C446:C448"/>
    <mergeCell ref="E446:E448"/>
    <mergeCell ref="G446:M446"/>
    <mergeCell ref="G447:G448"/>
    <mergeCell ref="H447:K447"/>
    <mergeCell ref="L447:L448"/>
    <mergeCell ref="M447:M448"/>
    <mergeCell ref="A474:A476"/>
    <mergeCell ref="B474:B476"/>
    <mergeCell ref="C474:C476"/>
    <mergeCell ref="E474:E476"/>
    <mergeCell ref="G474:M474"/>
    <mergeCell ref="G475:G476"/>
    <mergeCell ref="H475:K475"/>
    <mergeCell ref="L475:L476"/>
    <mergeCell ref="M475:M476"/>
    <mergeCell ref="A501:A503"/>
    <mergeCell ref="B501:B503"/>
    <mergeCell ref="C501:C503"/>
    <mergeCell ref="E501:E503"/>
    <mergeCell ref="G501:M501"/>
    <mergeCell ref="G502:G503"/>
    <mergeCell ref="H502:K502"/>
    <mergeCell ref="L502:L503"/>
    <mergeCell ref="M502:M503"/>
    <mergeCell ref="G528:M528"/>
    <mergeCell ref="G529:G530"/>
    <mergeCell ref="H529:K529"/>
    <mergeCell ref="L529:L530"/>
    <mergeCell ref="M529:M530"/>
    <mergeCell ref="A528:A530"/>
    <mergeCell ref="B528:B530"/>
    <mergeCell ref="C528:C530"/>
    <mergeCell ref="D528:D530"/>
    <mergeCell ref="E528:E530"/>
    <mergeCell ref="F528:F530"/>
  </mergeCells>
  <dataValidations count="1">
    <dataValidation type="whole" allowBlank="1" showErrorMessage="1" errorTitle="Upozorenje" error="Niste uneli korektnu vrednost!_x000a_Ponovite unos." sqref="E9:M13 E220:M234 G275:M301 E275:E301 G239:M270 E239:E270 G107:M128 E107:E128 G77:M102 E77:E102 E415:M445 E387:M410 E450:M473 E478:M500 E362:M382 E336:M357 E306:M331 E505:M524 F77:F128 E186:M203 E160:M181 E133:M155 E50:M72 E18:M45 F235:F301 E208:M211">
      <formula1>0</formula1>
      <formula2>999999999</formula2>
    </dataValidation>
  </dataValidations>
  <pageMargins left="0.16" right="0.16" top="0.56999999999999995" bottom="0.26" header="0.22" footer="0.3"/>
  <pageSetup paperSize="9" scale="95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99FF"/>
  </sheetPr>
  <dimension ref="A1:X549"/>
  <sheetViews>
    <sheetView topLeftCell="A126" workbookViewId="0">
      <selection sqref="A1:XFD1048576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10.42578125" style="12" customWidth="1"/>
    <col min="7" max="7" width="1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7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2" width="0" style="12" hidden="1" customWidth="1"/>
    <col min="23" max="23" width="4.85546875" style="12" customWidth="1"/>
    <col min="24" max="25" width="9.140625" style="12"/>
    <col min="26" max="26" width="20.7109375" style="12" customWidth="1"/>
    <col min="27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1655252</v>
      </c>
      <c r="G6" s="19">
        <f t="shared" ref="G6:Q6" si="0">G7+G133</f>
        <v>3039656</v>
      </c>
      <c r="H6" s="19">
        <f t="shared" si="0"/>
        <v>30200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1611052</v>
      </c>
      <c r="N6" s="19">
        <f t="shared" si="0"/>
        <v>1398192</v>
      </c>
      <c r="O6" s="19">
        <f t="shared" si="0"/>
        <v>0</v>
      </c>
      <c r="P6" s="19">
        <f t="shared" si="0"/>
        <v>13000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1655052</v>
      </c>
      <c r="G7" s="19">
        <f>G8+G60+G74+G86+G115+G122+G126</f>
        <v>3039472</v>
      </c>
      <c r="H7" s="19">
        <f t="shared" ref="H7:Q7" si="1">H8+H60+H74+H86+H115+H122+H126</f>
        <v>30200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1611052</v>
      </c>
      <c r="N7" s="19">
        <f t="shared" si="1"/>
        <v>1398192</v>
      </c>
      <c r="O7" s="19">
        <f t="shared" si="1"/>
        <v>0</v>
      </c>
      <c r="P7" s="19">
        <f t="shared" si="1"/>
        <v>12800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15300</v>
      </c>
      <c r="G86" s="19">
        <f t="shared" ref="G86:Q86" si="21">G87+G94+G99+G110+G113</f>
        <v>14780</v>
      </c>
      <c r="H86" s="19">
        <f>H87+H94+H99+H110+H113</f>
        <v>1000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f>M87+M94+M120</f>
        <v>1500</v>
      </c>
      <c r="N86" s="19">
        <f t="shared" si="21"/>
        <v>1130</v>
      </c>
      <c r="O86" s="19">
        <f t="shared" si="21"/>
        <v>0</v>
      </c>
      <c r="P86" s="19">
        <f>P87+P94+P99+P110+P113+P120</f>
        <v>12800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1500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1500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1500</v>
      </c>
      <c r="G91" s="37">
        <f>SUM(I91:Q91)-K91-M91-P91</f>
        <v>1130</v>
      </c>
      <c r="H91" s="37"/>
      <c r="I91" s="38"/>
      <c r="J91" s="38"/>
      <c r="K91" s="38"/>
      <c r="L91" s="38"/>
      <c r="M91" s="38">
        <v>1500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1000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12700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1000</v>
      </c>
      <c r="I97" s="36">
        <v>1165</v>
      </c>
      <c r="J97" s="36"/>
      <c r="K97" s="36"/>
      <c r="L97" s="36"/>
      <c r="M97" s="36"/>
      <c r="N97" s="36"/>
      <c r="O97" s="36"/>
      <c r="P97" s="36">
        <v>7700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22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22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22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22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22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22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22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22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3006614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22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22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1609552</v>
      </c>
      <c r="G122" s="19">
        <f t="shared" ref="G122:Q122" si="33">G123</f>
        <v>3006614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1609552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22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1609552</v>
      </c>
      <c r="G123" s="19">
        <f t="shared" ref="G123:Q123" si="34">G124+G125</f>
        <v>3006614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1609552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22" ht="28.5" x14ac:dyDescent="0.4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1609552</v>
      </c>
      <c r="G124" s="37">
        <f>SUM(I124:Q124)</f>
        <v>3006614</v>
      </c>
      <c r="H124" s="37"/>
      <c r="I124" s="36"/>
      <c r="J124" s="36"/>
      <c r="K124" s="36"/>
      <c r="L124" s="36"/>
      <c r="M124" s="36">
        <f>1597834+3040+8678</f>
        <v>1609552</v>
      </c>
      <c r="N124" s="36">
        <v>1397062</v>
      </c>
      <c r="O124" s="36"/>
      <c r="P124" s="36"/>
      <c r="Q124" s="72"/>
      <c r="V124" s="388" t="s">
        <v>538</v>
      </c>
    </row>
    <row r="125" spans="1:22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22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30200</v>
      </c>
      <c r="G126" s="19">
        <f t="shared" ref="G126:Q126" si="36">G127</f>
        <v>18078</v>
      </c>
      <c r="H126" s="19">
        <f>H127</f>
        <v>29200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22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30200</v>
      </c>
      <c r="G127" s="19">
        <f t="shared" ref="G127:Q127" si="37">G132</f>
        <v>18078</v>
      </c>
      <c r="H127" s="19">
        <f t="shared" si="37"/>
        <v>29200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22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22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22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22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22" ht="26.25" x14ac:dyDescent="0.4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30200</v>
      </c>
      <c r="G132" s="389">
        <f>SUM(I132:Q132)-K132-M132-P132</f>
        <v>18078</v>
      </c>
      <c r="H132" s="389">
        <f>25000+4200</f>
        <v>29200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  <c r="V132" s="388" t="s">
        <v>538</v>
      </c>
    </row>
    <row r="133" spans="1:22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22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>K135+K137+K139</f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22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22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22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22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22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22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22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22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22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22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1655252</v>
      </c>
      <c r="G210" s="42">
        <f t="shared" si="61"/>
        <v>3039656</v>
      </c>
      <c r="H210" s="42">
        <f t="shared" si="61"/>
        <v>30200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1611052</v>
      </c>
      <c r="N210" s="42">
        <f t="shared" si="61"/>
        <v>1398192</v>
      </c>
      <c r="O210" s="42">
        <f t="shared" si="61"/>
        <v>0</v>
      </c>
      <c r="P210" s="42">
        <f t="shared" si="61"/>
        <v>13000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1655257</v>
      </c>
      <c r="G219" s="19">
        <f t="shared" si="62"/>
        <v>1138166</v>
      </c>
      <c r="H219" s="19">
        <f t="shared" si="62"/>
        <v>30200</v>
      </c>
      <c r="I219" s="19">
        <f t="shared" si="62"/>
        <v>1577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1611052</v>
      </c>
      <c r="N219" s="19">
        <f t="shared" si="62"/>
        <v>1125638</v>
      </c>
      <c r="O219" s="19">
        <f t="shared" si="62"/>
        <v>0</v>
      </c>
      <c r="P219" s="19">
        <f t="shared" si="62"/>
        <v>13005</v>
      </c>
      <c r="Q219" s="19">
        <f t="shared" si="62"/>
        <v>9668</v>
      </c>
      <c r="R219" s="44">
        <f>H219+K219+M219+P219</f>
        <v>1655257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1623356</v>
      </c>
      <c r="G220" s="19">
        <f t="shared" ref="G220:Q220" si="63">G221+G247+G314+G333+G361+G374+G394+G413</f>
        <v>1134903</v>
      </c>
      <c r="H220" s="19">
        <f t="shared" si="63"/>
        <v>1000</v>
      </c>
      <c r="I220" s="19">
        <f t="shared" si="63"/>
        <v>127</v>
      </c>
      <c r="J220" s="19">
        <f t="shared" si="63"/>
        <v>0</v>
      </c>
      <c r="K220" s="19">
        <f t="shared" si="63"/>
        <v>0</v>
      </c>
      <c r="L220" s="19">
        <f t="shared" si="63"/>
        <v>1273</v>
      </c>
      <c r="M220" s="19">
        <f t="shared" si="63"/>
        <v>1611052</v>
      </c>
      <c r="N220" s="19">
        <f t="shared" si="63"/>
        <v>1125638</v>
      </c>
      <c r="O220" s="19">
        <f t="shared" si="63"/>
        <v>0</v>
      </c>
      <c r="P220" s="19">
        <f t="shared" si="63"/>
        <v>11304</v>
      </c>
      <c r="Q220" s="19">
        <f t="shared" si="63"/>
        <v>7855</v>
      </c>
      <c r="R220" s="44">
        <f>F220+F434</f>
        <v>1655257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1216506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1212877</v>
      </c>
      <c r="N221" s="19">
        <f t="shared" si="64"/>
        <v>1025065</v>
      </c>
      <c r="O221" s="19">
        <f t="shared" si="64"/>
        <v>0</v>
      </c>
      <c r="P221" s="19">
        <f t="shared" si="64"/>
        <v>3629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1010985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1008061</v>
      </c>
      <c r="N222" s="19">
        <f t="shared" si="65"/>
        <v>849796</v>
      </c>
      <c r="O222" s="19">
        <f t="shared" si="65"/>
        <v>0</v>
      </c>
      <c r="P222" s="19">
        <f t="shared" si="65"/>
        <v>2924</v>
      </c>
      <c r="Q222" s="19">
        <f t="shared" si="65"/>
        <v>1989</v>
      </c>
    </row>
    <row r="223" spans="1:18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1010985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1008061</v>
      </c>
      <c r="N223" s="36">
        <f>851785-1989</f>
        <v>849796</v>
      </c>
      <c r="O223" s="36"/>
      <c r="P223" s="36">
        <v>2924</v>
      </c>
      <c r="Q223" s="36">
        <v>1989</v>
      </c>
      <c r="R223" s="44">
        <f>M223+P223</f>
        <v>1010985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153194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152721</v>
      </c>
      <c r="N224" s="19">
        <f t="shared" si="66"/>
        <v>141535</v>
      </c>
      <c r="O224" s="19">
        <f t="shared" si="66"/>
        <v>0</v>
      </c>
      <c r="P224" s="19">
        <f t="shared" si="66"/>
        <v>473</v>
      </c>
      <c r="Q224" s="19">
        <f t="shared" si="66"/>
        <v>331</v>
      </c>
    </row>
    <row r="225" spans="1:22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101128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100806</v>
      </c>
      <c r="N225" s="36">
        <f>97986-229</f>
        <v>97757</v>
      </c>
      <c r="O225" s="36"/>
      <c r="P225" s="36">
        <v>322</v>
      </c>
      <c r="Q225" s="36">
        <v>229</v>
      </c>
    </row>
    <row r="226" spans="1:22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52066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51915</v>
      </c>
      <c r="N226" s="36">
        <f>43880-102</f>
        <v>43778</v>
      </c>
      <c r="O226" s="36"/>
      <c r="P226" s="36">
        <v>151</v>
      </c>
      <c r="Q226" s="36">
        <v>102</v>
      </c>
    </row>
    <row r="227" spans="1:22" ht="15" hidden="1" customHeight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22" ht="15" hidden="1" customHeight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22" ht="15" hidden="1" customHeight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22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9632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9400</v>
      </c>
      <c r="N230" s="19">
        <f t="shared" si="69"/>
        <v>4959</v>
      </c>
      <c r="O230" s="19">
        <f t="shared" si="69"/>
        <v>0</v>
      </c>
      <c r="P230" s="19">
        <f t="shared" si="69"/>
        <v>232</v>
      </c>
      <c r="Q230" s="19">
        <f t="shared" si="69"/>
        <v>280</v>
      </c>
    </row>
    <row r="231" spans="1:22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22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22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8432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v>8200</v>
      </c>
      <c r="N233" s="36">
        <v>3654</v>
      </c>
      <c r="O233" s="36"/>
      <c r="P233" s="36">
        <v>232</v>
      </c>
      <c r="Q233" s="36">
        <v>280</v>
      </c>
    </row>
    <row r="234" spans="1:22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22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22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22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22" ht="54" x14ac:dyDescent="0.4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1200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1200</v>
      </c>
      <c r="N238" s="36">
        <v>1305</v>
      </c>
      <c r="O238" s="36"/>
      <c r="P238" s="36"/>
      <c r="Q238" s="36"/>
      <c r="V238" s="388" t="s">
        <v>538</v>
      </c>
    </row>
    <row r="239" spans="1:22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28788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28788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22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28788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28788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13907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13907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13907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13907</v>
      </c>
      <c r="N242" s="36">
        <v>9143</v>
      </c>
      <c r="O242" s="36"/>
      <c r="P242" s="36"/>
      <c r="Q242" s="36"/>
    </row>
    <row r="243" spans="1:18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395870</v>
      </c>
      <c r="G247" s="19">
        <f t="shared" si="74"/>
        <v>99459</v>
      </c>
      <c r="H247" s="19">
        <f t="shared" si="74"/>
        <v>1000</v>
      </c>
      <c r="I247" s="19">
        <f t="shared" si="74"/>
        <v>127</v>
      </c>
      <c r="J247" s="19">
        <f t="shared" si="74"/>
        <v>0</v>
      </c>
      <c r="K247" s="19">
        <f t="shared" si="74"/>
        <v>0</v>
      </c>
      <c r="L247" s="19">
        <f t="shared" si="74"/>
        <v>1273</v>
      </c>
      <c r="M247" s="19">
        <f t="shared" si="74"/>
        <v>388095</v>
      </c>
      <c r="N247" s="19">
        <f t="shared" si="74"/>
        <v>93155</v>
      </c>
      <c r="O247" s="19">
        <f t="shared" si="74"/>
        <v>0</v>
      </c>
      <c r="P247" s="19">
        <f t="shared" si="74"/>
        <v>6775</v>
      </c>
      <c r="Q247" s="19">
        <f t="shared" si="74"/>
        <v>4904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116727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115584</v>
      </c>
      <c r="N248" s="19">
        <f t="shared" si="75"/>
        <v>80545</v>
      </c>
      <c r="O248" s="19">
        <f t="shared" si="75"/>
        <v>0</v>
      </c>
      <c r="P248" s="19">
        <f t="shared" si="75"/>
        <v>1143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1580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1500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98556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v>98306</v>
      </c>
      <c r="N250" s="36">
        <v>65188</v>
      </c>
      <c r="O250" s="36"/>
      <c r="P250" s="36">
        <v>250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11326</v>
      </c>
      <c r="G251" s="37">
        <f t="shared" si="76"/>
        <v>9465</v>
      </c>
      <c r="H251" s="37"/>
      <c r="I251" s="36"/>
      <c r="J251" s="36"/>
      <c r="K251" s="36"/>
      <c r="L251" s="36"/>
      <c r="M251" s="36">
        <f>11500-360-414</f>
        <v>10726</v>
      </c>
      <c r="N251" s="36">
        <v>9410</v>
      </c>
      <c r="O251" s="36"/>
      <c r="P251" s="36">
        <v>600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2040</v>
      </c>
      <c r="G252" s="37">
        <f t="shared" si="76"/>
        <v>2113</v>
      </c>
      <c r="H252" s="37"/>
      <c r="I252" s="36"/>
      <c r="J252" s="36"/>
      <c r="K252" s="36"/>
      <c r="L252" s="36"/>
      <c r="M252" s="36">
        <f>2016+24</f>
        <v>2040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3225</v>
      </c>
      <c r="G253" s="37">
        <f t="shared" si="76"/>
        <v>2612</v>
      </c>
      <c r="H253" s="37"/>
      <c r="I253" s="36"/>
      <c r="J253" s="36"/>
      <c r="K253" s="36"/>
      <c r="L253" s="36"/>
      <c r="M253" s="36">
        <f>3000+12</f>
        <v>3012</v>
      </c>
      <c r="N253" s="36">
        <v>2591</v>
      </c>
      <c r="O253" s="36"/>
      <c r="P253" s="36">
        <f>200+13</f>
        <v>213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624</v>
      </c>
      <c r="G256" s="19">
        <f t="shared" si="77"/>
        <v>451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184</v>
      </c>
      <c r="N256" s="19">
        <f t="shared" si="77"/>
        <v>0</v>
      </c>
      <c r="O256" s="19">
        <f t="shared" si="77"/>
        <v>0</v>
      </c>
      <c r="P256" s="19">
        <f t="shared" si="77"/>
        <v>440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624</v>
      </c>
      <c r="G257" s="37">
        <f t="shared" ref="G257" si="78">SUM(I257:Q257)-K257-M257-P257</f>
        <v>451</v>
      </c>
      <c r="H257" s="37"/>
      <c r="I257" s="36"/>
      <c r="J257" s="36"/>
      <c r="K257" s="36"/>
      <c r="L257" s="36"/>
      <c r="M257" s="36">
        <v>184</v>
      </c>
      <c r="N257" s="36"/>
      <c r="O257" s="36"/>
      <c r="P257" s="36">
        <v>440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9869</v>
      </c>
      <c r="G262" s="19">
        <f t="shared" si="79"/>
        <v>70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7274</v>
      </c>
      <c r="N262" s="19">
        <f t="shared" si="79"/>
        <v>0</v>
      </c>
      <c r="O262" s="19">
        <f t="shared" si="79"/>
        <v>0</v>
      </c>
      <c r="P262" s="19">
        <f t="shared" si="79"/>
        <v>2595</v>
      </c>
      <c r="Q262" s="19">
        <f t="shared" si="79"/>
        <v>70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3852</v>
      </c>
      <c r="G264" s="37">
        <f t="shared" ref="G264" si="80">SUM(I264:Q264)-K264-M264-P264</f>
        <v>70</v>
      </c>
      <c r="H264" s="37"/>
      <c r="I264" s="36"/>
      <c r="J264" s="36"/>
      <c r="K264" s="36"/>
      <c r="L264" s="36"/>
      <c r="M264" s="36">
        <f>3900-48</f>
        <v>3852</v>
      </c>
      <c r="N264" s="36"/>
      <c r="O264" s="36"/>
      <c r="P264" s="36"/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3772</v>
      </c>
      <c r="G265" s="37"/>
      <c r="H265" s="37"/>
      <c r="I265" s="36"/>
      <c r="J265" s="36"/>
      <c r="K265" s="36"/>
      <c r="L265" s="36"/>
      <c r="M265" s="36">
        <f>2800+522</f>
        <v>3322</v>
      </c>
      <c r="N265" s="36"/>
      <c r="O265" s="36"/>
      <c r="P265" s="36">
        <f>900-522+72</f>
        <v>450</v>
      </c>
      <c r="Q265" s="36"/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100</v>
      </c>
      <c r="G266" s="37"/>
      <c r="H266" s="37"/>
      <c r="I266" s="36"/>
      <c r="J266" s="36"/>
      <c r="K266" s="36"/>
      <c r="L266" s="36"/>
      <c r="M266" s="36">
        <v>100</v>
      </c>
      <c r="N266" s="36"/>
      <c r="O266" s="36"/>
      <c r="P266" s="36"/>
      <c r="Q266" s="36"/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1667</v>
      </c>
      <c r="G267" s="37"/>
      <c r="H267" s="37"/>
      <c r="I267" s="36"/>
      <c r="J267" s="36"/>
      <c r="K267" s="36"/>
      <c r="L267" s="36"/>
      <c r="M267" s="36"/>
      <c r="N267" s="36"/>
      <c r="O267" s="36"/>
      <c r="P267" s="36">
        <v>1667</v>
      </c>
      <c r="Q267" s="36"/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/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/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/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/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/>
      <c r="H271" s="476"/>
      <c r="I271" s="544"/>
      <c r="J271" s="545"/>
      <c r="K271" s="545"/>
      <c r="L271" s="545"/>
      <c r="M271" s="545"/>
      <c r="N271" s="545"/>
      <c r="O271" s="544"/>
      <c r="P271" s="476"/>
      <c r="Q271" s="544"/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/>
      <c r="J272" s="476"/>
      <c r="K272" s="476"/>
      <c r="L272" s="476"/>
      <c r="M272" s="476"/>
      <c r="N272" s="476"/>
      <c r="O272" s="545"/>
      <c r="P272" s="477"/>
      <c r="Q272" s="545"/>
    </row>
    <row r="273" spans="1:22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</row>
    <row r="274" spans="1:22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278</v>
      </c>
      <c r="G274" s="37"/>
      <c r="H274" s="37"/>
      <c r="I274" s="36"/>
      <c r="J274" s="36"/>
      <c r="K274" s="36"/>
      <c r="L274" s="36"/>
      <c r="M274" s="36"/>
      <c r="N274" s="36"/>
      <c r="O274" s="36"/>
      <c r="P274" s="36">
        <v>278</v>
      </c>
      <c r="Q274" s="36"/>
    </row>
    <row r="275" spans="1:22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1">SUM(F276:F282)</f>
        <v>2831</v>
      </c>
      <c r="G275" s="19">
        <f t="shared" si="81"/>
        <v>450</v>
      </c>
      <c r="H275" s="19">
        <f t="shared" si="81"/>
        <v>0</v>
      </c>
      <c r="I275" s="19">
        <f t="shared" si="81"/>
        <v>0</v>
      </c>
      <c r="J275" s="19">
        <f t="shared" si="81"/>
        <v>0</v>
      </c>
      <c r="K275" s="19">
        <f t="shared" si="81"/>
        <v>0</v>
      </c>
      <c r="L275" s="19">
        <f t="shared" si="81"/>
        <v>0</v>
      </c>
      <c r="M275" s="19">
        <f t="shared" si="81"/>
        <v>2717</v>
      </c>
      <c r="N275" s="19">
        <f t="shared" si="81"/>
        <v>0</v>
      </c>
      <c r="O275" s="19">
        <f t="shared" si="81"/>
        <v>0</v>
      </c>
      <c r="P275" s="19">
        <f t="shared" si="81"/>
        <v>114</v>
      </c>
      <c r="Q275" s="19">
        <f t="shared" si="81"/>
        <v>450</v>
      </c>
    </row>
    <row r="276" spans="1:22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2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2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1136</v>
      </c>
      <c r="G278" s="37">
        <f t="shared" ref="G278" si="82">SUM(I278:Q278)-K278-M278-P278</f>
        <v>109</v>
      </c>
      <c r="H278" s="37"/>
      <c r="I278" s="36"/>
      <c r="J278" s="36"/>
      <c r="K278" s="36"/>
      <c r="L278" s="36"/>
      <c r="M278" s="36">
        <f>1400-264</f>
        <v>1136</v>
      </c>
      <c r="N278" s="36"/>
      <c r="O278" s="36"/>
      <c r="P278" s="36"/>
      <c r="Q278" s="36">
        <v>109</v>
      </c>
      <c r="R278" s="47"/>
      <c r="T278" s="47"/>
    </row>
    <row r="279" spans="1:22" ht="15" hidden="1" customHeight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2" ht="26.25" hidden="1" customHeight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2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330</v>
      </c>
      <c r="G281" s="37">
        <f t="shared" ref="G281:G282" si="83">SUM(I281:Q281)-K281-M281-P281</f>
        <v>51</v>
      </c>
      <c r="H281" s="37"/>
      <c r="I281" s="36"/>
      <c r="J281" s="36"/>
      <c r="K281" s="36"/>
      <c r="L281" s="36"/>
      <c r="M281" s="36">
        <f>300-72-12</f>
        <v>216</v>
      </c>
      <c r="N281" s="36"/>
      <c r="O281" s="36"/>
      <c r="P281" s="36">
        <v>114</v>
      </c>
      <c r="Q281" s="36">
        <v>51</v>
      </c>
    </row>
    <row r="282" spans="1:22" ht="23.25" x14ac:dyDescent="0.3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1365</v>
      </c>
      <c r="G282" s="37">
        <f t="shared" si="83"/>
        <v>290</v>
      </c>
      <c r="H282" s="37"/>
      <c r="I282" s="36"/>
      <c r="J282" s="36"/>
      <c r="K282" s="36"/>
      <c r="L282" s="36"/>
      <c r="M282" s="36">
        <f>1600+108-60-283</f>
        <v>1365</v>
      </c>
      <c r="N282" s="36"/>
      <c r="O282" s="36"/>
      <c r="P282" s="36">
        <f>212-212</f>
        <v>0</v>
      </c>
      <c r="Q282" s="36">
        <v>290</v>
      </c>
      <c r="R282" s="12">
        <v>1059</v>
      </c>
      <c r="S282" s="12" t="s">
        <v>504</v>
      </c>
      <c r="V282" s="393" t="s">
        <v>540</v>
      </c>
    </row>
    <row r="283" spans="1:22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4">F284+F285</f>
        <v>15236</v>
      </c>
      <c r="G283" s="19">
        <f t="shared" si="84"/>
        <v>755</v>
      </c>
      <c r="H283" s="19">
        <f t="shared" si="84"/>
        <v>0</v>
      </c>
      <c r="I283" s="19">
        <f t="shared" si="84"/>
        <v>0</v>
      </c>
      <c r="J283" s="19">
        <f t="shared" si="84"/>
        <v>0</v>
      </c>
      <c r="K283" s="19">
        <f t="shared" si="84"/>
        <v>0</v>
      </c>
      <c r="L283" s="19">
        <f t="shared" si="84"/>
        <v>0</v>
      </c>
      <c r="M283" s="19">
        <f t="shared" si="84"/>
        <v>15236</v>
      </c>
      <c r="N283" s="19">
        <f t="shared" si="84"/>
        <v>100</v>
      </c>
      <c r="O283" s="19">
        <f t="shared" si="84"/>
        <v>0</v>
      </c>
      <c r="P283" s="19">
        <f t="shared" si="84"/>
        <v>0</v>
      </c>
      <c r="Q283" s="19">
        <f t="shared" si="84"/>
        <v>655</v>
      </c>
    </row>
    <row r="284" spans="1:22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5600</v>
      </c>
      <c r="G284" s="37">
        <f t="shared" ref="G284:G285" si="85">SUM(I284:Q284)-K284-M284-P284</f>
        <v>100</v>
      </c>
      <c r="H284" s="37"/>
      <c r="I284" s="36"/>
      <c r="J284" s="36"/>
      <c r="K284" s="36"/>
      <c r="L284" s="36"/>
      <c r="M284" s="36">
        <f>5000+600</f>
        <v>5600</v>
      </c>
      <c r="N284" s="36">
        <v>100</v>
      </c>
      <c r="O284" s="36"/>
      <c r="P284" s="36"/>
      <c r="Q284" s="36"/>
    </row>
    <row r="285" spans="1:22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9636</v>
      </c>
      <c r="G285" s="37">
        <f t="shared" si="85"/>
        <v>655</v>
      </c>
      <c r="H285" s="37"/>
      <c r="I285" s="36"/>
      <c r="J285" s="36"/>
      <c r="K285" s="36"/>
      <c r="L285" s="36"/>
      <c r="M285" s="36">
        <f>10500-362-24-108-346-24</f>
        <v>9636</v>
      </c>
      <c r="N285" s="36"/>
      <c r="O285" s="36"/>
      <c r="P285" s="36"/>
      <c r="Q285" s="36">
        <v>655</v>
      </c>
      <c r="R285" s="12" t="s">
        <v>505</v>
      </c>
    </row>
    <row r="286" spans="1:22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250583</v>
      </c>
      <c r="G286" s="19">
        <f>SUM(G287:G313)</f>
        <v>16735</v>
      </c>
      <c r="H286" s="19">
        <f t="shared" ref="H286:Q286" si="86">SUM(H287:H313)</f>
        <v>1000</v>
      </c>
      <c r="I286" s="19">
        <f t="shared" si="86"/>
        <v>127</v>
      </c>
      <c r="J286" s="19">
        <f t="shared" si="86"/>
        <v>0</v>
      </c>
      <c r="K286" s="19">
        <f t="shared" si="86"/>
        <v>0</v>
      </c>
      <c r="L286" s="19">
        <f t="shared" si="86"/>
        <v>1273</v>
      </c>
      <c r="M286" s="19">
        <f>M287+M289+M290+M293+M311+M312+M313</f>
        <v>247100</v>
      </c>
      <c r="N286" s="19">
        <f t="shared" si="86"/>
        <v>12510</v>
      </c>
      <c r="O286" s="19">
        <f t="shared" si="86"/>
        <v>0</v>
      </c>
      <c r="P286" s="19">
        <f>P287+P289+P290+P293+P311+P312+P313</f>
        <v>2483</v>
      </c>
      <c r="Q286" s="19">
        <f t="shared" si="86"/>
        <v>2825</v>
      </c>
      <c r="R286" s="44">
        <f>H286+K286+M286+P286</f>
        <v>250583</v>
      </c>
    </row>
    <row r="287" spans="1:22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4287</v>
      </c>
      <c r="G287" s="37">
        <f t="shared" ref="G287" si="87">SUM(I287:Q287)-K287-M287-P287</f>
        <v>0</v>
      </c>
      <c r="H287" s="37"/>
      <c r="I287" s="36"/>
      <c r="J287" s="36"/>
      <c r="K287" s="36"/>
      <c r="L287" s="36"/>
      <c r="M287" s="36">
        <f>4500-520-12</f>
        <v>3968</v>
      </c>
      <c r="N287" s="36"/>
      <c r="O287" s="36"/>
      <c r="P287" s="36">
        <f>510-191</f>
        <v>319</v>
      </c>
      <c r="Q287" s="36"/>
      <c r="R287" s="12" t="s">
        <v>506</v>
      </c>
    </row>
    <row r="288" spans="1:22" ht="15" hidden="1" customHeight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122</v>
      </c>
      <c r="G289" s="37">
        <f t="shared" ref="G289:G290" si="88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f>110+12</f>
        <v>122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2040</v>
      </c>
      <c r="G290" s="37">
        <f t="shared" si="88"/>
        <v>7</v>
      </c>
      <c r="H290" s="37"/>
      <c r="I290" s="38"/>
      <c r="J290" s="38"/>
      <c r="K290" s="38"/>
      <c r="L290" s="38"/>
      <c r="M290" s="38">
        <v>2040</v>
      </c>
      <c r="N290" s="38"/>
      <c r="O290" s="38"/>
      <c r="P290" s="38"/>
      <c r="Q290" s="38">
        <v>7</v>
      </c>
    </row>
    <row r="291" spans="1:19" ht="26.25" hidden="1" customHeight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89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customHeight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89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221524</v>
      </c>
      <c r="G293" s="37">
        <f t="shared" ref="G293:G313" si="90">SUM(I293:Q293)-K293-M293-P293</f>
        <v>1917</v>
      </c>
      <c r="H293" s="37"/>
      <c r="I293" s="36">
        <v>127</v>
      </c>
      <c r="J293" s="36"/>
      <c r="K293" s="36"/>
      <c r="L293" s="36"/>
      <c r="M293" s="48">
        <f>M294+M299+M300+M303+M309+M310</f>
        <v>220264</v>
      </c>
      <c r="N293" s="48">
        <f t="shared" ref="N293:P293" si="91">N294+N299+N300+N303+N309+N310</f>
        <v>0</v>
      </c>
      <c r="O293" s="48">
        <f t="shared" si="91"/>
        <v>0</v>
      </c>
      <c r="P293" s="48">
        <f t="shared" si="91"/>
        <v>1260</v>
      </c>
      <c r="Q293" s="36">
        <v>1790</v>
      </c>
      <c r="R293" s="44">
        <f>M294+M299+M300+M303+M309+M310</f>
        <v>220264</v>
      </c>
      <c r="S293" s="44">
        <f>R293+P293</f>
        <v>221524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115890</v>
      </c>
      <c r="G294" s="37"/>
      <c r="H294" s="37"/>
      <c r="I294" s="36"/>
      <c r="J294" s="36"/>
      <c r="K294" s="36"/>
      <c r="L294" s="36"/>
      <c r="M294" s="48">
        <f>M295+M296+M297+M298</f>
        <v>115890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65179</v>
      </c>
      <c r="G295" s="37"/>
      <c r="H295" s="37"/>
      <c r="I295" s="36"/>
      <c r="J295" s="36"/>
      <c r="K295" s="36"/>
      <c r="L295" s="36"/>
      <c r="M295" s="38">
        <f>46590+18589</f>
        <v>65179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14305</v>
      </c>
      <c r="G296" s="37"/>
      <c r="H296" s="37"/>
      <c r="I296" s="36"/>
      <c r="J296" s="36"/>
      <c r="K296" s="36"/>
      <c r="L296" s="36"/>
      <c r="M296" s="38">
        <f>14745-440</f>
        <v>14305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14540</v>
      </c>
      <c r="G298" s="37"/>
      <c r="H298" s="37"/>
      <c r="I298" s="36"/>
      <c r="J298" s="36"/>
      <c r="K298" s="36"/>
      <c r="L298" s="36"/>
      <c r="M298" s="38">
        <f>5862+8678</f>
        <v>14540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54906</v>
      </c>
      <c r="G300" s="54"/>
      <c r="H300" s="54"/>
      <c r="I300" s="48"/>
      <c r="J300" s="48"/>
      <c r="K300" s="48"/>
      <c r="L300" s="48"/>
      <c r="M300" s="48">
        <f>M301+M302</f>
        <v>54906</v>
      </c>
      <c r="N300" s="48">
        <f t="shared" ref="N300:P300" si="93">N301+N302</f>
        <v>0</v>
      </c>
      <c r="O300" s="48">
        <f t="shared" si="93"/>
        <v>0</v>
      </c>
      <c r="P300" s="48">
        <f t="shared" si="93"/>
        <v>1260</v>
      </c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51519</v>
      </c>
      <c r="G301" s="37"/>
      <c r="H301" s="37"/>
      <c r="I301" s="36"/>
      <c r="J301" s="36"/>
      <c r="K301" s="36"/>
      <c r="L301" s="36"/>
      <c r="M301" s="38">
        <f>36195+15324</f>
        <v>51519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3387</v>
      </c>
      <c r="G302" s="37"/>
      <c r="H302" s="37"/>
      <c r="I302" s="36"/>
      <c r="J302" s="36"/>
      <c r="K302" s="36"/>
      <c r="L302" s="36"/>
      <c r="M302" s="38">
        <f>2212+240+935</f>
        <v>3387</v>
      </c>
      <c r="N302" s="36"/>
      <c r="O302" s="36"/>
      <c r="P302" s="36">
        <f>1400-140</f>
        <v>1260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14091</v>
      </c>
      <c r="G303" s="54"/>
      <c r="H303" s="54"/>
      <c r="I303" s="48"/>
      <c r="J303" s="48"/>
      <c r="K303" s="48"/>
      <c r="L303" s="48"/>
      <c r="M303" s="48">
        <f>M304+M305+M306</f>
        <v>14091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8361</v>
      </c>
      <c r="G304" s="37"/>
      <c r="H304" s="37"/>
      <c r="I304" s="36"/>
      <c r="J304" s="36"/>
      <c r="K304" s="36"/>
      <c r="L304" s="36"/>
      <c r="M304" s="38">
        <f>5321+3040</f>
        <v>8361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2867</v>
      </c>
      <c r="G305" s="37"/>
      <c r="H305" s="37"/>
      <c r="I305" s="36"/>
      <c r="J305" s="36"/>
      <c r="K305" s="36"/>
      <c r="L305" s="36"/>
      <c r="M305" s="38">
        <f>5402-2040-495</f>
        <v>2867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2863</v>
      </c>
      <c r="G306" s="37"/>
      <c r="H306" s="37"/>
      <c r="I306" s="36"/>
      <c r="J306" s="36"/>
      <c r="K306" s="36"/>
      <c r="L306" s="36"/>
      <c r="M306" s="38">
        <f>M307+M308</f>
        <v>2863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1038</v>
      </c>
      <c r="G307" s="58"/>
      <c r="H307" s="58"/>
      <c r="I307" s="57"/>
      <c r="J307" s="57"/>
      <c r="K307" s="57"/>
      <c r="L307" s="57"/>
      <c r="M307" s="57">
        <f>438+600</f>
        <v>1038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1825</v>
      </c>
      <c r="G308" s="58"/>
      <c r="H308" s="58"/>
      <c r="I308" s="57"/>
      <c r="J308" s="57"/>
      <c r="K308" s="57"/>
      <c r="L308" s="57"/>
      <c r="M308" s="57">
        <f>625+1200</f>
        <v>1825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7000</v>
      </c>
      <c r="G310" s="54"/>
      <c r="H310" s="54"/>
      <c r="I310" s="48"/>
      <c r="J310" s="48"/>
      <c r="K310" s="48"/>
      <c r="L310" s="48"/>
      <c r="M310" s="48">
        <v>7000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12200</v>
      </c>
      <c r="G311" s="37">
        <f t="shared" si="90"/>
        <v>9570</v>
      </c>
      <c r="H311" s="37"/>
      <c r="I311" s="36"/>
      <c r="J311" s="36"/>
      <c r="K311" s="36"/>
      <c r="L311" s="36"/>
      <c r="M311" s="36">
        <v>12200</v>
      </c>
      <c r="N311" s="36">
        <v>9570</v>
      </c>
      <c r="O311" s="36"/>
      <c r="P311" s="36"/>
      <c r="Q311" s="36"/>
    </row>
    <row r="312" spans="1:17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4753</v>
      </c>
      <c r="G312" s="37">
        <f t="shared" si="90"/>
        <v>2940</v>
      </c>
      <c r="H312" s="37"/>
      <c r="I312" s="36"/>
      <c r="J312" s="36"/>
      <c r="K312" s="36"/>
      <c r="L312" s="36"/>
      <c r="M312" s="36">
        <f>2500+2160-427+264</f>
        <v>4497</v>
      </c>
      <c r="N312" s="36">
        <f>12522-12-9570</f>
        <v>2940</v>
      </c>
      <c r="O312" s="36"/>
      <c r="P312" s="36">
        <v>256</v>
      </c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8">
        <f>H313+K313+M313+P313</f>
        <v>5657</v>
      </c>
      <c r="G313" s="389">
        <f t="shared" si="90"/>
        <v>2154</v>
      </c>
      <c r="H313" s="389">
        <v>1000</v>
      </c>
      <c r="I313" s="38"/>
      <c r="J313" s="38"/>
      <c r="K313" s="38"/>
      <c r="L313" s="38">
        <v>1273</v>
      </c>
      <c r="M313" s="38">
        <f>4485-1230-90+84-60+942</f>
        <v>4131</v>
      </c>
      <c r="N313" s="38"/>
      <c r="O313" s="38"/>
      <c r="P313" s="38">
        <f>492+4+30</f>
        <v>526</v>
      </c>
      <c r="Q313" s="36">
        <v>881</v>
      </c>
    </row>
    <row r="314" spans="1:17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89"/>
        <v>0</v>
      </c>
      <c r="H314" s="19"/>
      <c r="I314" s="19">
        <f t="shared" ref="I314:Q314" si="94">I315+I323+I325+I327+I331</f>
        <v>0</v>
      </c>
      <c r="J314" s="19">
        <f t="shared" si="94"/>
        <v>0</v>
      </c>
      <c r="K314" s="19"/>
      <c r="L314" s="19">
        <f t="shared" si="94"/>
        <v>0</v>
      </c>
      <c r="M314" s="19"/>
      <c r="N314" s="19">
        <f t="shared" si="94"/>
        <v>0</v>
      </c>
      <c r="O314" s="19">
        <f t="shared" si="94"/>
        <v>0</v>
      </c>
      <c r="P314" s="19"/>
      <c r="Q314" s="19">
        <f t="shared" si="94"/>
        <v>0</v>
      </c>
    </row>
    <row r="315" spans="1:17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89"/>
        <v>0</v>
      </c>
      <c r="H315" s="19"/>
      <c r="I315" s="19">
        <f t="shared" ref="I315:Q315" si="95">SUM(I316:I318)</f>
        <v>0</v>
      </c>
      <c r="J315" s="19">
        <f t="shared" si="95"/>
        <v>0</v>
      </c>
      <c r="K315" s="19"/>
      <c r="L315" s="19">
        <f t="shared" si="95"/>
        <v>0</v>
      </c>
      <c r="M315" s="19"/>
      <c r="N315" s="19">
        <f t="shared" si="95"/>
        <v>0</v>
      </c>
      <c r="O315" s="19">
        <f t="shared" si="95"/>
        <v>0</v>
      </c>
      <c r="P315" s="19"/>
      <c r="Q315" s="19">
        <f t="shared" si="95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89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89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89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89"/>
        <v>0</v>
      </c>
      <c r="H323" s="19"/>
      <c r="I323" s="19">
        <f t="shared" ref="I323:Q323" si="96">I324</f>
        <v>0</v>
      </c>
      <c r="J323" s="19">
        <f t="shared" si="96"/>
        <v>0</v>
      </c>
      <c r="K323" s="19"/>
      <c r="L323" s="19">
        <f t="shared" si="96"/>
        <v>0</v>
      </c>
      <c r="M323" s="19"/>
      <c r="N323" s="19">
        <f t="shared" si="96"/>
        <v>0</v>
      </c>
      <c r="O323" s="19">
        <f t="shared" si="96"/>
        <v>0</v>
      </c>
      <c r="P323" s="19"/>
      <c r="Q323" s="19">
        <f t="shared" si="96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89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89"/>
        <v>0</v>
      </c>
      <c r="H325" s="19"/>
      <c r="I325" s="19">
        <f t="shared" ref="I325:Q325" si="97">I326</f>
        <v>0</v>
      </c>
      <c r="J325" s="19">
        <f t="shared" si="97"/>
        <v>0</v>
      </c>
      <c r="K325" s="19"/>
      <c r="L325" s="19">
        <f t="shared" si="97"/>
        <v>0</v>
      </c>
      <c r="M325" s="19"/>
      <c r="N325" s="19">
        <f t="shared" si="97"/>
        <v>0</v>
      </c>
      <c r="O325" s="19">
        <f t="shared" si="97"/>
        <v>0</v>
      </c>
      <c r="P325" s="19"/>
      <c r="Q325" s="19">
        <f t="shared" si="97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89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89"/>
        <v>0</v>
      </c>
      <c r="H327" s="19"/>
      <c r="I327" s="19">
        <f t="shared" ref="I327:Q327" si="98">SUM(I328:I330)</f>
        <v>0</v>
      </c>
      <c r="J327" s="19">
        <f t="shared" si="98"/>
        <v>0</v>
      </c>
      <c r="K327" s="19"/>
      <c r="L327" s="19">
        <f t="shared" si="98"/>
        <v>0</v>
      </c>
      <c r="M327" s="19"/>
      <c r="N327" s="19">
        <f t="shared" si="98"/>
        <v>0</v>
      </c>
      <c r="O327" s="19">
        <f t="shared" si="98"/>
        <v>0</v>
      </c>
      <c r="P327" s="19"/>
      <c r="Q327" s="19">
        <f t="shared" si="98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89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89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89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89"/>
        <v>0</v>
      </c>
      <c r="H331" s="19"/>
      <c r="I331" s="19">
        <f t="shared" ref="I331:Q331" si="99">I332</f>
        <v>0</v>
      </c>
      <c r="J331" s="19">
        <f t="shared" si="99"/>
        <v>0</v>
      </c>
      <c r="K331" s="19"/>
      <c r="L331" s="19">
        <f t="shared" si="99"/>
        <v>0</v>
      </c>
      <c r="M331" s="19"/>
      <c r="N331" s="19">
        <f t="shared" si="99"/>
        <v>0</v>
      </c>
      <c r="O331" s="19">
        <f t="shared" si="99"/>
        <v>0</v>
      </c>
      <c r="P331" s="19"/>
      <c r="Q331" s="19">
        <f t="shared" si="99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89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100">F334+F344+F355+F357</f>
        <v>600</v>
      </c>
      <c r="G333" s="19">
        <f t="shared" si="100"/>
        <v>251</v>
      </c>
      <c r="H333" s="19">
        <f t="shared" si="100"/>
        <v>0</v>
      </c>
      <c r="I333" s="19">
        <f t="shared" si="100"/>
        <v>0</v>
      </c>
      <c r="J333" s="19">
        <f t="shared" si="100"/>
        <v>0</v>
      </c>
      <c r="K333" s="19">
        <f t="shared" si="100"/>
        <v>0</v>
      </c>
      <c r="L333" s="19">
        <f t="shared" si="100"/>
        <v>0</v>
      </c>
      <c r="M333" s="19">
        <f t="shared" si="100"/>
        <v>0</v>
      </c>
      <c r="N333" s="19">
        <f t="shared" si="100"/>
        <v>0</v>
      </c>
      <c r="O333" s="19">
        <f t="shared" si="100"/>
        <v>0</v>
      </c>
      <c r="P333" s="19">
        <f t="shared" si="100"/>
        <v>600</v>
      </c>
      <c r="Q333" s="19">
        <f t="shared" si="100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1">SUM(F335:F343)</f>
        <v>600</v>
      </c>
      <c r="G334" s="19">
        <f t="shared" si="101"/>
        <v>251</v>
      </c>
      <c r="H334" s="19">
        <f t="shared" si="101"/>
        <v>0</v>
      </c>
      <c r="I334" s="19">
        <f t="shared" si="101"/>
        <v>0</v>
      </c>
      <c r="J334" s="19">
        <f t="shared" si="101"/>
        <v>0</v>
      </c>
      <c r="K334" s="19">
        <f t="shared" si="101"/>
        <v>0</v>
      </c>
      <c r="L334" s="19">
        <f t="shared" si="101"/>
        <v>0</v>
      </c>
      <c r="M334" s="19">
        <f t="shared" si="101"/>
        <v>0</v>
      </c>
      <c r="N334" s="19">
        <f t="shared" si="101"/>
        <v>0</v>
      </c>
      <c r="O334" s="19">
        <f t="shared" si="101"/>
        <v>0</v>
      </c>
      <c r="P334" s="19">
        <f t="shared" si="101"/>
        <v>600</v>
      </c>
      <c r="Q334" s="19">
        <f t="shared" si="101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89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89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89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89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600</v>
      </c>
      <c r="G339" s="37">
        <f t="shared" ref="G339" si="102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600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89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89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89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89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89"/>
        <v>0</v>
      </c>
      <c r="H344" s="19"/>
      <c r="I344" s="19">
        <f t="shared" ref="I344:Q344" si="103">SUM(I345:I354)</f>
        <v>0</v>
      </c>
      <c r="J344" s="19">
        <f t="shared" si="103"/>
        <v>0</v>
      </c>
      <c r="K344" s="19"/>
      <c r="L344" s="19">
        <f t="shared" si="103"/>
        <v>0</v>
      </c>
      <c r="M344" s="19"/>
      <c r="N344" s="19">
        <f t="shared" si="103"/>
        <v>0</v>
      </c>
      <c r="O344" s="19">
        <f t="shared" si="103"/>
        <v>0</v>
      </c>
      <c r="P344" s="19"/>
      <c r="Q344" s="19">
        <f t="shared" si="103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89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89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89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89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89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89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89"/>
        <v>0</v>
      </c>
      <c r="H355" s="19"/>
      <c r="I355" s="19">
        <f t="shared" ref="I355:Q355" si="104">I356</f>
        <v>0</v>
      </c>
      <c r="J355" s="19">
        <f t="shared" si="104"/>
        <v>0</v>
      </c>
      <c r="K355" s="19"/>
      <c r="L355" s="19">
        <f t="shared" si="104"/>
        <v>0</v>
      </c>
      <c r="M355" s="19"/>
      <c r="N355" s="19">
        <f t="shared" si="104"/>
        <v>0</v>
      </c>
      <c r="O355" s="19">
        <f t="shared" si="104"/>
        <v>0</v>
      </c>
      <c r="P355" s="19"/>
      <c r="Q355" s="19">
        <f t="shared" si="104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89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89"/>
        <v>0</v>
      </c>
      <c r="H357" s="19"/>
      <c r="I357" s="19">
        <f t="shared" ref="I357:Q357" si="105">SUM(I358:I360)</f>
        <v>0</v>
      </c>
      <c r="J357" s="19">
        <f t="shared" si="105"/>
        <v>0</v>
      </c>
      <c r="K357" s="19"/>
      <c r="L357" s="19">
        <f t="shared" si="105"/>
        <v>0</v>
      </c>
      <c r="M357" s="19"/>
      <c r="N357" s="19">
        <f t="shared" si="105"/>
        <v>0</v>
      </c>
      <c r="O357" s="19">
        <f t="shared" si="105"/>
        <v>0</v>
      </c>
      <c r="P357" s="19"/>
      <c r="Q357" s="19">
        <f t="shared" si="105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89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89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89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89"/>
        <v>0</v>
      </c>
      <c r="H361" s="19"/>
      <c r="I361" s="19">
        <f t="shared" ref="I361:Q361" si="106">I362+I365+I368+I371</f>
        <v>0</v>
      </c>
      <c r="J361" s="19">
        <f t="shared" si="106"/>
        <v>0</v>
      </c>
      <c r="K361" s="19"/>
      <c r="L361" s="19">
        <f t="shared" si="106"/>
        <v>0</v>
      </c>
      <c r="M361" s="19"/>
      <c r="N361" s="19">
        <f t="shared" si="106"/>
        <v>0</v>
      </c>
      <c r="O361" s="19">
        <f t="shared" si="106"/>
        <v>0</v>
      </c>
      <c r="P361" s="19"/>
      <c r="Q361" s="19">
        <f t="shared" si="106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89"/>
        <v>0</v>
      </c>
      <c r="H362" s="19"/>
      <c r="I362" s="19">
        <f t="shared" ref="I362:Q362" si="107">I363+I364</f>
        <v>0</v>
      </c>
      <c r="J362" s="19">
        <f t="shared" si="107"/>
        <v>0</v>
      </c>
      <c r="K362" s="19"/>
      <c r="L362" s="19">
        <f t="shared" si="107"/>
        <v>0</v>
      </c>
      <c r="M362" s="19"/>
      <c r="N362" s="19">
        <f t="shared" si="107"/>
        <v>0</v>
      </c>
      <c r="O362" s="19">
        <f t="shared" si="107"/>
        <v>0</v>
      </c>
      <c r="P362" s="19"/>
      <c r="Q362" s="19">
        <f t="shared" si="107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89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89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89"/>
        <v>0</v>
      </c>
      <c r="H365" s="19"/>
      <c r="I365" s="19">
        <f t="shared" ref="I365:Q365" si="108">I366+I367</f>
        <v>0</v>
      </c>
      <c r="J365" s="19">
        <f t="shared" si="108"/>
        <v>0</v>
      </c>
      <c r="K365" s="19"/>
      <c r="L365" s="19">
        <f t="shared" si="108"/>
        <v>0</v>
      </c>
      <c r="M365" s="19"/>
      <c r="N365" s="19">
        <f t="shared" si="108"/>
        <v>0</v>
      </c>
      <c r="O365" s="19">
        <f t="shared" si="108"/>
        <v>0</v>
      </c>
      <c r="P365" s="19"/>
      <c r="Q365" s="19">
        <f t="shared" si="108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89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89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89"/>
        <v>0</v>
      </c>
      <c r="H368" s="19"/>
      <c r="I368" s="19">
        <f t="shared" ref="I368:Q368" si="109">I369+I370</f>
        <v>0</v>
      </c>
      <c r="J368" s="19">
        <f t="shared" si="109"/>
        <v>0</v>
      </c>
      <c r="K368" s="19"/>
      <c r="L368" s="19">
        <f t="shared" si="109"/>
        <v>0</v>
      </c>
      <c r="M368" s="19"/>
      <c r="N368" s="19">
        <f t="shared" si="109"/>
        <v>0</v>
      </c>
      <c r="O368" s="19">
        <f t="shared" si="109"/>
        <v>0</v>
      </c>
      <c r="P368" s="19"/>
      <c r="Q368" s="19">
        <f t="shared" si="109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89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89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89"/>
        <v>0</v>
      </c>
      <c r="H371" s="19"/>
      <c r="I371" s="19">
        <f t="shared" ref="I371:Q371" si="110">I372+I373</f>
        <v>0</v>
      </c>
      <c r="J371" s="19">
        <f t="shared" si="110"/>
        <v>0</v>
      </c>
      <c r="K371" s="19"/>
      <c r="L371" s="19">
        <f t="shared" si="110"/>
        <v>0</v>
      </c>
      <c r="M371" s="19"/>
      <c r="N371" s="19">
        <f t="shared" si="110"/>
        <v>0</v>
      </c>
      <c r="O371" s="19">
        <f t="shared" si="110"/>
        <v>0</v>
      </c>
      <c r="P371" s="19"/>
      <c r="Q371" s="19">
        <f t="shared" si="110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89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89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1">F379+F382+F385+F388+F391</f>
        <v>10080</v>
      </c>
      <c r="G374" s="19">
        <f t="shared" si="111"/>
        <v>7410</v>
      </c>
      <c r="H374" s="37">
        <f t="shared" si="111"/>
        <v>0</v>
      </c>
      <c r="I374" s="19">
        <f t="shared" si="111"/>
        <v>0</v>
      </c>
      <c r="J374" s="19">
        <f t="shared" si="111"/>
        <v>0</v>
      </c>
      <c r="K374" s="19">
        <f t="shared" si="111"/>
        <v>0</v>
      </c>
      <c r="L374" s="19">
        <f t="shared" si="111"/>
        <v>0</v>
      </c>
      <c r="M374" s="19">
        <f t="shared" si="111"/>
        <v>10080</v>
      </c>
      <c r="N374" s="19">
        <f t="shared" si="111"/>
        <v>7410</v>
      </c>
      <c r="O374" s="19">
        <f t="shared" si="111"/>
        <v>0</v>
      </c>
      <c r="P374" s="19">
        <f t="shared" si="111"/>
        <v>0</v>
      </c>
      <c r="Q374" s="19">
        <f t="shared" si="111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89"/>
        <v>0</v>
      </c>
      <c r="H379" s="19"/>
      <c r="I379" s="19">
        <f t="shared" ref="I379:Q379" si="112">I380+I381</f>
        <v>0</v>
      </c>
      <c r="J379" s="19">
        <f t="shared" si="112"/>
        <v>0</v>
      </c>
      <c r="K379" s="19"/>
      <c r="L379" s="19">
        <f t="shared" si="112"/>
        <v>0</v>
      </c>
      <c r="M379" s="19"/>
      <c r="N379" s="19">
        <f t="shared" si="112"/>
        <v>0</v>
      </c>
      <c r="O379" s="19">
        <f t="shared" si="112"/>
        <v>0</v>
      </c>
      <c r="P379" s="19"/>
      <c r="Q379" s="19">
        <f t="shared" si="112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89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89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89"/>
        <v>0</v>
      </c>
      <c r="H382" s="19"/>
      <c r="I382" s="19">
        <f t="shared" ref="I382:Q382" si="113">I383+I384</f>
        <v>0</v>
      </c>
      <c r="J382" s="19">
        <f t="shared" si="113"/>
        <v>0</v>
      </c>
      <c r="K382" s="19"/>
      <c r="L382" s="19">
        <f t="shared" si="113"/>
        <v>0</v>
      </c>
      <c r="M382" s="19"/>
      <c r="N382" s="19">
        <f t="shared" si="113"/>
        <v>0</v>
      </c>
      <c r="O382" s="19">
        <f t="shared" si="113"/>
        <v>0</v>
      </c>
      <c r="P382" s="19"/>
      <c r="Q382" s="19">
        <f t="shared" si="113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89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89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4">SUM(I385:Q385)</f>
        <v>0</v>
      </c>
      <c r="H385" s="19"/>
      <c r="I385" s="19">
        <f t="shared" ref="I385:Q385" si="115">I386+I387</f>
        <v>0</v>
      </c>
      <c r="J385" s="19">
        <f t="shared" si="115"/>
        <v>0</v>
      </c>
      <c r="K385" s="19"/>
      <c r="L385" s="19">
        <f t="shared" si="115"/>
        <v>0</v>
      </c>
      <c r="M385" s="19"/>
      <c r="N385" s="19">
        <f t="shared" si="115"/>
        <v>0</v>
      </c>
      <c r="O385" s="19">
        <f t="shared" si="115"/>
        <v>0</v>
      </c>
      <c r="P385" s="19"/>
      <c r="Q385" s="19">
        <f t="shared" si="115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4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4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4"/>
        <v>0</v>
      </c>
      <c r="H388" s="19"/>
      <c r="I388" s="19">
        <f t="shared" ref="I388:Q388" si="116">I389+I390</f>
        <v>0</v>
      </c>
      <c r="J388" s="19">
        <f t="shared" si="116"/>
        <v>0</v>
      </c>
      <c r="K388" s="19"/>
      <c r="L388" s="19">
        <f t="shared" si="116"/>
        <v>0</v>
      </c>
      <c r="M388" s="19"/>
      <c r="N388" s="19">
        <f t="shared" si="116"/>
        <v>0</v>
      </c>
      <c r="O388" s="19">
        <f t="shared" si="116"/>
        <v>0</v>
      </c>
      <c r="P388" s="19"/>
      <c r="Q388" s="19">
        <f t="shared" si="116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4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4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7">F392+F393</f>
        <v>10080</v>
      </c>
      <c r="G391" s="19">
        <f t="shared" si="117"/>
        <v>7410</v>
      </c>
      <c r="H391" s="19">
        <f t="shared" si="117"/>
        <v>0</v>
      </c>
      <c r="I391" s="19">
        <f t="shared" si="117"/>
        <v>0</v>
      </c>
      <c r="J391" s="19">
        <f t="shared" si="117"/>
        <v>0</v>
      </c>
      <c r="K391" s="19">
        <f t="shared" si="117"/>
        <v>0</v>
      </c>
      <c r="L391" s="19">
        <f t="shared" si="117"/>
        <v>0</v>
      </c>
      <c r="M391" s="19">
        <f t="shared" si="117"/>
        <v>10080</v>
      </c>
      <c r="N391" s="19">
        <f t="shared" si="117"/>
        <v>7410</v>
      </c>
      <c r="O391" s="19">
        <f t="shared" si="117"/>
        <v>0</v>
      </c>
      <c r="P391" s="19">
        <f t="shared" si="117"/>
        <v>0</v>
      </c>
      <c r="Q391" s="19">
        <f t="shared" si="117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10080</v>
      </c>
      <c r="G392" s="37">
        <f t="shared" ref="G392" si="118">SUM(I392:Q392)-K392-M392-P392</f>
        <v>7410</v>
      </c>
      <c r="H392" s="37"/>
      <c r="I392" s="36"/>
      <c r="J392" s="36"/>
      <c r="K392" s="36"/>
      <c r="L392" s="36"/>
      <c r="M392" s="36">
        <v>10080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4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4"/>
        <v>0</v>
      </c>
      <c r="H394" s="19"/>
      <c r="I394" s="19">
        <f t="shared" ref="I394:Q394" si="119">I395+I399</f>
        <v>0</v>
      </c>
      <c r="J394" s="19">
        <f t="shared" si="119"/>
        <v>0</v>
      </c>
      <c r="K394" s="19"/>
      <c r="L394" s="19">
        <f t="shared" si="119"/>
        <v>0</v>
      </c>
      <c r="M394" s="19"/>
      <c r="N394" s="19">
        <f t="shared" si="119"/>
        <v>0</v>
      </c>
      <c r="O394" s="19">
        <f t="shared" si="119"/>
        <v>0</v>
      </c>
      <c r="P394" s="19"/>
      <c r="Q394" s="19">
        <f t="shared" si="119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4"/>
        <v>0</v>
      </c>
      <c r="H395" s="19"/>
      <c r="I395" s="19">
        <f t="shared" ref="I395:Q395" si="120">SUM(I396:I398)</f>
        <v>0</v>
      </c>
      <c r="J395" s="19">
        <f t="shared" si="120"/>
        <v>0</v>
      </c>
      <c r="K395" s="19"/>
      <c r="L395" s="19">
        <f t="shared" si="120"/>
        <v>0</v>
      </c>
      <c r="M395" s="19"/>
      <c r="N395" s="19">
        <f t="shared" si="120"/>
        <v>0</v>
      </c>
      <c r="O395" s="19">
        <f t="shared" si="120"/>
        <v>0</v>
      </c>
      <c r="P395" s="19"/>
      <c r="Q395" s="19">
        <f t="shared" si="120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4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4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4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4"/>
        <v>0</v>
      </c>
      <c r="H399" s="19"/>
      <c r="I399" s="19">
        <f t="shared" ref="I399:Q399" si="121">SUM(I404:I412)</f>
        <v>0</v>
      </c>
      <c r="J399" s="19">
        <f t="shared" si="121"/>
        <v>0</v>
      </c>
      <c r="K399" s="19"/>
      <c r="L399" s="19">
        <f t="shared" si="121"/>
        <v>0</v>
      </c>
      <c r="M399" s="19"/>
      <c r="N399" s="19">
        <f t="shared" si="121"/>
        <v>0</v>
      </c>
      <c r="O399" s="19">
        <f t="shared" si="121"/>
        <v>0</v>
      </c>
      <c r="P399" s="19"/>
      <c r="Q399" s="19">
        <f t="shared" si="121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4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4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4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4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4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4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4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4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4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2">F414+F417+F421+F423+F426+F432</f>
        <v>300</v>
      </c>
      <c r="G413" s="19">
        <f t="shared" si="122"/>
        <v>118</v>
      </c>
      <c r="H413" s="19">
        <f t="shared" si="122"/>
        <v>0</v>
      </c>
      <c r="I413" s="19">
        <f t="shared" si="122"/>
        <v>0</v>
      </c>
      <c r="J413" s="19">
        <f t="shared" si="122"/>
        <v>0</v>
      </c>
      <c r="K413" s="19">
        <f t="shared" si="122"/>
        <v>0</v>
      </c>
      <c r="L413" s="19">
        <f t="shared" si="122"/>
        <v>0</v>
      </c>
      <c r="M413" s="19">
        <f t="shared" si="122"/>
        <v>0</v>
      </c>
      <c r="N413" s="19">
        <f t="shared" si="122"/>
        <v>8</v>
      </c>
      <c r="O413" s="19">
        <f t="shared" si="122"/>
        <v>0</v>
      </c>
      <c r="P413" s="19">
        <f t="shared" si="122"/>
        <v>300</v>
      </c>
      <c r="Q413" s="19">
        <f t="shared" si="122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3">F415+F416</f>
        <v>35</v>
      </c>
      <c r="G414" s="19">
        <f t="shared" si="123"/>
        <v>35</v>
      </c>
      <c r="H414" s="19">
        <f t="shared" si="123"/>
        <v>0</v>
      </c>
      <c r="I414" s="19">
        <f t="shared" si="123"/>
        <v>0</v>
      </c>
      <c r="J414" s="19">
        <f t="shared" si="123"/>
        <v>0</v>
      </c>
      <c r="K414" s="19">
        <f t="shared" si="123"/>
        <v>0</v>
      </c>
      <c r="L414" s="19">
        <f t="shared" si="123"/>
        <v>0</v>
      </c>
      <c r="M414" s="19">
        <f t="shared" si="123"/>
        <v>0</v>
      </c>
      <c r="N414" s="19">
        <f t="shared" si="123"/>
        <v>0</v>
      </c>
      <c r="O414" s="19">
        <f t="shared" si="123"/>
        <v>0</v>
      </c>
      <c r="P414" s="19">
        <f t="shared" si="123"/>
        <v>35</v>
      </c>
      <c r="Q414" s="19">
        <f t="shared" si="123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4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4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22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5">SUM(F418:F420)</f>
        <v>65</v>
      </c>
      <c r="G417" s="19">
        <f t="shared" si="125"/>
        <v>68</v>
      </c>
      <c r="H417" s="19">
        <f t="shared" si="125"/>
        <v>0</v>
      </c>
      <c r="I417" s="19">
        <f t="shared" si="125"/>
        <v>0</v>
      </c>
      <c r="J417" s="19">
        <f t="shared" si="125"/>
        <v>0</v>
      </c>
      <c r="K417" s="19">
        <f t="shared" si="125"/>
        <v>0</v>
      </c>
      <c r="L417" s="19">
        <f t="shared" si="125"/>
        <v>0</v>
      </c>
      <c r="M417" s="19">
        <f t="shared" si="125"/>
        <v>0</v>
      </c>
      <c r="N417" s="19">
        <f t="shared" si="125"/>
        <v>8</v>
      </c>
      <c r="O417" s="19">
        <f t="shared" si="125"/>
        <v>0</v>
      </c>
      <c r="P417" s="19">
        <f t="shared" si="125"/>
        <v>65</v>
      </c>
      <c r="Q417" s="19">
        <f t="shared" si="125"/>
        <v>50</v>
      </c>
    </row>
    <row r="418" spans="1:22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30</v>
      </c>
      <c r="G418" s="37">
        <f t="shared" ref="G418:G419" si="126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30</v>
      </c>
      <c r="Q418" s="36">
        <v>9</v>
      </c>
    </row>
    <row r="419" spans="1:22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25</v>
      </c>
      <c r="G419" s="37">
        <f t="shared" si="126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25</v>
      </c>
      <c r="Q419" s="36">
        <v>41</v>
      </c>
      <c r="V419" s="12" t="s">
        <v>539</v>
      </c>
    </row>
    <row r="420" spans="1:22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4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22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7">F422</f>
        <v>200</v>
      </c>
      <c r="G421" s="19">
        <f t="shared" si="127"/>
        <v>15</v>
      </c>
      <c r="H421" s="19">
        <f t="shared" si="127"/>
        <v>0</v>
      </c>
      <c r="I421" s="19">
        <f t="shared" si="127"/>
        <v>0</v>
      </c>
      <c r="J421" s="19">
        <f t="shared" si="127"/>
        <v>0</v>
      </c>
      <c r="K421" s="19">
        <f t="shared" si="127"/>
        <v>0</v>
      </c>
      <c r="L421" s="19">
        <f t="shared" si="127"/>
        <v>0</v>
      </c>
      <c r="M421" s="19">
        <f t="shared" si="127"/>
        <v>0</v>
      </c>
      <c r="N421" s="19">
        <f t="shared" si="127"/>
        <v>0</v>
      </c>
      <c r="O421" s="19">
        <f t="shared" si="127"/>
        <v>0</v>
      </c>
      <c r="P421" s="19">
        <f t="shared" si="127"/>
        <v>200</v>
      </c>
      <c r="Q421" s="19">
        <f t="shared" si="127"/>
        <v>15</v>
      </c>
    </row>
    <row r="422" spans="1:22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200</v>
      </c>
      <c r="G422" s="37">
        <f t="shared" ref="G422" si="128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200</v>
      </c>
      <c r="Q422" s="36">
        <v>15</v>
      </c>
    </row>
    <row r="423" spans="1:22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4"/>
        <v>0</v>
      </c>
      <c r="H423" s="19"/>
      <c r="I423" s="19">
        <f t="shared" ref="I423:Q423" si="129">I424+I425</f>
        <v>0</v>
      </c>
      <c r="J423" s="19">
        <f t="shared" si="129"/>
        <v>0</v>
      </c>
      <c r="K423" s="19"/>
      <c r="L423" s="19">
        <f t="shared" si="129"/>
        <v>0</v>
      </c>
      <c r="M423" s="19"/>
      <c r="N423" s="19">
        <f t="shared" si="129"/>
        <v>0</v>
      </c>
      <c r="O423" s="19">
        <f t="shared" si="129"/>
        <v>0</v>
      </c>
      <c r="P423" s="19"/>
      <c r="Q423" s="19">
        <f t="shared" si="129"/>
        <v>0</v>
      </c>
    </row>
    <row r="424" spans="1:22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4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22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4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22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4"/>
        <v>0</v>
      </c>
      <c r="H426" s="19"/>
      <c r="I426" s="19">
        <f t="shared" ref="I426:Q426" si="130">I427</f>
        <v>0</v>
      </c>
      <c r="J426" s="19">
        <f t="shared" si="130"/>
        <v>0</v>
      </c>
      <c r="K426" s="19"/>
      <c r="L426" s="19">
        <f t="shared" si="130"/>
        <v>0</v>
      </c>
      <c r="M426" s="19"/>
      <c r="N426" s="19">
        <f t="shared" si="130"/>
        <v>0</v>
      </c>
      <c r="O426" s="19">
        <f t="shared" si="130"/>
        <v>0</v>
      </c>
      <c r="P426" s="19"/>
      <c r="Q426" s="19">
        <f t="shared" si="130"/>
        <v>0</v>
      </c>
    </row>
    <row r="427" spans="1:22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4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22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22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22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22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22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4"/>
        <v>0</v>
      </c>
      <c r="H432" s="19"/>
      <c r="I432" s="19">
        <f t="shared" ref="I432:Q432" si="131">I433</f>
        <v>0</v>
      </c>
      <c r="J432" s="19">
        <f t="shared" si="131"/>
        <v>0</v>
      </c>
      <c r="K432" s="19"/>
      <c r="L432" s="19">
        <f t="shared" si="131"/>
        <v>0</v>
      </c>
      <c r="M432" s="19"/>
      <c r="N432" s="19">
        <f t="shared" si="131"/>
        <v>0</v>
      </c>
      <c r="O432" s="19">
        <f t="shared" si="131"/>
        <v>0</v>
      </c>
      <c r="P432" s="19"/>
      <c r="Q432" s="19">
        <f t="shared" si="131"/>
        <v>0</v>
      </c>
    </row>
    <row r="433" spans="1:22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4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2">F435+F458+F471+F474+F482</f>
        <v>31901</v>
      </c>
      <c r="G434" s="19">
        <f t="shared" si="132"/>
        <v>3263</v>
      </c>
      <c r="H434" s="19">
        <f t="shared" si="132"/>
        <v>29200</v>
      </c>
      <c r="I434" s="19">
        <f t="shared" si="132"/>
        <v>1450</v>
      </c>
      <c r="J434" s="19">
        <f t="shared" si="132"/>
        <v>0</v>
      </c>
      <c r="K434" s="19">
        <f t="shared" si="132"/>
        <v>1000</v>
      </c>
      <c r="L434" s="19">
        <f t="shared" si="132"/>
        <v>0</v>
      </c>
      <c r="M434" s="19">
        <f t="shared" si="132"/>
        <v>0</v>
      </c>
      <c r="N434" s="19">
        <f t="shared" si="132"/>
        <v>0</v>
      </c>
      <c r="O434" s="19">
        <f t="shared" si="132"/>
        <v>0</v>
      </c>
      <c r="P434" s="19">
        <f t="shared" si="132"/>
        <v>1701</v>
      </c>
      <c r="Q434" s="19">
        <f t="shared" si="132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3">F436+F441+F452+F454+F456</f>
        <v>31901</v>
      </c>
      <c r="G435" s="19">
        <f t="shared" si="133"/>
        <v>3263</v>
      </c>
      <c r="H435" s="19">
        <f t="shared" si="133"/>
        <v>29200</v>
      </c>
      <c r="I435" s="19">
        <f t="shared" si="133"/>
        <v>1450</v>
      </c>
      <c r="J435" s="19">
        <f t="shared" si="133"/>
        <v>0</v>
      </c>
      <c r="K435" s="19">
        <f t="shared" si="133"/>
        <v>1000</v>
      </c>
      <c r="L435" s="19">
        <f t="shared" si="133"/>
        <v>0</v>
      </c>
      <c r="M435" s="19">
        <f t="shared" si="133"/>
        <v>0</v>
      </c>
      <c r="N435" s="19">
        <f t="shared" si="133"/>
        <v>0</v>
      </c>
      <c r="O435" s="19">
        <f t="shared" si="133"/>
        <v>0</v>
      </c>
      <c r="P435" s="19">
        <f t="shared" si="133"/>
        <v>1701</v>
      </c>
      <c r="Q435" s="19">
        <f t="shared" si="133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4">SUM(F437:F440)</f>
        <v>5000</v>
      </c>
      <c r="G436" s="19">
        <f t="shared" si="134"/>
        <v>1450</v>
      </c>
      <c r="H436" s="19">
        <f t="shared" si="134"/>
        <v>5000</v>
      </c>
      <c r="I436" s="19">
        <f t="shared" si="134"/>
        <v>1450</v>
      </c>
      <c r="J436" s="19">
        <f t="shared" si="134"/>
        <v>0</v>
      </c>
      <c r="K436" s="19">
        <f t="shared" si="134"/>
        <v>0</v>
      </c>
      <c r="L436" s="19">
        <f t="shared" si="134"/>
        <v>0</v>
      </c>
      <c r="M436" s="19">
        <f t="shared" si="134"/>
        <v>0</v>
      </c>
      <c r="N436" s="19">
        <f t="shared" si="134"/>
        <v>0</v>
      </c>
      <c r="O436" s="19">
        <f t="shared" si="134"/>
        <v>0</v>
      </c>
      <c r="P436" s="19">
        <f t="shared" si="134"/>
        <v>0</v>
      </c>
      <c r="Q436" s="19">
        <f t="shared" si="134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4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4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5000</v>
      </c>
      <c r="G439" s="37">
        <f t="shared" ref="G439" si="135">SUM(I439:Q439)-K439-M439-P439</f>
        <v>1450</v>
      </c>
      <c r="H439" s="37">
        <v>5000</v>
      </c>
      <c r="I439" s="36">
        <v>1450</v>
      </c>
      <c r="J439" s="36"/>
      <c r="K439" s="36"/>
      <c r="L439" s="36"/>
      <c r="M439" s="36"/>
      <c r="N439" s="36"/>
      <c r="O439" s="36"/>
      <c r="P439" s="36"/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4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6">SUM(F442:F451)</f>
        <v>26901</v>
      </c>
      <c r="G441" s="19">
        <f t="shared" si="136"/>
        <v>1813</v>
      </c>
      <c r="H441" s="19">
        <f t="shared" si="136"/>
        <v>24200</v>
      </c>
      <c r="I441" s="19">
        <f t="shared" si="136"/>
        <v>0</v>
      </c>
      <c r="J441" s="19">
        <f t="shared" si="136"/>
        <v>0</v>
      </c>
      <c r="K441" s="19">
        <f t="shared" si="136"/>
        <v>1000</v>
      </c>
      <c r="L441" s="19">
        <f t="shared" si="136"/>
        <v>0</v>
      </c>
      <c r="M441" s="19">
        <f t="shared" si="136"/>
        <v>0</v>
      </c>
      <c r="N441" s="19">
        <f t="shared" si="136"/>
        <v>0</v>
      </c>
      <c r="O441" s="19">
        <f t="shared" si="136"/>
        <v>0</v>
      </c>
      <c r="P441" s="19">
        <f t="shared" si="136"/>
        <v>1701</v>
      </c>
      <c r="Q441" s="19">
        <f t="shared" si="136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4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0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/>
      <c r="Q443" s="36"/>
    </row>
    <row r="444" spans="1:22" ht="28.5" x14ac:dyDescent="0.4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5590</v>
      </c>
      <c r="G444" s="37">
        <f t="shared" ref="G444" si="137">SUM(I444:Q444)-K444-M444-P444</f>
        <v>1258</v>
      </c>
      <c r="H444" s="37">
        <v>4200</v>
      </c>
      <c r="I444" s="36"/>
      <c r="J444" s="36"/>
      <c r="K444" s="36"/>
      <c r="L444" s="36"/>
      <c r="M444" s="36"/>
      <c r="N444" s="36"/>
      <c r="O444" s="36"/>
      <c r="P444" s="36">
        <f>918+100+372</f>
        <v>1390</v>
      </c>
      <c r="Q444" s="36">
        <v>1258</v>
      </c>
      <c r="R444" s="12">
        <v>809</v>
      </c>
      <c r="S444" s="12">
        <v>1124</v>
      </c>
      <c r="T444" s="12">
        <f>S444-R444</f>
        <v>315</v>
      </c>
      <c r="V444" s="400" t="s">
        <v>538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4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4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21311</v>
      </c>
      <c r="G447" s="37">
        <f t="shared" ref="G447" si="138">SUM(I447:Q447)-K447-M447-P447</f>
        <v>555</v>
      </c>
      <c r="H447" s="37">
        <v>20000</v>
      </c>
      <c r="I447" s="36"/>
      <c r="J447" s="36"/>
      <c r="K447" s="36">
        <v>1000</v>
      </c>
      <c r="L447" s="36"/>
      <c r="M447" s="36"/>
      <c r="N447" s="36"/>
      <c r="O447" s="36"/>
      <c r="P447" s="38">
        <v>311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4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4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4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4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4"/>
        <v>0</v>
      </c>
      <c r="H452" s="19"/>
      <c r="I452" s="19">
        <f t="shared" ref="I452:Q452" si="139">I453</f>
        <v>0</v>
      </c>
      <c r="J452" s="19">
        <f t="shared" si="139"/>
        <v>0</v>
      </c>
      <c r="K452" s="19"/>
      <c r="L452" s="19">
        <f t="shared" si="139"/>
        <v>0</v>
      </c>
      <c r="M452" s="19"/>
      <c r="N452" s="19">
        <f t="shared" si="139"/>
        <v>0</v>
      </c>
      <c r="O452" s="19">
        <f t="shared" si="139"/>
        <v>0</v>
      </c>
      <c r="P452" s="19"/>
      <c r="Q452" s="19">
        <f t="shared" si="139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4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4"/>
        <v>0</v>
      </c>
      <c r="H454" s="19"/>
      <c r="I454" s="19">
        <f t="shared" ref="I454:Q454" si="140">I455</f>
        <v>0</v>
      </c>
      <c r="J454" s="19">
        <f t="shared" si="140"/>
        <v>0</v>
      </c>
      <c r="K454" s="19"/>
      <c r="L454" s="19">
        <f t="shared" si="140"/>
        <v>0</v>
      </c>
      <c r="M454" s="19"/>
      <c r="N454" s="19">
        <f t="shared" si="140"/>
        <v>0</v>
      </c>
      <c r="O454" s="19">
        <f t="shared" si="140"/>
        <v>0</v>
      </c>
      <c r="P454" s="19"/>
      <c r="Q454" s="19">
        <f t="shared" si="140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4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1">F457</f>
        <v>0</v>
      </c>
      <c r="G456" s="19">
        <f t="shared" si="141"/>
        <v>0</v>
      </c>
      <c r="H456" s="19">
        <f t="shared" si="141"/>
        <v>0</v>
      </c>
      <c r="I456" s="19">
        <f t="shared" si="141"/>
        <v>0</v>
      </c>
      <c r="J456" s="19">
        <f t="shared" si="141"/>
        <v>0</v>
      </c>
      <c r="K456" s="19">
        <f t="shared" si="141"/>
        <v>0</v>
      </c>
      <c r="L456" s="19">
        <f t="shared" si="141"/>
        <v>0</v>
      </c>
      <c r="M456" s="19">
        <f t="shared" si="141"/>
        <v>0</v>
      </c>
      <c r="N456" s="19">
        <f t="shared" si="141"/>
        <v>0</v>
      </c>
      <c r="O456" s="19">
        <f t="shared" si="141"/>
        <v>0</v>
      </c>
      <c r="P456" s="19">
        <f t="shared" si="141"/>
        <v>0</v>
      </c>
      <c r="Q456" s="19">
        <f t="shared" si="141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0</v>
      </c>
      <c r="G457" s="37">
        <f t="shared" si="114"/>
        <v>0</v>
      </c>
      <c r="H457" s="37"/>
      <c r="I457" s="36"/>
      <c r="J457" s="36"/>
      <c r="K457" s="36"/>
      <c r="L457" s="36"/>
      <c r="M457" s="36"/>
      <c r="N457" s="36"/>
      <c r="O457" s="36"/>
      <c r="P457" s="36">
        <v>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2">SUM(I458:Q458)</f>
        <v>0</v>
      </c>
      <c r="H458" s="19"/>
      <c r="I458" s="19">
        <f t="shared" ref="I458:Q458" si="143">I459+I461+I469</f>
        <v>0</v>
      </c>
      <c r="J458" s="19">
        <f t="shared" si="143"/>
        <v>0</v>
      </c>
      <c r="K458" s="19"/>
      <c r="L458" s="19">
        <f t="shared" si="143"/>
        <v>0</v>
      </c>
      <c r="M458" s="19"/>
      <c r="N458" s="19">
        <f t="shared" si="143"/>
        <v>0</v>
      </c>
      <c r="O458" s="19">
        <f t="shared" si="143"/>
        <v>0</v>
      </c>
      <c r="P458" s="19"/>
      <c r="Q458" s="19">
        <f t="shared" si="143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2"/>
        <v>0</v>
      </c>
      <c r="H459" s="19"/>
      <c r="I459" s="19">
        <f t="shared" ref="I459:Q459" si="144">I460</f>
        <v>0</v>
      </c>
      <c r="J459" s="19">
        <f t="shared" si="144"/>
        <v>0</v>
      </c>
      <c r="K459" s="19"/>
      <c r="L459" s="19">
        <f t="shared" si="144"/>
        <v>0</v>
      </c>
      <c r="M459" s="19"/>
      <c r="N459" s="19">
        <f t="shared" si="144"/>
        <v>0</v>
      </c>
      <c r="O459" s="19">
        <f t="shared" si="144"/>
        <v>0</v>
      </c>
      <c r="P459" s="19"/>
      <c r="Q459" s="19">
        <f t="shared" si="144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2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2"/>
        <v>0</v>
      </c>
      <c r="H461" s="19"/>
      <c r="I461" s="19">
        <f t="shared" ref="I461:Q461" si="145">SUM(I462:I468)</f>
        <v>0</v>
      </c>
      <c r="J461" s="19">
        <f t="shared" si="145"/>
        <v>0</v>
      </c>
      <c r="K461" s="19"/>
      <c r="L461" s="19">
        <f t="shared" si="145"/>
        <v>0</v>
      </c>
      <c r="M461" s="19"/>
      <c r="N461" s="19">
        <f t="shared" si="145"/>
        <v>0</v>
      </c>
      <c r="O461" s="19">
        <f t="shared" si="145"/>
        <v>0</v>
      </c>
      <c r="P461" s="19"/>
      <c r="Q461" s="19">
        <f t="shared" si="145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2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2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2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2"/>
        <v>0</v>
      </c>
      <c r="H469" s="19"/>
      <c r="I469" s="19">
        <f t="shared" ref="I469:Q469" si="146">I470</f>
        <v>0</v>
      </c>
      <c r="J469" s="19">
        <f t="shared" si="146"/>
        <v>0</v>
      </c>
      <c r="K469" s="19"/>
      <c r="L469" s="19">
        <f t="shared" si="146"/>
        <v>0</v>
      </c>
      <c r="M469" s="19"/>
      <c r="N469" s="19">
        <f t="shared" si="146"/>
        <v>0</v>
      </c>
      <c r="O469" s="19">
        <f t="shared" si="146"/>
        <v>0</v>
      </c>
      <c r="P469" s="19"/>
      <c r="Q469" s="19">
        <f t="shared" si="146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2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2"/>
        <v>0</v>
      </c>
      <c r="H471" s="19"/>
      <c r="I471" s="19">
        <f t="shared" ref="I471:Q472" si="147">I472</f>
        <v>0</v>
      </c>
      <c r="J471" s="19">
        <f t="shared" si="147"/>
        <v>0</v>
      </c>
      <c r="K471" s="19"/>
      <c r="L471" s="19">
        <f t="shared" si="147"/>
        <v>0</v>
      </c>
      <c r="M471" s="19"/>
      <c r="N471" s="19">
        <f t="shared" si="147"/>
        <v>0</v>
      </c>
      <c r="O471" s="19">
        <f t="shared" si="147"/>
        <v>0</v>
      </c>
      <c r="P471" s="19"/>
      <c r="Q471" s="19">
        <f t="shared" si="147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2"/>
        <v>0</v>
      </c>
      <c r="H472" s="19"/>
      <c r="I472" s="19">
        <f t="shared" si="147"/>
        <v>0</v>
      </c>
      <c r="J472" s="19">
        <f t="shared" si="147"/>
        <v>0</v>
      </c>
      <c r="K472" s="19"/>
      <c r="L472" s="19">
        <f t="shared" si="147"/>
        <v>0</v>
      </c>
      <c r="M472" s="19"/>
      <c r="N472" s="19">
        <f t="shared" si="147"/>
        <v>0</v>
      </c>
      <c r="O472" s="19">
        <f t="shared" si="147"/>
        <v>0</v>
      </c>
      <c r="P472" s="19"/>
      <c r="Q472" s="19">
        <f t="shared" si="147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2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2"/>
        <v>0</v>
      </c>
      <c r="H474" s="19"/>
      <c r="I474" s="19">
        <f t="shared" ref="I474:Q474" si="148">I475+I477+I479</f>
        <v>0</v>
      </c>
      <c r="J474" s="19">
        <f t="shared" si="148"/>
        <v>0</v>
      </c>
      <c r="K474" s="19"/>
      <c r="L474" s="19">
        <f t="shared" si="148"/>
        <v>0</v>
      </c>
      <c r="M474" s="19"/>
      <c r="N474" s="19">
        <f t="shared" si="148"/>
        <v>0</v>
      </c>
      <c r="O474" s="19">
        <f t="shared" si="148"/>
        <v>0</v>
      </c>
      <c r="P474" s="19"/>
      <c r="Q474" s="19">
        <f t="shared" si="148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2"/>
        <v>0</v>
      </c>
      <c r="H475" s="19"/>
      <c r="I475" s="19">
        <f t="shared" ref="I475:Q475" si="149">I476</f>
        <v>0</v>
      </c>
      <c r="J475" s="19">
        <f t="shared" si="149"/>
        <v>0</v>
      </c>
      <c r="K475" s="19"/>
      <c r="L475" s="19">
        <f t="shared" si="149"/>
        <v>0</v>
      </c>
      <c r="M475" s="19"/>
      <c r="N475" s="19">
        <f t="shared" si="149"/>
        <v>0</v>
      </c>
      <c r="O475" s="19">
        <f t="shared" si="149"/>
        <v>0</v>
      </c>
      <c r="P475" s="19"/>
      <c r="Q475" s="19">
        <f t="shared" si="149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2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2"/>
        <v>0</v>
      </c>
      <c r="H477" s="19"/>
      <c r="I477" s="19">
        <f t="shared" ref="I477:Q477" si="150">I478</f>
        <v>0</v>
      </c>
      <c r="J477" s="19">
        <f t="shared" si="150"/>
        <v>0</v>
      </c>
      <c r="K477" s="19"/>
      <c r="L477" s="19">
        <f t="shared" si="150"/>
        <v>0</v>
      </c>
      <c r="M477" s="19"/>
      <c r="N477" s="19">
        <f t="shared" si="150"/>
        <v>0</v>
      </c>
      <c r="O477" s="19">
        <f t="shared" si="150"/>
        <v>0</v>
      </c>
      <c r="P477" s="19"/>
      <c r="Q477" s="19">
        <f t="shared" si="150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2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2"/>
        <v>0</v>
      </c>
      <c r="H479" s="19"/>
      <c r="I479" s="19">
        <f t="shared" ref="I479:Q479" si="151">I480+I481</f>
        <v>0</v>
      </c>
      <c r="J479" s="19">
        <f t="shared" si="151"/>
        <v>0</v>
      </c>
      <c r="K479" s="19"/>
      <c r="L479" s="19">
        <f t="shared" si="151"/>
        <v>0</v>
      </c>
      <c r="M479" s="19"/>
      <c r="N479" s="19">
        <f t="shared" si="151"/>
        <v>0</v>
      </c>
      <c r="O479" s="19">
        <f t="shared" si="151"/>
        <v>0</v>
      </c>
      <c r="P479" s="19"/>
      <c r="Q479" s="19">
        <f t="shared" si="151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2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2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2"/>
        <v>0</v>
      </c>
      <c r="H482" s="19"/>
      <c r="I482" s="19">
        <f t="shared" ref="I482:Q483" si="152">I483</f>
        <v>0</v>
      </c>
      <c r="J482" s="19">
        <f t="shared" si="152"/>
        <v>0</v>
      </c>
      <c r="K482" s="19"/>
      <c r="L482" s="19">
        <f t="shared" si="152"/>
        <v>0</v>
      </c>
      <c r="M482" s="19"/>
      <c r="N482" s="19">
        <f t="shared" si="152"/>
        <v>0</v>
      </c>
      <c r="O482" s="19">
        <f t="shared" si="152"/>
        <v>0</v>
      </c>
      <c r="P482" s="19"/>
      <c r="Q482" s="19">
        <f t="shared" si="152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2"/>
        <v>0</v>
      </c>
      <c r="H483" s="19"/>
      <c r="I483" s="19">
        <f t="shared" si="152"/>
        <v>0</v>
      </c>
      <c r="J483" s="19">
        <f t="shared" si="152"/>
        <v>0</v>
      </c>
      <c r="K483" s="19"/>
      <c r="L483" s="19">
        <f t="shared" si="152"/>
        <v>0</v>
      </c>
      <c r="M483" s="19"/>
      <c r="N483" s="19">
        <f t="shared" si="152"/>
        <v>0</v>
      </c>
      <c r="O483" s="19">
        <f t="shared" si="152"/>
        <v>0</v>
      </c>
      <c r="P483" s="19"/>
      <c r="Q483" s="19">
        <f t="shared" si="152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2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2"/>
        <v>0</v>
      </c>
      <c r="H485" s="19"/>
      <c r="I485" s="19">
        <f t="shared" ref="I485:Q485" si="153">I486+I515</f>
        <v>0</v>
      </c>
      <c r="J485" s="19">
        <f t="shared" si="153"/>
        <v>0</v>
      </c>
      <c r="K485" s="19"/>
      <c r="L485" s="19">
        <f t="shared" si="153"/>
        <v>0</v>
      </c>
      <c r="M485" s="19"/>
      <c r="N485" s="19">
        <f t="shared" si="153"/>
        <v>0</v>
      </c>
      <c r="O485" s="19">
        <f t="shared" si="153"/>
        <v>0</v>
      </c>
      <c r="P485" s="19"/>
      <c r="Q485" s="19">
        <f t="shared" si="153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2"/>
        <v>0</v>
      </c>
      <c r="H486" s="19"/>
      <c r="I486" s="19">
        <f t="shared" ref="I486:Q486" si="154">I487+I501+I509+I511+I513</f>
        <v>0</v>
      </c>
      <c r="J486" s="19">
        <f t="shared" si="154"/>
        <v>0</v>
      </c>
      <c r="K486" s="19"/>
      <c r="L486" s="19">
        <f t="shared" si="154"/>
        <v>0</v>
      </c>
      <c r="M486" s="19"/>
      <c r="N486" s="19">
        <f t="shared" si="154"/>
        <v>0</v>
      </c>
      <c r="O486" s="19">
        <f t="shared" si="154"/>
        <v>0</v>
      </c>
      <c r="P486" s="19"/>
      <c r="Q486" s="19">
        <f t="shared" si="154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2"/>
        <v>0</v>
      </c>
      <c r="H487" s="19"/>
      <c r="I487" s="19">
        <f t="shared" ref="I487:Q487" si="155">SUM(I488:I500)</f>
        <v>0</v>
      </c>
      <c r="J487" s="19">
        <f t="shared" si="155"/>
        <v>0</v>
      </c>
      <c r="K487" s="19"/>
      <c r="L487" s="19">
        <f t="shared" si="155"/>
        <v>0</v>
      </c>
      <c r="M487" s="19"/>
      <c r="N487" s="19">
        <f t="shared" si="155"/>
        <v>0</v>
      </c>
      <c r="O487" s="19">
        <f t="shared" si="155"/>
        <v>0</v>
      </c>
      <c r="P487" s="19"/>
      <c r="Q487" s="19">
        <f t="shared" si="155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2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2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2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2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2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2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2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2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2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2"/>
        <v>0</v>
      </c>
      <c r="H501" s="19"/>
      <c r="I501" s="19">
        <f t="shared" ref="I501:Q501" si="156">SUM(I502:I508)</f>
        <v>0</v>
      </c>
      <c r="J501" s="19">
        <f t="shared" si="156"/>
        <v>0</v>
      </c>
      <c r="K501" s="19"/>
      <c r="L501" s="19">
        <f t="shared" si="156"/>
        <v>0</v>
      </c>
      <c r="M501" s="19"/>
      <c r="N501" s="19">
        <f t="shared" si="156"/>
        <v>0</v>
      </c>
      <c r="O501" s="19">
        <f t="shared" si="156"/>
        <v>0</v>
      </c>
      <c r="P501" s="19"/>
      <c r="Q501" s="19">
        <f t="shared" si="156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2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2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2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2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2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2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2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2"/>
        <v>0</v>
      </c>
      <c r="H509" s="19"/>
      <c r="I509" s="19">
        <f t="shared" ref="I509:Q509" si="157">I510</f>
        <v>0</v>
      </c>
      <c r="J509" s="19">
        <f t="shared" si="157"/>
        <v>0</v>
      </c>
      <c r="K509" s="19"/>
      <c r="L509" s="19">
        <f t="shared" si="157"/>
        <v>0</v>
      </c>
      <c r="M509" s="19"/>
      <c r="N509" s="19">
        <f t="shared" si="157"/>
        <v>0</v>
      </c>
      <c r="O509" s="19">
        <f t="shared" si="157"/>
        <v>0</v>
      </c>
      <c r="P509" s="19"/>
      <c r="Q509" s="19">
        <f t="shared" si="157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2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2"/>
        <v>0</v>
      </c>
      <c r="H511" s="19"/>
      <c r="I511" s="19">
        <f t="shared" ref="I511:Q513" si="158">I512</f>
        <v>0</v>
      </c>
      <c r="J511" s="19">
        <f t="shared" si="158"/>
        <v>0</v>
      </c>
      <c r="K511" s="19"/>
      <c r="L511" s="19">
        <f t="shared" si="158"/>
        <v>0</v>
      </c>
      <c r="M511" s="19"/>
      <c r="N511" s="19">
        <f t="shared" si="158"/>
        <v>0</v>
      </c>
      <c r="O511" s="19">
        <f t="shared" si="158"/>
        <v>0</v>
      </c>
      <c r="P511" s="19"/>
      <c r="Q511" s="19">
        <f t="shared" si="158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2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2"/>
        <v>0</v>
      </c>
      <c r="H513" s="19"/>
      <c r="I513" s="19">
        <f t="shared" si="158"/>
        <v>0</v>
      </c>
      <c r="J513" s="19">
        <f t="shared" si="158"/>
        <v>0</v>
      </c>
      <c r="K513" s="19"/>
      <c r="L513" s="19">
        <f t="shared" si="158"/>
        <v>0</v>
      </c>
      <c r="M513" s="19"/>
      <c r="N513" s="19">
        <f t="shared" si="158"/>
        <v>0</v>
      </c>
      <c r="O513" s="19">
        <f t="shared" si="158"/>
        <v>0</v>
      </c>
      <c r="P513" s="19"/>
      <c r="Q513" s="19">
        <f t="shared" si="158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2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2"/>
        <v>0</v>
      </c>
      <c r="H515" s="19"/>
      <c r="I515" s="19">
        <f t="shared" ref="I515:Q515" si="159">I516+I530+I539</f>
        <v>0</v>
      </c>
      <c r="J515" s="19">
        <f t="shared" si="159"/>
        <v>0</v>
      </c>
      <c r="K515" s="19"/>
      <c r="L515" s="19">
        <f t="shared" si="159"/>
        <v>0</v>
      </c>
      <c r="M515" s="19"/>
      <c r="N515" s="19">
        <f t="shared" si="159"/>
        <v>0</v>
      </c>
      <c r="O515" s="19">
        <f t="shared" si="159"/>
        <v>0</v>
      </c>
      <c r="P515" s="19"/>
      <c r="Q515" s="19">
        <f t="shared" si="159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2"/>
        <v>0</v>
      </c>
      <c r="H516" s="19"/>
      <c r="I516" s="19">
        <f t="shared" ref="I516:Q516" si="160">SUM(I517:I529)</f>
        <v>0</v>
      </c>
      <c r="J516" s="19">
        <f t="shared" si="160"/>
        <v>0</v>
      </c>
      <c r="K516" s="19"/>
      <c r="L516" s="19">
        <f t="shared" si="160"/>
        <v>0</v>
      </c>
      <c r="M516" s="19"/>
      <c r="N516" s="19">
        <f t="shared" si="160"/>
        <v>0</v>
      </c>
      <c r="O516" s="19">
        <f t="shared" si="160"/>
        <v>0</v>
      </c>
      <c r="P516" s="19"/>
      <c r="Q516" s="19">
        <f t="shared" si="160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2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2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2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2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2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2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2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2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2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2"/>
        <v>0</v>
      </c>
      <c r="H530" s="19"/>
      <c r="I530" s="19">
        <f t="shared" ref="I530:Q530" si="161">SUM(I531:I538)</f>
        <v>0</v>
      </c>
      <c r="J530" s="19">
        <f t="shared" si="161"/>
        <v>0</v>
      </c>
      <c r="K530" s="19"/>
      <c r="L530" s="19">
        <f t="shared" si="161"/>
        <v>0</v>
      </c>
      <c r="M530" s="19"/>
      <c r="N530" s="19">
        <f t="shared" si="161"/>
        <v>0</v>
      </c>
      <c r="O530" s="19">
        <f t="shared" si="161"/>
        <v>0</v>
      </c>
      <c r="P530" s="19"/>
      <c r="Q530" s="19">
        <f t="shared" si="161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2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2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2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2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2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2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2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2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2"/>
        <v>0</v>
      </c>
      <c r="H539" s="19"/>
      <c r="I539" s="19">
        <f t="shared" ref="I539:Q539" si="163">I540</f>
        <v>0</v>
      </c>
      <c r="J539" s="19">
        <f t="shared" si="163"/>
        <v>0</v>
      </c>
      <c r="K539" s="19"/>
      <c r="L539" s="19">
        <f t="shared" si="163"/>
        <v>0</v>
      </c>
      <c r="M539" s="19"/>
      <c r="N539" s="19">
        <f t="shared" si="163"/>
        <v>0</v>
      </c>
      <c r="O539" s="19">
        <f t="shared" si="163"/>
        <v>0</v>
      </c>
      <c r="P539" s="19"/>
      <c r="Q539" s="19">
        <f t="shared" si="163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2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4">E219+E485</f>
        <v>1500538</v>
      </c>
      <c r="F541" s="19">
        <f t="shared" si="164"/>
        <v>1655257</v>
      </c>
      <c r="G541" s="19">
        <f t="shared" si="164"/>
        <v>1138166</v>
      </c>
      <c r="H541" s="19">
        <f t="shared" si="164"/>
        <v>30200</v>
      </c>
      <c r="I541" s="19">
        <f t="shared" si="164"/>
        <v>1577</v>
      </c>
      <c r="J541" s="19">
        <f t="shared" si="164"/>
        <v>0</v>
      </c>
      <c r="K541" s="19">
        <f t="shared" si="164"/>
        <v>1000</v>
      </c>
      <c r="L541" s="19">
        <f t="shared" si="164"/>
        <v>1273</v>
      </c>
      <c r="M541" s="19">
        <f t="shared" si="164"/>
        <v>1611052</v>
      </c>
      <c r="N541" s="19">
        <f t="shared" si="164"/>
        <v>1125638</v>
      </c>
      <c r="O541" s="19">
        <f t="shared" si="164"/>
        <v>0</v>
      </c>
      <c r="P541" s="19">
        <f t="shared" si="164"/>
        <v>13005</v>
      </c>
      <c r="Q541" s="19">
        <f t="shared" si="164"/>
        <v>9668</v>
      </c>
    </row>
    <row r="542" spans="1:17" hidden="1" x14ac:dyDescent="0.25"/>
    <row r="543" spans="1:17" hidden="1" x14ac:dyDescent="0.25">
      <c r="F543" s="44">
        <f>F210-F541</f>
        <v>-5</v>
      </c>
      <c r="G543" s="44"/>
      <c r="H543" s="44">
        <f>H210-H541</f>
        <v>0</v>
      </c>
      <c r="I543" s="44"/>
      <c r="J543" s="44">
        <f>J210-J541</f>
        <v>0</v>
      </c>
      <c r="K543" s="44">
        <f>K210-K541</f>
        <v>0</v>
      </c>
      <c r="L543" s="44"/>
      <c r="M543" s="44">
        <f>M210-M541</f>
        <v>0</v>
      </c>
      <c r="N543" s="44"/>
      <c r="O543" s="44">
        <f>O210-O541</f>
        <v>0</v>
      </c>
      <c r="P543" s="60">
        <f>P210-P541</f>
        <v>-5</v>
      </c>
      <c r="Q543" s="44" t="s">
        <v>469</v>
      </c>
    </row>
    <row r="544" spans="1:17" hidden="1" x14ac:dyDescent="0.25"/>
    <row r="545" spans="1:24" hidden="1" x14ac:dyDescent="0.25">
      <c r="M545" s="44">
        <v>55285</v>
      </c>
    </row>
    <row r="546" spans="1:24" hidden="1" x14ac:dyDescent="0.25">
      <c r="K546" s="12" t="s">
        <v>463</v>
      </c>
      <c r="L546" s="44">
        <v>50421</v>
      </c>
      <c r="M546" s="44">
        <f>M249+M251+M252+M253+M257+M264+M265+M266+M267+M269+M274+M278+M281+M282+M284+M285+M287+M289+M312+M313</f>
        <v>55285</v>
      </c>
      <c r="N546" s="44">
        <f>L546-M546</f>
        <v>-4864</v>
      </c>
      <c r="P546" s="44">
        <f>M546-M545</f>
        <v>0</v>
      </c>
    </row>
    <row r="547" spans="1:24" s="127" customFormat="1" ht="24.75" customHeight="1" x14ac:dyDescent="0.25">
      <c r="A547" s="531" t="s">
        <v>509</v>
      </c>
      <c r="B547" s="532"/>
      <c r="C547" s="533"/>
      <c r="D547" s="124"/>
      <c r="E547" s="125"/>
      <c r="F547" s="125">
        <f>F210-F541</f>
        <v>-5</v>
      </c>
      <c r="G547" s="125">
        <f t="shared" ref="G547" si="165">G210-G541</f>
        <v>1901490</v>
      </c>
      <c r="H547" s="126">
        <f>H210-H541</f>
        <v>0</v>
      </c>
      <c r="I547" s="125">
        <f t="shared" ref="I547:P547" si="166">I210-I541</f>
        <v>17161</v>
      </c>
      <c r="J547" s="125">
        <f t="shared" si="166"/>
        <v>0</v>
      </c>
      <c r="K547" s="126">
        <f t="shared" si="166"/>
        <v>0</v>
      </c>
      <c r="L547" s="126">
        <f t="shared" si="166"/>
        <v>-768</v>
      </c>
      <c r="M547" s="126">
        <f t="shared" si="166"/>
        <v>0</v>
      </c>
      <c r="N547" s="125">
        <f t="shared" si="166"/>
        <v>272554</v>
      </c>
      <c r="O547" s="125">
        <f t="shared" si="166"/>
        <v>0</v>
      </c>
      <c r="P547" s="125">
        <f t="shared" si="166"/>
        <v>-5</v>
      </c>
      <c r="X547" s="405"/>
    </row>
    <row r="549" spans="1:24" hidden="1" x14ac:dyDescent="0.25">
      <c r="F549" s="44">
        <f>F210-F541</f>
        <v>-5</v>
      </c>
      <c r="M549" s="44">
        <f>M249+M251+M252+M253+M257+M264+M265+M266+M267+M269+M274+M278+M281+M282+M284+M285+M287+M289+M312+M313</f>
        <v>55285</v>
      </c>
    </row>
  </sheetData>
  <mergeCells count="187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47:C547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E238:Q269 H432:H443 I432:Q462 E432:G462 E104:E127 G120:M121 G104:Q119 E467:Q490 E379:Q399 E353:Q374 E323:Q348 E404:Q427 E522:Q541 E219:Q233 E274:Q318 H445:H462 E132:E154 G132:Q154 G122:Q127 G74:Q99 E74:E99 E6:Q10 E207:Q211 E185:Q202 E159:Q180 E47:Q69 E15:Q42 F74:F154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11265" r:id="rId4">
          <objectPr defaultSize="0" r:id="rId5">
            <anchor moveWithCells="1">
              <from>
                <xdr:col>24</xdr:col>
                <xdr:colOff>0</xdr:colOff>
                <xdr:row>2</xdr:row>
                <xdr:rowOff>0</xdr:rowOff>
              </from>
              <to>
                <xdr:col>33</xdr:col>
                <xdr:colOff>438150</xdr:colOff>
                <xdr:row>122</xdr:row>
                <xdr:rowOff>104775</xdr:rowOff>
              </to>
            </anchor>
          </objectPr>
        </oleObject>
      </mc:Choice>
      <mc:Fallback>
        <oleObject progId="Word.Document.12" shapeId="11265" r:id="rId4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99FF"/>
  </sheetPr>
  <dimension ref="A1:Q541"/>
  <sheetViews>
    <sheetView workbookViewId="0">
      <selection activeCell="A542" sqref="A542:XFD542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10.42578125" style="12" customWidth="1"/>
    <col min="7" max="7" width="1" style="12" hidden="1" customWidth="1"/>
    <col min="8" max="8" width="8.7109375" style="12" customWidth="1"/>
    <col min="9" max="9" width="7.5703125" style="12" hidden="1" customWidth="1"/>
    <col min="10" max="10" width="4" style="12" hidden="1" customWidth="1"/>
    <col min="11" max="11" width="5.5703125" style="12" customWidth="1"/>
    <col min="12" max="12" width="6.28515625" style="12" hidden="1" customWidth="1"/>
    <col min="13" max="13" width="10.28515625" style="12" customWidth="1"/>
    <col min="14" max="14" width="9.140625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18" width="9.140625" style="12"/>
    <col min="19" max="19" width="20.7109375" style="12" customWidth="1"/>
    <col min="20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51.75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1668315</v>
      </c>
      <c r="G6" s="19">
        <f t="shared" ref="G6:Q6" si="0">G7+G133</f>
        <v>3052719</v>
      </c>
      <c r="H6" s="19">
        <f t="shared" si="0"/>
        <v>30200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1624115</v>
      </c>
      <c r="N6" s="19">
        <f t="shared" si="0"/>
        <v>1398192</v>
      </c>
      <c r="O6" s="19">
        <f t="shared" si="0"/>
        <v>0</v>
      </c>
      <c r="P6" s="19">
        <f t="shared" si="0"/>
        <v>13000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1668115</v>
      </c>
      <c r="G7" s="19">
        <f>G8+G60+G74+G86+G115+G122+G126</f>
        <v>3052535</v>
      </c>
      <c r="H7" s="19">
        <f t="shared" ref="H7:Q7" si="1">H8+H60+H74+H86+H115+H122+H126</f>
        <v>30200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1624115</v>
      </c>
      <c r="N7" s="19">
        <f t="shared" si="1"/>
        <v>1398192</v>
      </c>
      <c r="O7" s="19">
        <f t="shared" si="1"/>
        <v>0</v>
      </c>
      <c r="P7" s="19">
        <f t="shared" si="1"/>
        <v>12800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90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90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15300</v>
      </c>
      <c r="G86" s="19">
        <f t="shared" ref="G86:Q86" si="21">G87+G94+G99+G110+G113</f>
        <v>14780</v>
      </c>
      <c r="H86" s="19">
        <f>H87+H94+H99+H110+H113</f>
        <v>1000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f>M87+M94+M120</f>
        <v>1500</v>
      </c>
      <c r="N86" s="19">
        <f t="shared" si="21"/>
        <v>1130</v>
      </c>
      <c r="O86" s="19">
        <f t="shared" si="21"/>
        <v>0</v>
      </c>
      <c r="P86" s="19">
        <f>P87+P94+P99+P110+P113+P120</f>
        <v>12800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1500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1500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1500</v>
      </c>
      <c r="G91" s="37">
        <f>SUM(I91:Q91)-K91-M91-P91</f>
        <v>1130</v>
      </c>
      <c r="H91" s="37"/>
      <c r="I91" s="38"/>
      <c r="J91" s="38"/>
      <c r="K91" s="38"/>
      <c r="L91" s="38"/>
      <c r="M91" s="38">
        <v>1500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1000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12700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1000</v>
      </c>
      <c r="I97" s="36">
        <v>1165</v>
      </c>
      <c r="J97" s="36"/>
      <c r="K97" s="36"/>
      <c r="L97" s="36"/>
      <c r="M97" s="36"/>
      <c r="N97" s="36"/>
      <c r="O97" s="36"/>
      <c r="P97" s="36">
        <v>7700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90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17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17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17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17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17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17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17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17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3019677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17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17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1622615</v>
      </c>
      <c r="G122" s="19">
        <f t="shared" ref="G122:Q122" si="33">G123</f>
        <v>3019677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1622615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17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1622615</v>
      </c>
      <c r="G123" s="19">
        <f t="shared" ref="G123:Q123" si="34">G124+G125</f>
        <v>3019677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1622615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17" ht="26.25" x14ac:dyDescent="0.25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1622615</v>
      </c>
      <c r="G124" s="37">
        <f>SUM(I124:Q124)</f>
        <v>3019677</v>
      </c>
      <c r="H124" s="37"/>
      <c r="I124" s="36"/>
      <c r="J124" s="36"/>
      <c r="K124" s="36"/>
      <c r="L124" s="36"/>
      <c r="M124" s="36">
        <f>1597834+3040+8678+13063</f>
        <v>1622615</v>
      </c>
      <c r="N124" s="36">
        <v>1397062</v>
      </c>
      <c r="O124" s="36"/>
      <c r="P124" s="36"/>
      <c r="Q124" s="72"/>
    </row>
    <row r="125" spans="1:17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17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30200</v>
      </c>
      <c r="G126" s="19">
        <f t="shared" ref="G126:Q126" si="36">G127</f>
        <v>18078</v>
      </c>
      <c r="H126" s="19">
        <f>H127</f>
        <v>29200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17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30200</v>
      </c>
      <c r="G127" s="19">
        <f t="shared" ref="G127:Q127" si="37">G132</f>
        <v>18078</v>
      </c>
      <c r="H127" s="19">
        <f t="shared" si="37"/>
        <v>29200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17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17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17" ht="90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17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17" x14ac:dyDescent="0.25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30200</v>
      </c>
      <c r="G132" s="389">
        <f>SUM(I132:Q132)-K132-M132-P132</f>
        <v>18078</v>
      </c>
      <c r="H132" s="389">
        <f>25000+4200</f>
        <v>29200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</row>
    <row r="133" spans="1:17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17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>K135+K137+K139</f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17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17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17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17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17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17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17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17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17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17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90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90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90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7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7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1668315</v>
      </c>
      <c r="G210" s="42">
        <f t="shared" si="61"/>
        <v>3052719</v>
      </c>
      <c r="H210" s="42">
        <f t="shared" si="61"/>
        <v>30200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1624115</v>
      </c>
      <c r="N210" s="42">
        <f t="shared" si="61"/>
        <v>1398192</v>
      </c>
      <c r="O210" s="42">
        <f t="shared" si="61"/>
        <v>0</v>
      </c>
      <c r="P210" s="42">
        <f t="shared" si="61"/>
        <v>13000</v>
      </c>
      <c r="Q210" s="74">
        <f t="shared" si="61"/>
        <v>12669</v>
      </c>
    </row>
    <row r="211" spans="1:17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7" ht="3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7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7" ht="3.75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7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7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7" ht="90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7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7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1668320</v>
      </c>
      <c r="G219" s="19">
        <f t="shared" si="62"/>
        <v>1138166</v>
      </c>
      <c r="H219" s="19">
        <f t="shared" si="62"/>
        <v>30200</v>
      </c>
      <c r="I219" s="19">
        <f t="shared" si="62"/>
        <v>1577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1624115</v>
      </c>
      <c r="N219" s="19">
        <f t="shared" si="62"/>
        <v>1125638</v>
      </c>
      <c r="O219" s="19">
        <f t="shared" si="62"/>
        <v>0</v>
      </c>
      <c r="P219" s="19">
        <f t="shared" si="62"/>
        <v>13005</v>
      </c>
      <c r="Q219" s="19">
        <f t="shared" si="62"/>
        <v>9668</v>
      </c>
    </row>
    <row r="220" spans="1:17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1636419</v>
      </c>
      <c r="G220" s="19">
        <f t="shared" ref="G220:Q220" si="63">G221+G247+G314+G333+G361+G374+G394+G413</f>
        <v>1134903</v>
      </c>
      <c r="H220" s="19">
        <f t="shared" si="63"/>
        <v>1000</v>
      </c>
      <c r="I220" s="19">
        <f t="shared" si="63"/>
        <v>127</v>
      </c>
      <c r="J220" s="19">
        <f t="shared" si="63"/>
        <v>0</v>
      </c>
      <c r="K220" s="19">
        <f t="shared" si="63"/>
        <v>0</v>
      </c>
      <c r="L220" s="19">
        <f t="shared" si="63"/>
        <v>1273</v>
      </c>
      <c r="M220" s="19">
        <f t="shared" si="63"/>
        <v>1624115</v>
      </c>
      <c r="N220" s="19">
        <f t="shared" si="63"/>
        <v>1125638</v>
      </c>
      <c r="O220" s="19">
        <f t="shared" si="63"/>
        <v>0</v>
      </c>
      <c r="P220" s="19">
        <f t="shared" si="63"/>
        <v>11304</v>
      </c>
      <c r="Q220" s="19">
        <f t="shared" si="63"/>
        <v>7855</v>
      </c>
    </row>
    <row r="221" spans="1:17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1216506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1212877</v>
      </c>
      <c r="N221" s="19">
        <f t="shared" si="64"/>
        <v>1025065</v>
      </c>
      <c r="O221" s="19">
        <f t="shared" si="64"/>
        <v>0</v>
      </c>
      <c r="P221" s="19">
        <f t="shared" si="64"/>
        <v>3629</v>
      </c>
      <c r="Q221" s="19">
        <f t="shared" si="64"/>
        <v>2600</v>
      </c>
    </row>
    <row r="222" spans="1:17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1010985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1008061</v>
      </c>
      <c r="N222" s="19">
        <f t="shared" si="65"/>
        <v>849796</v>
      </c>
      <c r="O222" s="19">
        <f t="shared" si="65"/>
        <v>0</v>
      </c>
      <c r="P222" s="19">
        <f t="shared" si="65"/>
        <v>2924</v>
      </c>
      <c r="Q222" s="19">
        <f t="shared" si="65"/>
        <v>1989</v>
      </c>
    </row>
    <row r="223" spans="1:17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1010985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1008061</v>
      </c>
      <c r="N223" s="36">
        <f>851785-1989</f>
        <v>849796</v>
      </c>
      <c r="O223" s="36"/>
      <c r="P223" s="36">
        <v>2924</v>
      </c>
      <c r="Q223" s="36">
        <v>1989</v>
      </c>
    </row>
    <row r="224" spans="1:17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153194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152721</v>
      </c>
      <c r="N224" s="19">
        <f t="shared" si="66"/>
        <v>141535</v>
      </c>
      <c r="O224" s="19">
        <f t="shared" si="66"/>
        <v>0</v>
      </c>
      <c r="P224" s="19">
        <f t="shared" si="66"/>
        <v>473</v>
      </c>
      <c r="Q224" s="19">
        <f t="shared" si="66"/>
        <v>331</v>
      </c>
    </row>
    <row r="225" spans="1:17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101128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100806</v>
      </c>
      <c r="N225" s="36">
        <f>97986-229</f>
        <v>97757</v>
      </c>
      <c r="O225" s="36"/>
      <c r="P225" s="36">
        <v>322</v>
      </c>
      <c r="Q225" s="36">
        <v>229</v>
      </c>
    </row>
    <row r="226" spans="1:17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52066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51915</v>
      </c>
      <c r="N226" s="36">
        <f>43880-102</f>
        <v>43778</v>
      </c>
      <c r="O226" s="36"/>
      <c r="P226" s="36">
        <v>151</v>
      </c>
      <c r="Q226" s="36">
        <v>102</v>
      </c>
    </row>
    <row r="227" spans="1:17" ht="15" hidden="1" customHeight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17" ht="15" hidden="1" customHeight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17" ht="15" hidden="1" customHeight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17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9632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9400</v>
      </c>
      <c r="N230" s="19">
        <f t="shared" si="69"/>
        <v>4959</v>
      </c>
      <c r="O230" s="19">
        <f t="shared" si="69"/>
        <v>0</v>
      </c>
      <c r="P230" s="19">
        <f t="shared" si="69"/>
        <v>232</v>
      </c>
      <c r="Q230" s="19">
        <f t="shared" si="69"/>
        <v>280</v>
      </c>
    </row>
    <row r="231" spans="1:17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17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17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8432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v>8200</v>
      </c>
      <c r="N233" s="36">
        <v>3654</v>
      </c>
      <c r="O233" s="36"/>
      <c r="P233" s="36">
        <v>232</v>
      </c>
      <c r="Q233" s="36">
        <v>280</v>
      </c>
    </row>
    <row r="234" spans="1:17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17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17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17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17" ht="51.75" x14ac:dyDescent="0.25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1200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1200</v>
      </c>
      <c r="N238" s="36">
        <v>1305</v>
      </c>
      <c r="O238" s="36"/>
      <c r="P238" s="36"/>
      <c r="Q238" s="36"/>
    </row>
    <row r="239" spans="1:17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28788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28788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17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28788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28788</v>
      </c>
      <c r="N240" s="36">
        <v>19632</v>
      </c>
      <c r="O240" s="36"/>
      <c r="P240" s="36"/>
      <c r="Q240" s="36"/>
    </row>
    <row r="241" spans="1:17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13907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13907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7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13907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13907</v>
      </c>
      <c r="N242" s="36">
        <v>9143</v>
      </c>
      <c r="O242" s="36"/>
      <c r="P242" s="36"/>
      <c r="Q242" s="36"/>
    </row>
    <row r="243" spans="1:17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7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7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7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7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408933</v>
      </c>
      <c r="G247" s="19">
        <f t="shared" si="74"/>
        <v>99459</v>
      </c>
      <c r="H247" s="19">
        <f t="shared" si="74"/>
        <v>1000</v>
      </c>
      <c r="I247" s="19">
        <f t="shared" si="74"/>
        <v>127</v>
      </c>
      <c r="J247" s="19">
        <f t="shared" si="74"/>
        <v>0</v>
      </c>
      <c r="K247" s="19">
        <f t="shared" si="74"/>
        <v>0</v>
      </c>
      <c r="L247" s="19">
        <f t="shared" si="74"/>
        <v>1273</v>
      </c>
      <c r="M247" s="19">
        <f t="shared" si="74"/>
        <v>401158</v>
      </c>
      <c r="N247" s="19">
        <f t="shared" si="74"/>
        <v>93155</v>
      </c>
      <c r="O247" s="19">
        <f t="shared" si="74"/>
        <v>0</v>
      </c>
      <c r="P247" s="19">
        <f t="shared" si="74"/>
        <v>6775</v>
      </c>
      <c r="Q247" s="19">
        <f t="shared" si="74"/>
        <v>4904</v>
      </c>
    </row>
    <row r="248" spans="1:17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99470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98327</v>
      </c>
      <c r="N248" s="19">
        <f t="shared" si="75"/>
        <v>80545</v>
      </c>
      <c r="O248" s="19">
        <f t="shared" si="75"/>
        <v>0</v>
      </c>
      <c r="P248" s="19">
        <f t="shared" si="75"/>
        <v>1143</v>
      </c>
      <c r="Q248" s="19">
        <f t="shared" si="75"/>
        <v>453</v>
      </c>
    </row>
    <row r="249" spans="1:17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1580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1500</v>
      </c>
      <c r="N249" s="36">
        <v>1243</v>
      </c>
      <c r="O249" s="36"/>
      <c r="P249" s="36">
        <v>80</v>
      </c>
      <c r="Q249" s="36">
        <v>57</v>
      </c>
    </row>
    <row r="250" spans="1:17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81299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f>98306-17257</f>
        <v>81049</v>
      </c>
      <c r="N250" s="36">
        <v>65188</v>
      </c>
      <c r="O250" s="36"/>
      <c r="P250" s="36">
        <v>250</v>
      </c>
      <c r="Q250" s="36">
        <v>320</v>
      </c>
    </row>
    <row r="251" spans="1:17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11326</v>
      </c>
      <c r="G251" s="37">
        <f t="shared" si="76"/>
        <v>9465</v>
      </c>
      <c r="H251" s="37"/>
      <c r="I251" s="36"/>
      <c r="J251" s="36"/>
      <c r="K251" s="36"/>
      <c r="L251" s="36"/>
      <c r="M251" s="36">
        <f>11500-360-414</f>
        <v>10726</v>
      </c>
      <c r="N251" s="36">
        <v>9410</v>
      </c>
      <c r="O251" s="36"/>
      <c r="P251" s="36">
        <v>600</v>
      </c>
      <c r="Q251" s="36">
        <v>55</v>
      </c>
    </row>
    <row r="252" spans="1:17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2040</v>
      </c>
      <c r="G252" s="37">
        <f t="shared" si="76"/>
        <v>2113</v>
      </c>
      <c r="H252" s="37"/>
      <c r="I252" s="36"/>
      <c r="J252" s="36"/>
      <c r="K252" s="36"/>
      <c r="L252" s="36"/>
      <c r="M252" s="36">
        <f>2016+24</f>
        <v>2040</v>
      </c>
      <c r="N252" s="36">
        <v>2113</v>
      </c>
      <c r="O252" s="36"/>
      <c r="P252" s="36"/>
      <c r="Q252" s="36"/>
    </row>
    <row r="253" spans="1:17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3225</v>
      </c>
      <c r="G253" s="37">
        <f t="shared" si="76"/>
        <v>2612</v>
      </c>
      <c r="H253" s="37"/>
      <c r="I253" s="36"/>
      <c r="J253" s="36"/>
      <c r="K253" s="36"/>
      <c r="L253" s="36"/>
      <c r="M253" s="36">
        <f>3000+12</f>
        <v>3012</v>
      </c>
      <c r="N253" s="36">
        <v>2591</v>
      </c>
      <c r="O253" s="36"/>
      <c r="P253" s="36">
        <f>200+13</f>
        <v>213</v>
      </c>
      <c r="Q253" s="36">
        <v>21</v>
      </c>
    </row>
    <row r="254" spans="1:17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7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7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624</v>
      </c>
      <c r="G256" s="19">
        <f t="shared" si="77"/>
        <v>451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184</v>
      </c>
      <c r="N256" s="19">
        <f t="shared" si="77"/>
        <v>0</v>
      </c>
      <c r="O256" s="19">
        <f t="shared" si="77"/>
        <v>0</v>
      </c>
      <c r="P256" s="19">
        <f t="shared" si="77"/>
        <v>440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624</v>
      </c>
      <c r="G257" s="37">
        <f t="shared" ref="G257" si="78">SUM(I257:Q257)-K257-M257-P257</f>
        <v>451</v>
      </c>
      <c r="H257" s="37"/>
      <c r="I257" s="36"/>
      <c r="J257" s="36"/>
      <c r="K257" s="36"/>
      <c r="L257" s="36"/>
      <c r="M257" s="36">
        <v>184</v>
      </c>
      <c r="N257" s="36"/>
      <c r="O257" s="36"/>
      <c r="P257" s="36">
        <v>440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9869</v>
      </c>
      <c r="G262" s="19">
        <f t="shared" si="79"/>
        <v>70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7274</v>
      </c>
      <c r="N262" s="19">
        <f t="shared" si="79"/>
        <v>0</v>
      </c>
      <c r="O262" s="19">
        <f t="shared" si="79"/>
        <v>0</v>
      </c>
      <c r="P262" s="19">
        <f t="shared" si="79"/>
        <v>2595</v>
      </c>
      <c r="Q262" s="19">
        <f t="shared" si="79"/>
        <v>70</v>
      </c>
    </row>
    <row r="263" spans="1:17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3852</v>
      </c>
      <c r="G264" s="37">
        <f t="shared" ref="G264" si="80">SUM(I264:Q264)-K264-M264-P264</f>
        <v>70</v>
      </c>
      <c r="H264" s="37"/>
      <c r="I264" s="36"/>
      <c r="J264" s="36"/>
      <c r="K264" s="36"/>
      <c r="L264" s="36"/>
      <c r="M264" s="36">
        <f>3900-48</f>
        <v>3852</v>
      </c>
      <c r="N264" s="36"/>
      <c r="O264" s="36"/>
      <c r="P264" s="36"/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3772</v>
      </c>
      <c r="G265" s="37"/>
      <c r="H265" s="37"/>
      <c r="I265" s="36"/>
      <c r="J265" s="36"/>
      <c r="K265" s="36"/>
      <c r="L265" s="36"/>
      <c r="M265" s="36">
        <f>2800+522</f>
        <v>3322</v>
      </c>
      <c r="N265" s="36"/>
      <c r="O265" s="36"/>
      <c r="P265" s="36">
        <f>900-522+72</f>
        <v>450</v>
      </c>
      <c r="Q265" s="36"/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100</v>
      </c>
      <c r="G266" s="37"/>
      <c r="H266" s="37"/>
      <c r="I266" s="36"/>
      <c r="J266" s="36"/>
      <c r="K266" s="36"/>
      <c r="L266" s="36"/>
      <c r="M266" s="36">
        <v>100</v>
      </c>
      <c r="N266" s="36"/>
      <c r="O266" s="36"/>
      <c r="P266" s="36"/>
      <c r="Q266" s="36"/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1667</v>
      </c>
      <c r="G267" s="37"/>
      <c r="H267" s="37"/>
      <c r="I267" s="36"/>
      <c r="J267" s="36"/>
      <c r="K267" s="36"/>
      <c r="L267" s="36"/>
      <c r="M267" s="36"/>
      <c r="N267" s="36"/>
      <c r="O267" s="36"/>
      <c r="P267" s="36">
        <v>1667</v>
      </c>
      <c r="Q267" s="36"/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/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/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/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/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/>
      <c r="H271" s="476"/>
      <c r="I271" s="544"/>
      <c r="J271" s="545"/>
      <c r="K271" s="545"/>
      <c r="L271" s="545"/>
      <c r="M271" s="545"/>
      <c r="N271" s="545"/>
      <c r="O271" s="544"/>
      <c r="P271" s="476"/>
      <c r="Q271" s="544"/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/>
      <c r="J272" s="476"/>
      <c r="K272" s="476"/>
      <c r="L272" s="476"/>
      <c r="M272" s="476"/>
      <c r="N272" s="476"/>
      <c r="O272" s="545"/>
      <c r="P272" s="477"/>
      <c r="Q272" s="545"/>
    </row>
    <row r="273" spans="1:17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</row>
    <row r="274" spans="1:17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278</v>
      </c>
      <c r="G274" s="37"/>
      <c r="H274" s="37"/>
      <c r="I274" s="36"/>
      <c r="J274" s="36"/>
      <c r="K274" s="36"/>
      <c r="L274" s="36"/>
      <c r="M274" s="36"/>
      <c r="N274" s="36"/>
      <c r="O274" s="36"/>
      <c r="P274" s="36">
        <v>278</v>
      </c>
      <c r="Q274" s="36"/>
    </row>
    <row r="275" spans="1:17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1">SUM(F276:F282)</f>
        <v>2867</v>
      </c>
      <c r="G275" s="19">
        <f t="shared" si="81"/>
        <v>450</v>
      </c>
      <c r="H275" s="19">
        <f t="shared" si="81"/>
        <v>0</v>
      </c>
      <c r="I275" s="19">
        <f t="shared" si="81"/>
        <v>0</v>
      </c>
      <c r="J275" s="19">
        <f t="shared" si="81"/>
        <v>0</v>
      </c>
      <c r="K275" s="19">
        <f t="shared" si="81"/>
        <v>0</v>
      </c>
      <c r="L275" s="19">
        <f t="shared" si="81"/>
        <v>0</v>
      </c>
      <c r="M275" s="19">
        <f t="shared" si="81"/>
        <v>2753</v>
      </c>
      <c r="N275" s="19">
        <f t="shared" si="81"/>
        <v>0</v>
      </c>
      <c r="O275" s="19">
        <f t="shared" si="81"/>
        <v>0</v>
      </c>
      <c r="P275" s="19">
        <f t="shared" si="81"/>
        <v>114</v>
      </c>
      <c r="Q275" s="19">
        <f t="shared" si="81"/>
        <v>450</v>
      </c>
    </row>
    <row r="276" spans="1:17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17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17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1136</v>
      </c>
      <c r="G278" s="37">
        <f t="shared" ref="G278" si="82">SUM(I278:Q278)-K278-M278-P278</f>
        <v>109</v>
      </c>
      <c r="H278" s="37"/>
      <c r="I278" s="36"/>
      <c r="J278" s="36"/>
      <c r="K278" s="36"/>
      <c r="L278" s="36"/>
      <c r="M278" s="36">
        <f>1400-264</f>
        <v>1136</v>
      </c>
      <c r="N278" s="36"/>
      <c r="O278" s="36"/>
      <c r="P278" s="36"/>
      <c r="Q278" s="36">
        <v>109</v>
      </c>
    </row>
    <row r="279" spans="1:17" ht="15" hidden="1" customHeight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17" ht="26.25" hidden="1" customHeight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17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330</v>
      </c>
      <c r="G281" s="37">
        <f t="shared" ref="G281:G282" si="83">SUM(I281:Q281)-K281-M281-P281</f>
        <v>51</v>
      </c>
      <c r="H281" s="37"/>
      <c r="I281" s="36"/>
      <c r="J281" s="36"/>
      <c r="K281" s="36"/>
      <c r="L281" s="36"/>
      <c r="M281" s="36">
        <f>300-72-12</f>
        <v>216</v>
      </c>
      <c r="N281" s="36"/>
      <c r="O281" s="36"/>
      <c r="P281" s="36">
        <v>114</v>
      </c>
      <c r="Q281" s="36">
        <v>51</v>
      </c>
    </row>
    <row r="282" spans="1:17" x14ac:dyDescent="0.2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1401</v>
      </c>
      <c r="G282" s="37">
        <f t="shared" si="83"/>
        <v>290</v>
      </c>
      <c r="H282" s="37"/>
      <c r="I282" s="36"/>
      <c r="J282" s="36"/>
      <c r="K282" s="36"/>
      <c r="L282" s="36"/>
      <c r="M282" s="36">
        <f>1600+108-60-283+36</f>
        <v>1401</v>
      </c>
      <c r="N282" s="36"/>
      <c r="O282" s="36"/>
      <c r="P282" s="36">
        <f>212-212</f>
        <v>0</v>
      </c>
      <c r="Q282" s="36">
        <v>290</v>
      </c>
    </row>
    <row r="283" spans="1:17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4">F284+F285</f>
        <v>25198</v>
      </c>
      <c r="G283" s="19">
        <f t="shared" si="84"/>
        <v>755</v>
      </c>
      <c r="H283" s="19">
        <f t="shared" si="84"/>
        <v>0</v>
      </c>
      <c r="I283" s="19">
        <f t="shared" si="84"/>
        <v>0</v>
      </c>
      <c r="J283" s="19">
        <f t="shared" si="84"/>
        <v>0</v>
      </c>
      <c r="K283" s="19">
        <f t="shared" si="84"/>
        <v>0</v>
      </c>
      <c r="L283" s="19">
        <f t="shared" si="84"/>
        <v>0</v>
      </c>
      <c r="M283" s="19">
        <f t="shared" si="84"/>
        <v>25198</v>
      </c>
      <c r="N283" s="19">
        <f t="shared" si="84"/>
        <v>100</v>
      </c>
      <c r="O283" s="19">
        <f t="shared" si="84"/>
        <v>0</v>
      </c>
      <c r="P283" s="19">
        <f t="shared" si="84"/>
        <v>0</v>
      </c>
      <c r="Q283" s="19">
        <f t="shared" si="84"/>
        <v>655</v>
      </c>
    </row>
    <row r="284" spans="1:17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8134</v>
      </c>
      <c r="G284" s="37">
        <f t="shared" ref="G284:G285" si="85">SUM(I284:Q284)-K284-M284-P284</f>
        <v>100</v>
      </c>
      <c r="H284" s="37"/>
      <c r="I284" s="36"/>
      <c r="J284" s="36"/>
      <c r="K284" s="36"/>
      <c r="L284" s="36"/>
      <c r="M284" s="36">
        <f>5000+600+2534</f>
        <v>8134</v>
      </c>
      <c r="N284" s="36">
        <v>100</v>
      </c>
      <c r="O284" s="36"/>
      <c r="P284" s="36"/>
      <c r="Q284" s="36"/>
    </row>
    <row r="285" spans="1:17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17064</v>
      </c>
      <c r="G285" s="37">
        <f t="shared" si="85"/>
        <v>655</v>
      </c>
      <c r="H285" s="37"/>
      <c r="I285" s="36"/>
      <c r="J285" s="36"/>
      <c r="K285" s="36"/>
      <c r="L285" s="36"/>
      <c r="M285" s="36">
        <f>10500-362-24-108-346-24+7428</f>
        <v>17064</v>
      </c>
      <c r="N285" s="36"/>
      <c r="O285" s="36"/>
      <c r="P285" s="36"/>
      <c r="Q285" s="36">
        <v>655</v>
      </c>
    </row>
    <row r="286" spans="1:17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270905</v>
      </c>
      <c r="G286" s="19">
        <f>SUM(G287:G313)</f>
        <v>16735</v>
      </c>
      <c r="H286" s="19">
        <f t="shared" ref="H286:Q286" si="86">SUM(H287:H313)</f>
        <v>1000</v>
      </c>
      <c r="I286" s="19">
        <f t="shared" si="86"/>
        <v>127</v>
      </c>
      <c r="J286" s="19">
        <f t="shared" si="86"/>
        <v>0</v>
      </c>
      <c r="K286" s="19">
        <f t="shared" si="86"/>
        <v>0</v>
      </c>
      <c r="L286" s="19">
        <f t="shared" si="86"/>
        <v>1273</v>
      </c>
      <c r="M286" s="19">
        <f>M287+M289+M290+M293+M311+M312+M313</f>
        <v>267422</v>
      </c>
      <c r="N286" s="19">
        <f t="shared" si="86"/>
        <v>12510</v>
      </c>
      <c r="O286" s="19">
        <f t="shared" si="86"/>
        <v>0</v>
      </c>
      <c r="P286" s="19">
        <f>P287+P289+P290+P293+P311+P312+P313</f>
        <v>2483</v>
      </c>
      <c r="Q286" s="19">
        <f t="shared" si="86"/>
        <v>2825</v>
      </c>
    </row>
    <row r="287" spans="1:17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4287</v>
      </c>
      <c r="G287" s="37">
        <f t="shared" ref="G287" si="87">SUM(I287:Q287)-K287-M287-P287</f>
        <v>0</v>
      </c>
      <c r="H287" s="37"/>
      <c r="I287" s="36"/>
      <c r="J287" s="36"/>
      <c r="K287" s="36"/>
      <c r="L287" s="36"/>
      <c r="M287" s="36">
        <f>4500-520-12</f>
        <v>3968</v>
      </c>
      <c r="N287" s="36"/>
      <c r="O287" s="36"/>
      <c r="P287" s="36">
        <f>510-191</f>
        <v>319</v>
      </c>
      <c r="Q287" s="36"/>
    </row>
    <row r="288" spans="1:17" ht="15" hidden="1" customHeight="1" x14ac:dyDescent="0.25">
      <c r="A288" s="45">
        <v>5233</v>
      </c>
      <c r="B288" s="23">
        <v>426200</v>
      </c>
      <c r="C288" s="9" t="s">
        <v>264</v>
      </c>
      <c r="D288" s="9"/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7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122</v>
      </c>
      <c r="G289" s="37">
        <f t="shared" ref="G289:G290" si="88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f>110+12</f>
        <v>122</v>
      </c>
      <c r="Q289" s="36">
        <v>147</v>
      </c>
    </row>
    <row r="290" spans="1:17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2040</v>
      </c>
      <c r="G290" s="37">
        <f t="shared" si="88"/>
        <v>7</v>
      </c>
      <c r="H290" s="37"/>
      <c r="I290" s="38"/>
      <c r="J290" s="38"/>
      <c r="K290" s="38"/>
      <c r="L290" s="38"/>
      <c r="M290" s="38">
        <v>2040</v>
      </c>
      <c r="N290" s="38"/>
      <c r="O290" s="38"/>
      <c r="P290" s="38"/>
      <c r="Q290" s="38">
        <v>7</v>
      </c>
    </row>
    <row r="291" spans="1:17" ht="26.25" hidden="1" customHeight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89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7" ht="26.25" hidden="1" customHeight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89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7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234587</v>
      </c>
      <c r="G293" s="37">
        <f t="shared" ref="G293:G313" si="90">SUM(I293:Q293)-K293-M293-P293</f>
        <v>1917</v>
      </c>
      <c r="H293" s="37"/>
      <c r="I293" s="36">
        <v>127</v>
      </c>
      <c r="J293" s="36"/>
      <c r="K293" s="36"/>
      <c r="L293" s="36"/>
      <c r="M293" s="48">
        <f>M294+M299+M300+M303+M309+M310</f>
        <v>233327</v>
      </c>
      <c r="N293" s="48">
        <f t="shared" ref="N293:P293" si="91">N294+N299+N300+N303+N309+N310</f>
        <v>0</v>
      </c>
      <c r="O293" s="48">
        <f t="shared" si="91"/>
        <v>0</v>
      </c>
      <c r="P293" s="48">
        <f t="shared" si="91"/>
        <v>1260</v>
      </c>
      <c r="Q293" s="36">
        <v>1790</v>
      </c>
    </row>
    <row r="294" spans="1:17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115890</v>
      </c>
      <c r="G294" s="37"/>
      <c r="H294" s="37"/>
      <c r="I294" s="36"/>
      <c r="J294" s="36"/>
      <c r="K294" s="36"/>
      <c r="L294" s="36"/>
      <c r="M294" s="48">
        <f>M295+M296+M297+M298</f>
        <v>115890</v>
      </c>
      <c r="N294" s="36"/>
      <c r="O294" s="36"/>
      <c r="P294" s="36"/>
      <c r="Q294" s="36"/>
    </row>
    <row r="295" spans="1:17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65179</v>
      </c>
      <c r="G295" s="37"/>
      <c r="H295" s="37"/>
      <c r="I295" s="36"/>
      <c r="J295" s="36"/>
      <c r="K295" s="36"/>
      <c r="L295" s="36"/>
      <c r="M295" s="38">
        <f>46590+18589</f>
        <v>65179</v>
      </c>
      <c r="N295" s="36"/>
      <c r="O295" s="36"/>
      <c r="P295" s="36"/>
      <c r="Q295" s="36"/>
    </row>
    <row r="296" spans="1:17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14305</v>
      </c>
      <c r="G296" s="37"/>
      <c r="H296" s="37"/>
      <c r="I296" s="36"/>
      <c r="J296" s="36"/>
      <c r="K296" s="36"/>
      <c r="L296" s="36"/>
      <c r="M296" s="38">
        <f>14745-440</f>
        <v>14305</v>
      </c>
      <c r="N296" s="36"/>
      <c r="O296" s="36"/>
      <c r="P296" s="36"/>
      <c r="Q296" s="36"/>
    </row>
    <row r="297" spans="1:17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7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14540</v>
      </c>
      <c r="G298" s="37"/>
      <c r="H298" s="37"/>
      <c r="I298" s="36"/>
      <c r="J298" s="36"/>
      <c r="K298" s="36"/>
      <c r="L298" s="36"/>
      <c r="M298" s="38">
        <f>5862+8678</f>
        <v>14540</v>
      </c>
      <c r="N298" s="36"/>
      <c r="O298" s="36"/>
      <c r="P298" s="36"/>
      <c r="Q298" s="36"/>
    </row>
    <row r="299" spans="1:17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7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67969</v>
      </c>
      <c r="G300" s="54"/>
      <c r="H300" s="54"/>
      <c r="I300" s="48"/>
      <c r="J300" s="48"/>
      <c r="K300" s="48"/>
      <c r="L300" s="48"/>
      <c r="M300" s="48">
        <f>M301+M302</f>
        <v>67969</v>
      </c>
      <c r="N300" s="48">
        <f t="shared" ref="N300:P300" si="93">N301+N302</f>
        <v>0</v>
      </c>
      <c r="O300" s="48">
        <f t="shared" si="93"/>
        <v>0</v>
      </c>
      <c r="P300" s="48">
        <f t="shared" si="93"/>
        <v>1260</v>
      </c>
      <c r="Q300" s="48"/>
    </row>
    <row r="301" spans="1:17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51519</v>
      </c>
      <c r="G301" s="37"/>
      <c r="H301" s="37"/>
      <c r="I301" s="36"/>
      <c r="J301" s="36"/>
      <c r="K301" s="36"/>
      <c r="L301" s="36"/>
      <c r="M301" s="38">
        <f>36195+15324</f>
        <v>51519</v>
      </c>
      <c r="N301" s="36"/>
      <c r="O301" s="36"/>
      <c r="P301" s="36"/>
      <c r="Q301" s="36"/>
    </row>
    <row r="302" spans="1:17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16450</v>
      </c>
      <c r="G302" s="37"/>
      <c r="H302" s="37"/>
      <c r="I302" s="36"/>
      <c r="J302" s="36"/>
      <c r="K302" s="36"/>
      <c r="L302" s="36"/>
      <c r="M302" s="38">
        <f>2212+240+935+13063</f>
        <v>16450</v>
      </c>
      <c r="N302" s="36"/>
      <c r="O302" s="36"/>
      <c r="P302" s="36">
        <f>1400-140</f>
        <v>1260</v>
      </c>
      <c r="Q302" s="36"/>
    </row>
    <row r="303" spans="1:17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14091</v>
      </c>
      <c r="G303" s="54"/>
      <c r="H303" s="54"/>
      <c r="I303" s="48"/>
      <c r="J303" s="48"/>
      <c r="K303" s="48"/>
      <c r="L303" s="48"/>
      <c r="M303" s="48">
        <f>M304+M305+M306</f>
        <v>14091</v>
      </c>
      <c r="N303" s="48"/>
      <c r="O303" s="48"/>
      <c r="P303" s="48"/>
      <c r="Q303" s="48"/>
    </row>
    <row r="304" spans="1:17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8361</v>
      </c>
      <c r="G304" s="37"/>
      <c r="H304" s="37"/>
      <c r="I304" s="36"/>
      <c r="J304" s="36"/>
      <c r="K304" s="36"/>
      <c r="L304" s="36"/>
      <c r="M304" s="38">
        <f>5321+3040</f>
        <v>8361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2867</v>
      </c>
      <c r="G305" s="37"/>
      <c r="H305" s="37"/>
      <c r="I305" s="36"/>
      <c r="J305" s="36"/>
      <c r="K305" s="36"/>
      <c r="L305" s="36"/>
      <c r="M305" s="38">
        <f>5402-2040-495</f>
        <v>2867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2863</v>
      </c>
      <c r="G306" s="37"/>
      <c r="H306" s="37"/>
      <c r="I306" s="36"/>
      <c r="J306" s="36"/>
      <c r="K306" s="36"/>
      <c r="L306" s="36"/>
      <c r="M306" s="38">
        <f>M307+M308</f>
        <v>2863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1038</v>
      </c>
      <c r="G307" s="58"/>
      <c r="H307" s="58"/>
      <c r="I307" s="57"/>
      <c r="J307" s="57"/>
      <c r="K307" s="57"/>
      <c r="L307" s="57"/>
      <c r="M307" s="57">
        <f>438+600</f>
        <v>1038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1825</v>
      </c>
      <c r="G308" s="58"/>
      <c r="H308" s="58"/>
      <c r="I308" s="57"/>
      <c r="J308" s="57"/>
      <c r="K308" s="57"/>
      <c r="L308" s="57"/>
      <c r="M308" s="57">
        <f>625+1200</f>
        <v>1825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7000</v>
      </c>
      <c r="G310" s="54"/>
      <c r="H310" s="54"/>
      <c r="I310" s="48"/>
      <c r="J310" s="48"/>
      <c r="K310" s="48"/>
      <c r="L310" s="48"/>
      <c r="M310" s="48">
        <v>7000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12200</v>
      </c>
      <c r="G311" s="37">
        <f t="shared" si="90"/>
        <v>9570</v>
      </c>
      <c r="H311" s="37"/>
      <c r="I311" s="36"/>
      <c r="J311" s="36"/>
      <c r="K311" s="36"/>
      <c r="L311" s="36"/>
      <c r="M311" s="36">
        <v>12200</v>
      </c>
      <c r="N311" s="36">
        <v>9570</v>
      </c>
      <c r="O311" s="36"/>
      <c r="P311" s="36"/>
      <c r="Q311" s="36"/>
    </row>
    <row r="312" spans="1:17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7068</v>
      </c>
      <c r="G312" s="37">
        <f t="shared" si="90"/>
        <v>2940</v>
      </c>
      <c r="H312" s="37"/>
      <c r="I312" s="36"/>
      <c r="J312" s="36"/>
      <c r="K312" s="36"/>
      <c r="L312" s="36"/>
      <c r="M312" s="36">
        <f>2500+2160-427+264+2315</f>
        <v>6812</v>
      </c>
      <c r="N312" s="36">
        <f>12522-12-9570</f>
        <v>2940</v>
      </c>
      <c r="O312" s="36"/>
      <c r="P312" s="36">
        <v>256</v>
      </c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8">
        <f>H313+K313+M313+P313</f>
        <v>10601</v>
      </c>
      <c r="G313" s="389">
        <f t="shared" si="90"/>
        <v>2154</v>
      </c>
      <c r="H313" s="389">
        <v>1000</v>
      </c>
      <c r="I313" s="38"/>
      <c r="J313" s="38"/>
      <c r="K313" s="38"/>
      <c r="L313" s="38">
        <v>1273</v>
      </c>
      <c r="M313" s="38">
        <f>4485-1230-90+84-60+942+4944</f>
        <v>9075</v>
      </c>
      <c r="N313" s="38"/>
      <c r="O313" s="38"/>
      <c r="P313" s="38">
        <f>492+4+30</f>
        <v>526</v>
      </c>
      <c r="Q313" s="36">
        <v>881</v>
      </c>
    </row>
    <row r="314" spans="1:17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89"/>
        <v>0</v>
      </c>
      <c r="H314" s="19"/>
      <c r="I314" s="19">
        <f t="shared" ref="I314:Q314" si="94">I315+I323+I325+I327+I331</f>
        <v>0</v>
      </c>
      <c r="J314" s="19">
        <f t="shared" si="94"/>
        <v>0</v>
      </c>
      <c r="K314" s="19"/>
      <c r="L314" s="19">
        <f t="shared" si="94"/>
        <v>0</v>
      </c>
      <c r="M314" s="19"/>
      <c r="N314" s="19">
        <f t="shared" si="94"/>
        <v>0</v>
      </c>
      <c r="O314" s="19">
        <f t="shared" si="94"/>
        <v>0</v>
      </c>
      <c r="P314" s="19"/>
      <c r="Q314" s="19">
        <f t="shared" si="94"/>
        <v>0</v>
      </c>
    </row>
    <row r="315" spans="1:17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89"/>
        <v>0</v>
      </c>
      <c r="H315" s="19"/>
      <c r="I315" s="19">
        <f t="shared" ref="I315:Q315" si="95">SUM(I316:I318)</f>
        <v>0</v>
      </c>
      <c r="J315" s="19">
        <f t="shared" si="95"/>
        <v>0</v>
      </c>
      <c r="K315" s="19"/>
      <c r="L315" s="19">
        <f t="shared" si="95"/>
        <v>0</v>
      </c>
      <c r="M315" s="19"/>
      <c r="N315" s="19">
        <f t="shared" si="95"/>
        <v>0</v>
      </c>
      <c r="O315" s="19">
        <f t="shared" si="95"/>
        <v>0</v>
      </c>
      <c r="P315" s="19"/>
      <c r="Q315" s="19">
        <f t="shared" si="95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89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89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89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90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89"/>
        <v>0</v>
      </c>
      <c r="H323" s="19"/>
      <c r="I323" s="19">
        <f t="shared" ref="I323:Q323" si="96">I324</f>
        <v>0</v>
      </c>
      <c r="J323" s="19">
        <f t="shared" si="96"/>
        <v>0</v>
      </c>
      <c r="K323" s="19"/>
      <c r="L323" s="19">
        <f t="shared" si="96"/>
        <v>0</v>
      </c>
      <c r="M323" s="19"/>
      <c r="N323" s="19">
        <f t="shared" si="96"/>
        <v>0</v>
      </c>
      <c r="O323" s="19">
        <f t="shared" si="96"/>
        <v>0</v>
      </c>
      <c r="P323" s="19"/>
      <c r="Q323" s="19">
        <f t="shared" si="96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89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89"/>
        <v>0</v>
      </c>
      <c r="H325" s="19"/>
      <c r="I325" s="19">
        <f t="shared" ref="I325:Q325" si="97">I326</f>
        <v>0</v>
      </c>
      <c r="J325" s="19">
        <f t="shared" si="97"/>
        <v>0</v>
      </c>
      <c r="K325" s="19"/>
      <c r="L325" s="19">
        <f t="shared" si="97"/>
        <v>0</v>
      </c>
      <c r="M325" s="19"/>
      <c r="N325" s="19">
        <f t="shared" si="97"/>
        <v>0</v>
      </c>
      <c r="O325" s="19">
        <f t="shared" si="97"/>
        <v>0</v>
      </c>
      <c r="P325" s="19"/>
      <c r="Q325" s="19">
        <f t="shared" si="97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89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89"/>
        <v>0</v>
      </c>
      <c r="H327" s="19"/>
      <c r="I327" s="19">
        <f t="shared" ref="I327:Q327" si="98">SUM(I328:I330)</f>
        <v>0</v>
      </c>
      <c r="J327" s="19">
        <f t="shared" si="98"/>
        <v>0</v>
      </c>
      <c r="K327" s="19"/>
      <c r="L327" s="19">
        <f t="shared" si="98"/>
        <v>0</v>
      </c>
      <c r="M327" s="19"/>
      <c r="N327" s="19">
        <f t="shared" si="98"/>
        <v>0</v>
      </c>
      <c r="O327" s="19">
        <f t="shared" si="98"/>
        <v>0</v>
      </c>
      <c r="P327" s="19"/>
      <c r="Q327" s="19">
        <f t="shared" si="98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89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89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89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89"/>
        <v>0</v>
      </c>
      <c r="H331" s="19"/>
      <c r="I331" s="19">
        <f t="shared" ref="I331:Q331" si="99">I332</f>
        <v>0</v>
      </c>
      <c r="J331" s="19">
        <f t="shared" si="99"/>
        <v>0</v>
      </c>
      <c r="K331" s="19"/>
      <c r="L331" s="19">
        <f t="shared" si="99"/>
        <v>0</v>
      </c>
      <c r="M331" s="19"/>
      <c r="N331" s="19">
        <f t="shared" si="99"/>
        <v>0</v>
      </c>
      <c r="O331" s="19">
        <f t="shared" si="99"/>
        <v>0</v>
      </c>
      <c r="P331" s="19"/>
      <c r="Q331" s="19">
        <f t="shared" si="99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89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100">F334+F344+F355+F357</f>
        <v>600</v>
      </c>
      <c r="G333" s="19">
        <f t="shared" si="100"/>
        <v>251</v>
      </c>
      <c r="H333" s="19">
        <f t="shared" si="100"/>
        <v>0</v>
      </c>
      <c r="I333" s="19">
        <f t="shared" si="100"/>
        <v>0</v>
      </c>
      <c r="J333" s="19">
        <f t="shared" si="100"/>
        <v>0</v>
      </c>
      <c r="K333" s="19">
        <f t="shared" si="100"/>
        <v>0</v>
      </c>
      <c r="L333" s="19">
        <f t="shared" si="100"/>
        <v>0</v>
      </c>
      <c r="M333" s="19">
        <f t="shared" si="100"/>
        <v>0</v>
      </c>
      <c r="N333" s="19">
        <f t="shared" si="100"/>
        <v>0</v>
      </c>
      <c r="O333" s="19">
        <f t="shared" si="100"/>
        <v>0</v>
      </c>
      <c r="P333" s="19">
        <f t="shared" si="100"/>
        <v>600</v>
      </c>
      <c r="Q333" s="19">
        <f t="shared" si="100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1">SUM(F335:F343)</f>
        <v>600</v>
      </c>
      <c r="G334" s="19">
        <f t="shared" si="101"/>
        <v>251</v>
      </c>
      <c r="H334" s="19">
        <f t="shared" si="101"/>
        <v>0</v>
      </c>
      <c r="I334" s="19">
        <f t="shared" si="101"/>
        <v>0</v>
      </c>
      <c r="J334" s="19">
        <f t="shared" si="101"/>
        <v>0</v>
      </c>
      <c r="K334" s="19">
        <f t="shared" si="101"/>
        <v>0</v>
      </c>
      <c r="L334" s="19">
        <f t="shared" si="101"/>
        <v>0</v>
      </c>
      <c r="M334" s="19">
        <f t="shared" si="101"/>
        <v>0</v>
      </c>
      <c r="N334" s="19">
        <f t="shared" si="101"/>
        <v>0</v>
      </c>
      <c r="O334" s="19">
        <f t="shared" si="101"/>
        <v>0</v>
      </c>
      <c r="P334" s="19">
        <f t="shared" si="101"/>
        <v>600</v>
      </c>
      <c r="Q334" s="19">
        <f t="shared" si="101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89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89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89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89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600</v>
      </c>
      <c r="G339" s="37">
        <f t="shared" ref="G339" si="102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600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89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89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89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89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89"/>
        <v>0</v>
      </c>
      <c r="H344" s="19"/>
      <c r="I344" s="19">
        <f t="shared" ref="I344:Q344" si="103">SUM(I345:I354)</f>
        <v>0</v>
      </c>
      <c r="J344" s="19">
        <f t="shared" si="103"/>
        <v>0</v>
      </c>
      <c r="K344" s="19"/>
      <c r="L344" s="19">
        <f t="shared" si="103"/>
        <v>0</v>
      </c>
      <c r="M344" s="19"/>
      <c r="N344" s="19">
        <f t="shared" si="103"/>
        <v>0</v>
      </c>
      <c r="O344" s="19">
        <f t="shared" si="103"/>
        <v>0</v>
      </c>
      <c r="P344" s="19"/>
      <c r="Q344" s="19">
        <f t="shared" si="103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89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89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89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89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90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89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89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89"/>
        <v>0</v>
      </c>
      <c r="H355" s="19"/>
      <c r="I355" s="19">
        <f t="shared" ref="I355:Q355" si="104">I356</f>
        <v>0</v>
      </c>
      <c r="J355" s="19">
        <f t="shared" si="104"/>
        <v>0</v>
      </c>
      <c r="K355" s="19"/>
      <c r="L355" s="19">
        <f t="shared" si="104"/>
        <v>0</v>
      </c>
      <c r="M355" s="19"/>
      <c r="N355" s="19">
        <f t="shared" si="104"/>
        <v>0</v>
      </c>
      <c r="O355" s="19">
        <f t="shared" si="104"/>
        <v>0</v>
      </c>
      <c r="P355" s="19"/>
      <c r="Q355" s="19">
        <f t="shared" si="104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89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89"/>
        <v>0</v>
      </c>
      <c r="H357" s="19"/>
      <c r="I357" s="19">
        <f t="shared" ref="I357:Q357" si="105">SUM(I358:I360)</f>
        <v>0</v>
      </c>
      <c r="J357" s="19">
        <f t="shared" si="105"/>
        <v>0</v>
      </c>
      <c r="K357" s="19"/>
      <c r="L357" s="19">
        <f t="shared" si="105"/>
        <v>0</v>
      </c>
      <c r="M357" s="19"/>
      <c r="N357" s="19">
        <f t="shared" si="105"/>
        <v>0</v>
      </c>
      <c r="O357" s="19">
        <f t="shared" si="105"/>
        <v>0</v>
      </c>
      <c r="P357" s="19"/>
      <c r="Q357" s="19">
        <f t="shared" si="105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89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89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89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89"/>
        <v>0</v>
      </c>
      <c r="H361" s="19"/>
      <c r="I361" s="19">
        <f t="shared" ref="I361:Q361" si="106">I362+I365+I368+I371</f>
        <v>0</v>
      </c>
      <c r="J361" s="19">
        <f t="shared" si="106"/>
        <v>0</v>
      </c>
      <c r="K361" s="19"/>
      <c r="L361" s="19">
        <f t="shared" si="106"/>
        <v>0</v>
      </c>
      <c r="M361" s="19"/>
      <c r="N361" s="19">
        <f t="shared" si="106"/>
        <v>0</v>
      </c>
      <c r="O361" s="19">
        <f t="shared" si="106"/>
        <v>0</v>
      </c>
      <c r="P361" s="19"/>
      <c r="Q361" s="19">
        <f t="shared" si="106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89"/>
        <v>0</v>
      </c>
      <c r="H362" s="19"/>
      <c r="I362" s="19">
        <f t="shared" ref="I362:Q362" si="107">I363+I364</f>
        <v>0</v>
      </c>
      <c r="J362" s="19">
        <f t="shared" si="107"/>
        <v>0</v>
      </c>
      <c r="K362" s="19"/>
      <c r="L362" s="19">
        <f t="shared" si="107"/>
        <v>0</v>
      </c>
      <c r="M362" s="19"/>
      <c r="N362" s="19">
        <f t="shared" si="107"/>
        <v>0</v>
      </c>
      <c r="O362" s="19">
        <f t="shared" si="107"/>
        <v>0</v>
      </c>
      <c r="P362" s="19"/>
      <c r="Q362" s="19">
        <f t="shared" si="107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89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89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89"/>
        <v>0</v>
      </c>
      <c r="H365" s="19"/>
      <c r="I365" s="19">
        <f t="shared" ref="I365:Q365" si="108">I366+I367</f>
        <v>0</v>
      </c>
      <c r="J365" s="19">
        <f t="shared" si="108"/>
        <v>0</v>
      </c>
      <c r="K365" s="19"/>
      <c r="L365" s="19">
        <f t="shared" si="108"/>
        <v>0</v>
      </c>
      <c r="M365" s="19"/>
      <c r="N365" s="19">
        <f t="shared" si="108"/>
        <v>0</v>
      </c>
      <c r="O365" s="19">
        <f t="shared" si="108"/>
        <v>0</v>
      </c>
      <c r="P365" s="19"/>
      <c r="Q365" s="19">
        <f t="shared" si="108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89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89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89"/>
        <v>0</v>
      </c>
      <c r="H368" s="19"/>
      <c r="I368" s="19">
        <f t="shared" ref="I368:Q368" si="109">I369+I370</f>
        <v>0</v>
      </c>
      <c r="J368" s="19">
        <f t="shared" si="109"/>
        <v>0</v>
      </c>
      <c r="K368" s="19"/>
      <c r="L368" s="19">
        <f t="shared" si="109"/>
        <v>0</v>
      </c>
      <c r="M368" s="19"/>
      <c r="N368" s="19">
        <f t="shared" si="109"/>
        <v>0</v>
      </c>
      <c r="O368" s="19">
        <f t="shared" si="109"/>
        <v>0</v>
      </c>
      <c r="P368" s="19"/>
      <c r="Q368" s="19">
        <f t="shared" si="109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89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89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89"/>
        <v>0</v>
      </c>
      <c r="H371" s="19"/>
      <c r="I371" s="19">
        <f t="shared" ref="I371:Q371" si="110">I372+I373</f>
        <v>0</v>
      </c>
      <c r="J371" s="19">
        <f t="shared" si="110"/>
        <v>0</v>
      </c>
      <c r="K371" s="19"/>
      <c r="L371" s="19">
        <f t="shared" si="110"/>
        <v>0</v>
      </c>
      <c r="M371" s="19"/>
      <c r="N371" s="19">
        <f t="shared" si="110"/>
        <v>0</v>
      </c>
      <c r="O371" s="19">
        <f t="shared" si="110"/>
        <v>0</v>
      </c>
      <c r="P371" s="19"/>
      <c r="Q371" s="19">
        <f t="shared" si="110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89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89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1">F379+F382+F385+F388+F391</f>
        <v>10080</v>
      </c>
      <c r="G374" s="19">
        <f t="shared" si="111"/>
        <v>7410</v>
      </c>
      <c r="H374" s="37">
        <f t="shared" si="111"/>
        <v>0</v>
      </c>
      <c r="I374" s="19">
        <f t="shared" si="111"/>
        <v>0</v>
      </c>
      <c r="J374" s="19">
        <f t="shared" si="111"/>
        <v>0</v>
      </c>
      <c r="K374" s="19">
        <f t="shared" si="111"/>
        <v>0</v>
      </c>
      <c r="L374" s="19">
        <f t="shared" si="111"/>
        <v>0</v>
      </c>
      <c r="M374" s="19">
        <f t="shared" si="111"/>
        <v>10080</v>
      </c>
      <c r="N374" s="19">
        <f t="shared" si="111"/>
        <v>7410</v>
      </c>
      <c r="O374" s="19">
        <f t="shared" si="111"/>
        <v>0</v>
      </c>
      <c r="P374" s="19">
        <f t="shared" si="111"/>
        <v>0</v>
      </c>
      <c r="Q374" s="19">
        <f t="shared" si="111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90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89"/>
        <v>0</v>
      </c>
      <c r="H379" s="19"/>
      <c r="I379" s="19">
        <f t="shared" ref="I379:Q379" si="112">I380+I381</f>
        <v>0</v>
      </c>
      <c r="J379" s="19">
        <f t="shared" si="112"/>
        <v>0</v>
      </c>
      <c r="K379" s="19"/>
      <c r="L379" s="19">
        <f t="shared" si="112"/>
        <v>0</v>
      </c>
      <c r="M379" s="19"/>
      <c r="N379" s="19">
        <f t="shared" si="112"/>
        <v>0</v>
      </c>
      <c r="O379" s="19">
        <f t="shared" si="112"/>
        <v>0</v>
      </c>
      <c r="P379" s="19"/>
      <c r="Q379" s="19">
        <f t="shared" si="112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89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89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89"/>
        <v>0</v>
      </c>
      <c r="H382" s="19"/>
      <c r="I382" s="19">
        <f t="shared" ref="I382:Q382" si="113">I383+I384</f>
        <v>0</v>
      </c>
      <c r="J382" s="19">
        <f t="shared" si="113"/>
        <v>0</v>
      </c>
      <c r="K382" s="19"/>
      <c r="L382" s="19">
        <f t="shared" si="113"/>
        <v>0</v>
      </c>
      <c r="M382" s="19"/>
      <c r="N382" s="19">
        <f t="shared" si="113"/>
        <v>0</v>
      </c>
      <c r="O382" s="19">
        <f t="shared" si="113"/>
        <v>0</v>
      </c>
      <c r="P382" s="19"/>
      <c r="Q382" s="19">
        <f t="shared" si="113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89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89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4">SUM(I385:Q385)</f>
        <v>0</v>
      </c>
      <c r="H385" s="19"/>
      <c r="I385" s="19">
        <f t="shared" ref="I385:Q385" si="115">I386+I387</f>
        <v>0</v>
      </c>
      <c r="J385" s="19">
        <f t="shared" si="115"/>
        <v>0</v>
      </c>
      <c r="K385" s="19"/>
      <c r="L385" s="19">
        <f t="shared" si="115"/>
        <v>0</v>
      </c>
      <c r="M385" s="19"/>
      <c r="N385" s="19">
        <f t="shared" si="115"/>
        <v>0</v>
      </c>
      <c r="O385" s="19">
        <f t="shared" si="115"/>
        <v>0</v>
      </c>
      <c r="P385" s="19"/>
      <c r="Q385" s="19">
        <f t="shared" si="115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4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4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4"/>
        <v>0</v>
      </c>
      <c r="H388" s="19"/>
      <c r="I388" s="19">
        <f t="shared" ref="I388:Q388" si="116">I389+I390</f>
        <v>0</v>
      </c>
      <c r="J388" s="19">
        <f t="shared" si="116"/>
        <v>0</v>
      </c>
      <c r="K388" s="19"/>
      <c r="L388" s="19">
        <f t="shared" si="116"/>
        <v>0</v>
      </c>
      <c r="M388" s="19"/>
      <c r="N388" s="19">
        <f t="shared" si="116"/>
        <v>0</v>
      </c>
      <c r="O388" s="19">
        <f t="shared" si="116"/>
        <v>0</v>
      </c>
      <c r="P388" s="19"/>
      <c r="Q388" s="19">
        <f t="shared" si="116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4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4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7">F392+F393</f>
        <v>10080</v>
      </c>
      <c r="G391" s="19">
        <f t="shared" si="117"/>
        <v>7410</v>
      </c>
      <c r="H391" s="19">
        <f t="shared" si="117"/>
        <v>0</v>
      </c>
      <c r="I391" s="19">
        <f t="shared" si="117"/>
        <v>0</v>
      </c>
      <c r="J391" s="19">
        <f t="shared" si="117"/>
        <v>0</v>
      </c>
      <c r="K391" s="19">
        <f t="shared" si="117"/>
        <v>0</v>
      </c>
      <c r="L391" s="19">
        <f t="shared" si="117"/>
        <v>0</v>
      </c>
      <c r="M391" s="19">
        <f t="shared" si="117"/>
        <v>10080</v>
      </c>
      <c r="N391" s="19">
        <f t="shared" si="117"/>
        <v>7410</v>
      </c>
      <c r="O391" s="19">
        <f t="shared" si="117"/>
        <v>0</v>
      </c>
      <c r="P391" s="19">
        <f t="shared" si="117"/>
        <v>0</v>
      </c>
      <c r="Q391" s="19">
        <f t="shared" si="117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10080</v>
      </c>
      <c r="G392" s="37">
        <f t="shared" ref="G392" si="118">SUM(I392:Q392)-K392-M392-P392</f>
        <v>7410</v>
      </c>
      <c r="H392" s="37"/>
      <c r="I392" s="36"/>
      <c r="J392" s="36"/>
      <c r="K392" s="36"/>
      <c r="L392" s="36"/>
      <c r="M392" s="36">
        <v>10080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4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4"/>
        <v>0</v>
      </c>
      <c r="H394" s="19"/>
      <c r="I394" s="19">
        <f t="shared" ref="I394:Q394" si="119">I395+I399</f>
        <v>0</v>
      </c>
      <c r="J394" s="19">
        <f t="shared" si="119"/>
        <v>0</v>
      </c>
      <c r="K394" s="19"/>
      <c r="L394" s="19">
        <f t="shared" si="119"/>
        <v>0</v>
      </c>
      <c r="M394" s="19"/>
      <c r="N394" s="19">
        <f t="shared" si="119"/>
        <v>0</v>
      </c>
      <c r="O394" s="19">
        <f t="shared" si="119"/>
        <v>0</v>
      </c>
      <c r="P394" s="19"/>
      <c r="Q394" s="19">
        <f t="shared" si="119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4"/>
        <v>0</v>
      </c>
      <c r="H395" s="19"/>
      <c r="I395" s="19">
        <f t="shared" ref="I395:Q395" si="120">SUM(I396:I398)</f>
        <v>0</v>
      </c>
      <c r="J395" s="19">
        <f t="shared" si="120"/>
        <v>0</v>
      </c>
      <c r="K395" s="19"/>
      <c r="L395" s="19">
        <f t="shared" si="120"/>
        <v>0</v>
      </c>
      <c r="M395" s="19"/>
      <c r="N395" s="19">
        <f t="shared" si="120"/>
        <v>0</v>
      </c>
      <c r="O395" s="19">
        <f t="shared" si="120"/>
        <v>0</v>
      </c>
      <c r="P395" s="19"/>
      <c r="Q395" s="19">
        <f t="shared" si="120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4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4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4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4"/>
        <v>0</v>
      </c>
      <c r="H399" s="19"/>
      <c r="I399" s="19">
        <f t="shared" ref="I399:Q399" si="121">SUM(I404:I412)</f>
        <v>0</v>
      </c>
      <c r="J399" s="19">
        <f t="shared" si="121"/>
        <v>0</v>
      </c>
      <c r="K399" s="19"/>
      <c r="L399" s="19">
        <f t="shared" si="121"/>
        <v>0</v>
      </c>
      <c r="M399" s="19"/>
      <c r="N399" s="19">
        <f t="shared" si="121"/>
        <v>0</v>
      </c>
      <c r="O399" s="19">
        <f t="shared" si="121"/>
        <v>0</v>
      </c>
      <c r="P399" s="19"/>
      <c r="Q399" s="19">
        <f t="shared" si="121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90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4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4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4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4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4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4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4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4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4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2">F414+F417+F421+F423+F426+F432</f>
        <v>300</v>
      </c>
      <c r="G413" s="19">
        <f t="shared" si="122"/>
        <v>118</v>
      </c>
      <c r="H413" s="19">
        <f t="shared" si="122"/>
        <v>0</v>
      </c>
      <c r="I413" s="19">
        <f t="shared" si="122"/>
        <v>0</v>
      </c>
      <c r="J413" s="19">
        <f t="shared" si="122"/>
        <v>0</v>
      </c>
      <c r="K413" s="19">
        <f t="shared" si="122"/>
        <v>0</v>
      </c>
      <c r="L413" s="19">
        <f t="shared" si="122"/>
        <v>0</v>
      </c>
      <c r="M413" s="19">
        <f t="shared" si="122"/>
        <v>0</v>
      </c>
      <c r="N413" s="19">
        <f t="shared" si="122"/>
        <v>8</v>
      </c>
      <c r="O413" s="19">
        <f t="shared" si="122"/>
        <v>0</v>
      </c>
      <c r="P413" s="19">
        <f t="shared" si="122"/>
        <v>300</v>
      </c>
      <c r="Q413" s="19">
        <f t="shared" si="122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3">F415+F416</f>
        <v>35</v>
      </c>
      <c r="G414" s="19">
        <f t="shared" si="123"/>
        <v>35</v>
      </c>
      <c r="H414" s="19">
        <f t="shared" si="123"/>
        <v>0</v>
      </c>
      <c r="I414" s="19">
        <f t="shared" si="123"/>
        <v>0</v>
      </c>
      <c r="J414" s="19">
        <f t="shared" si="123"/>
        <v>0</v>
      </c>
      <c r="K414" s="19">
        <f t="shared" si="123"/>
        <v>0</v>
      </c>
      <c r="L414" s="19">
        <f t="shared" si="123"/>
        <v>0</v>
      </c>
      <c r="M414" s="19">
        <f t="shared" si="123"/>
        <v>0</v>
      </c>
      <c r="N414" s="19">
        <f t="shared" si="123"/>
        <v>0</v>
      </c>
      <c r="O414" s="19">
        <f t="shared" si="123"/>
        <v>0</v>
      </c>
      <c r="P414" s="19">
        <f t="shared" si="123"/>
        <v>35</v>
      </c>
      <c r="Q414" s="19">
        <f t="shared" si="123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4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4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17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5">SUM(F418:F420)</f>
        <v>65</v>
      </c>
      <c r="G417" s="19">
        <f t="shared" si="125"/>
        <v>68</v>
      </c>
      <c r="H417" s="19">
        <f t="shared" si="125"/>
        <v>0</v>
      </c>
      <c r="I417" s="19">
        <f t="shared" si="125"/>
        <v>0</v>
      </c>
      <c r="J417" s="19">
        <f t="shared" si="125"/>
        <v>0</v>
      </c>
      <c r="K417" s="19">
        <f t="shared" si="125"/>
        <v>0</v>
      </c>
      <c r="L417" s="19">
        <f t="shared" si="125"/>
        <v>0</v>
      </c>
      <c r="M417" s="19">
        <f t="shared" si="125"/>
        <v>0</v>
      </c>
      <c r="N417" s="19">
        <f t="shared" si="125"/>
        <v>8</v>
      </c>
      <c r="O417" s="19">
        <f t="shared" si="125"/>
        <v>0</v>
      </c>
      <c r="P417" s="19">
        <f t="shared" si="125"/>
        <v>65</v>
      </c>
      <c r="Q417" s="19">
        <f t="shared" si="125"/>
        <v>50</v>
      </c>
    </row>
    <row r="418" spans="1:17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30</v>
      </c>
      <c r="G418" s="37">
        <f t="shared" ref="G418:G419" si="126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30</v>
      </c>
      <c r="Q418" s="36">
        <v>9</v>
      </c>
    </row>
    <row r="419" spans="1:17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25</v>
      </c>
      <c r="G419" s="37">
        <f t="shared" si="126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25</v>
      </c>
      <c r="Q419" s="36">
        <v>41</v>
      </c>
    </row>
    <row r="420" spans="1:17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4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17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7">F422</f>
        <v>200</v>
      </c>
      <c r="G421" s="19">
        <f t="shared" si="127"/>
        <v>15</v>
      </c>
      <c r="H421" s="19">
        <f t="shared" si="127"/>
        <v>0</v>
      </c>
      <c r="I421" s="19">
        <f t="shared" si="127"/>
        <v>0</v>
      </c>
      <c r="J421" s="19">
        <f t="shared" si="127"/>
        <v>0</v>
      </c>
      <c r="K421" s="19">
        <f t="shared" si="127"/>
        <v>0</v>
      </c>
      <c r="L421" s="19">
        <f t="shared" si="127"/>
        <v>0</v>
      </c>
      <c r="M421" s="19">
        <f t="shared" si="127"/>
        <v>0</v>
      </c>
      <c r="N421" s="19">
        <f t="shared" si="127"/>
        <v>0</v>
      </c>
      <c r="O421" s="19">
        <f t="shared" si="127"/>
        <v>0</v>
      </c>
      <c r="P421" s="19">
        <f t="shared" si="127"/>
        <v>200</v>
      </c>
      <c r="Q421" s="19">
        <f t="shared" si="127"/>
        <v>15</v>
      </c>
    </row>
    <row r="422" spans="1:17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200</v>
      </c>
      <c r="G422" s="37">
        <f t="shared" ref="G422" si="128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200</v>
      </c>
      <c r="Q422" s="36">
        <v>15</v>
      </c>
    </row>
    <row r="423" spans="1:17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4"/>
        <v>0</v>
      </c>
      <c r="H423" s="19"/>
      <c r="I423" s="19">
        <f t="shared" ref="I423:Q423" si="129">I424+I425</f>
        <v>0</v>
      </c>
      <c r="J423" s="19">
        <f t="shared" si="129"/>
        <v>0</v>
      </c>
      <c r="K423" s="19"/>
      <c r="L423" s="19">
        <f t="shared" si="129"/>
        <v>0</v>
      </c>
      <c r="M423" s="19"/>
      <c r="N423" s="19">
        <f t="shared" si="129"/>
        <v>0</v>
      </c>
      <c r="O423" s="19">
        <f t="shared" si="129"/>
        <v>0</v>
      </c>
      <c r="P423" s="19"/>
      <c r="Q423" s="19">
        <f t="shared" si="129"/>
        <v>0</v>
      </c>
    </row>
    <row r="424" spans="1:17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4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17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4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17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4"/>
        <v>0</v>
      </c>
      <c r="H426" s="19"/>
      <c r="I426" s="19">
        <f t="shared" ref="I426:Q426" si="130">I427</f>
        <v>0</v>
      </c>
      <c r="J426" s="19">
        <f t="shared" si="130"/>
        <v>0</v>
      </c>
      <c r="K426" s="19"/>
      <c r="L426" s="19">
        <f t="shared" si="130"/>
        <v>0</v>
      </c>
      <c r="M426" s="19"/>
      <c r="N426" s="19">
        <f t="shared" si="130"/>
        <v>0</v>
      </c>
      <c r="O426" s="19">
        <f t="shared" si="130"/>
        <v>0</v>
      </c>
      <c r="P426" s="19"/>
      <c r="Q426" s="19">
        <f t="shared" si="130"/>
        <v>0</v>
      </c>
    </row>
    <row r="427" spans="1:17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4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17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17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17" ht="90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17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17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4"/>
        <v>0</v>
      </c>
      <c r="H432" s="19"/>
      <c r="I432" s="19">
        <f t="shared" ref="I432:Q432" si="131">I433</f>
        <v>0</v>
      </c>
      <c r="J432" s="19">
        <f t="shared" si="131"/>
        <v>0</v>
      </c>
      <c r="K432" s="19"/>
      <c r="L432" s="19">
        <f t="shared" si="131"/>
        <v>0</v>
      </c>
      <c r="M432" s="19"/>
      <c r="N432" s="19">
        <f t="shared" si="131"/>
        <v>0</v>
      </c>
      <c r="O432" s="19">
        <f t="shared" si="131"/>
        <v>0</v>
      </c>
      <c r="P432" s="19"/>
      <c r="Q432" s="19">
        <f t="shared" si="131"/>
        <v>0</v>
      </c>
    </row>
    <row r="433" spans="1:17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4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17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2">F435+F458+F471+F474+F482</f>
        <v>31901</v>
      </c>
      <c r="G434" s="19">
        <f t="shared" si="132"/>
        <v>3263</v>
      </c>
      <c r="H434" s="19">
        <f t="shared" si="132"/>
        <v>29200</v>
      </c>
      <c r="I434" s="19">
        <f t="shared" si="132"/>
        <v>1450</v>
      </c>
      <c r="J434" s="19">
        <f t="shared" si="132"/>
        <v>0</v>
      </c>
      <c r="K434" s="19">
        <f t="shared" si="132"/>
        <v>1000</v>
      </c>
      <c r="L434" s="19">
        <f t="shared" si="132"/>
        <v>0</v>
      </c>
      <c r="M434" s="19">
        <f t="shared" si="132"/>
        <v>0</v>
      </c>
      <c r="N434" s="19">
        <f t="shared" si="132"/>
        <v>0</v>
      </c>
      <c r="O434" s="19">
        <f t="shared" si="132"/>
        <v>0</v>
      </c>
      <c r="P434" s="19">
        <f t="shared" si="132"/>
        <v>1701</v>
      </c>
      <c r="Q434" s="19">
        <f t="shared" si="132"/>
        <v>1813</v>
      </c>
    </row>
    <row r="435" spans="1:17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3">F436+F441+F452+F454+F456</f>
        <v>31901</v>
      </c>
      <c r="G435" s="19">
        <f t="shared" si="133"/>
        <v>3263</v>
      </c>
      <c r="H435" s="19">
        <f t="shared" si="133"/>
        <v>29200</v>
      </c>
      <c r="I435" s="19">
        <f t="shared" si="133"/>
        <v>1450</v>
      </c>
      <c r="J435" s="19">
        <f t="shared" si="133"/>
        <v>0</v>
      </c>
      <c r="K435" s="19">
        <f t="shared" si="133"/>
        <v>1000</v>
      </c>
      <c r="L435" s="19">
        <f t="shared" si="133"/>
        <v>0</v>
      </c>
      <c r="M435" s="19">
        <f t="shared" si="133"/>
        <v>0</v>
      </c>
      <c r="N435" s="19">
        <f t="shared" si="133"/>
        <v>0</v>
      </c>
      <c r="O435" s="19">
        <f t="shared" si="133"/>
        <v>0</v>
      </c>
      <c r="P435" s="19">
        <f t="shared" si="133"/>
        <v>1701</v>
      </c>
      <c r="Q435" s="19">
        <f t="shared" si="133"/>
        <v>1813</v>
      </c>
    </row>
    <row r="436" spans="1:17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4">SUM(F437:F440)</f>
        <v>5000</v>
      </c>
      <c r="G436" s="19">
        <f t="shared" si="134"/>
        <v>1450</v>
      </c>
      <c r="H436" s="19">
        <f t="shared" si="134"/>
        <v>5000</v>
      </c>
      <c r="I436" s="19">
        <f t="shared" si="134"/>
        <v>1450</v>
      </c>
      <c r="J436" s="19">
        <f t="shared" si="134"/>
        <v>0</v>
      </c>
      <c r="K436" s="19">
        <f t="shared" si="134"/>
        <v>0</v>
      </c>
      <c r="L436" s="19">
        <f t="shared" si="134"/>
        <v>0</v>
      </c>
      <c r="M436" s="19">
        <f t="shared" si="134"/>
        <v>0</v>
      </c>
      <c r="N436" s="19">
        <f t="shared" si="134"/>
        <v>0</v>
      </c>
      <c r="O436" s="19">
        <f t="shared" si="134"/>
        <v>0</v>
      </c>
      <c r="P436" s="19">
        <f t="shared" si="134"/>
        <v>0</v>
      </c>
      <c r="Q436" s="19">
        <f t="shared" si="134"/>
        <v>0</v>
      </c>
    </row>
    <row r="437" spans="1:17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4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17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4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17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5000</v>
      </c>
      <c r="G439" s="37">
        <f t="shared" ref="G439" si="135">SUM(I439:Q439)-K439-M439-P439</f>
        <v>1450</v>
      </c>
      <c r="H439" s="37">
        <v>5000</v>
      </c>
      <c r="I439" s="36">
        <v>1450</v>
      </c>
      <c r="J439" s="36"/>
      <c r="K439" s="36"/>
      <c r="L439" s="36"/>
      <c r="M439" s="36"/>
      <c r="N439" s="36"/>
      <c r="O439" s="36"/>
      <c r="P439" s="36"/>
      <c r="Q439" s="36"/>
    </row>
    <row r="440" spans="1:17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4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17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6">SUM(F442:F451)</f>
        <v>26901</v>
      </c>
      <c r="G441" s="19">
        <f t="shared" si="136"/>
        <v>1813</v>
      </c>
      <c r="H441" s="19">
        <f t="shared" si="136"/>
        <v>24200</v>
      </c>
      <c r="I441" s="19">
        <f t="shared" si="136"/>
        <v>0</v>
      </c>
      <c r="J441" s="19">
        <f t="shared" si="136"/>
        <v>0</v>
      </c>
      <c r="K441" s="19">
        <f t="shared" si="136"/>
        <v>1000</v>
      </c>
      <c r="L441" s="19">
        <f t="shared" si="136"/>
        <v>0</v>
      </c>
      <c r="M441" s="19">
        <f t="shared" si="136"/>
        <v>0</v>
      </c>
      <c r="N441" s="19">
        <f t="shared" si="136"/>
        <v>0</v>
      </c>
      <c r="O441" s="19">
        <f t="shared" si="136"/>
        <v>0</v>
      </c>
      <c r="P441" s="19">
        <f t="shared" si="136"/>
        <v>1701</v>
      </c>
      <c r="Q441" s="19">
        <f t="shared" si="136"/>
        <v>1813</v>
      </c>
    </row>
    <row r="442" spans="1:17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4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17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0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/>
      <c r="Q443" s="36"/>
    </row>
    <row r="444" spans="1:17" x14ac:dyDescent="0.2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5590</v>
      </c>
      <c r="G444" s="37">
        <f t="shared" ref="G444" si="137">SUM(I444:Q444)-K444-M444-P444</f>
        <v>1258</v>
      </c>
      <c r="H444" s="37">
        <v>4200</v>
      </c>
      <c r="I444" s="36"/>
      <c r="J444" s="36"/>
      <c r="K444" s="36"/>
      <c r="L444" s="36"/>
      <c r="M444" s="36"/>
      <c r="N444" s="36"/>
      <c r="O444" s="36"/>
      <c r="P444" s="36">
        <f>918+100+372</f>
        <v>1390</v>
      </c>
      <c r="Q444" s="36">
        <v>1258</v>
      </c>
    </row>
    <row r="445" spans="1:17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4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17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4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17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21311</v>
      </c>
      <c r="G447" s="37">
        <f t="shared" ref="G447" si="138">SUM(I447:Q447)-K447-M447-P447</f>
        <v>555</v>
      </c>
      <c r="H447" s="37">
        <v>20000</v>
      </c>
      <c r="I447" s="36"/>
      <c r="J447" s="36"/>
      <c r="K447" s="36">
        <v>1000</v>
      </c>
      <c r="L447" s="36"/>
      <c r="M447" s="36"/>
      <c r="N447" s="36"/>
      <c r="O447" s="36"/>
      <c r="P447" s="38">
        <v>311</v>
      </c>
      <c r="Q447" s="36">
        <v>555</v>
      </c>
    </row>
    <row r="448" spans="1:17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4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4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4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4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4"/>
        <v>0</v>
      </c>
      <c r="H452" s="19"/>
      <c r="I452" s="19">
        <f t="shared" ref="I452:Q452" si="139">I453</f>
        <v>0</v>
      </c>
      <c r="J452" s="19">
        <f t="shared" si="139"/>
        <v>0</v>
      </c>
      <c r="K452" s="19"/>
      <c r="L452" s="19">
        <f t="shared" si="139"/>
        <v>0</v>
      </c>
      <c r="M452" s="19"/>
      <c r="N452" s="19">
        <f t="shared" si="139"/>
        <v>0</v>
      </c>
      <c r="O452" s="19">
        <f t="shared" si="139"/>
        <v>0</v>
      </c>
      <c r="P452" s="19"/>
      <c r="Q452" s="19">
        <f t="shared" si="139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4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4"/>
        <v>0</v>
      </c>
      <c r="H454" s="19"/>
      <c r="I454" s="19">
        <f t="shared" ref="I454:Q454" si="140">I455</f>
        <v>0</v>
      </c>
      <c r="J454" s="19">
        <f t="shared" si="140"/>
        <v>0</v>
      </c>
      <c r="K454" s="19"/>
      <c r="L454" s="19">
        <f t="shared" si="140"/>
        <v>0</v>
      </c>
      <c r="M454" s="19"/>
      <c r="N454" s="19">
        <f t="shared" si="140"/>
        <v>0</v>
      </c>
      <c r="O454" s="19">
        <f t="shared" si="140"/>
        <v>0</v>
      </c>
      <c r="P454" s="19"/>
      <c r="Q454" s="19">
        <f t="shared" si="140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4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hidden="1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1">F457</f>
        <v>0</v>
      </c>
      <c r="G456" s="19">
        <f t="shared" si="141"/>
        <v>0</v>
      </c>
      <c r="H456" s="19">
        <f t="shared" si="141"/>
        <v>0</v>
      </c>
      <c r="I456" s="19">
        <f t="shared" si="141"/>
        <v>0</v>
      </c>
      <c r="J456" s="19">
        <f t="shared" si="141"/>
        <v>0</v>
      </c>
      <c r="K456" s="19">
        <f t="shared" si="141"/>
        <v>0</v>
      </c>
      <c r="L456" s="19">
        <f t="shared" si="141"/>
        <v>0</v>
      </c>
      <c r="M456" s="19">
        <f t="shared" si="141"/>
        <v>0</v>
      </c>
      <c r="N456" s="19">
        <f t="shared" si="141"/>
        <v>0</v>
      </c>
      <c r="O456" s="19">
        <f t="shared" si="141"/>
        <v>0</v>
      </c>
      <c r="P456" s="19">
        <f t="shared" si="141"/>
        <v>0</v>
      </c>
      <c r="Q456" s="19">
        <f t="shared" si="141"/>
        <v>0</v>
      </c>
    </row>
    <row r="457" spans="1:17" hidden="1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0</v>
      </c>
      <c r="G457" s="37">
        <f t="shared" si="114"/>
        <v>0</v>
      </c>
      <c r="H457" s="37"/>
      <c r="I457" s="36"/>
      <c r="J457" s="36"/>
      <c r="K457" s="36"/>
      <c r="L457" s="36"/>
      <c r="M457" s="36"/>
      <c r="N457" s="36"/>
      <c r="O457" s="36"/>
      <c r="P457" s="36">
        <v>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2">SUM(I458:Q458)</f>
        <v>0</v>
      </c>
      <c r="H458" s="19"/>
      <c r="I458" s="19">
        <f t="shared" ref="I458:Q458" si="143">I459+I461+I469</f>
        <v>0</v>
      </c>
      <c r="J458" s="19">
        <f t="shared" si="143"/>
        <v>0</v>
      </c>
      <c r="K458" s="19"/>
      <c r="L458" s="19">
        <f t="shared" si="143"/>
        <v>0</v>
      </c>
      <c r="M458" s="19"/>
      <c r="N458" s="19">
        <f t="shared" si="143"/>
        <v>0</v>
      </c>
      <c r="O458" s="19">
        <f t="shared" si="143"/>
        <v>0</v>
      </c>
      <c r="P458" s="19"/>
      <c r="Q458" s="19">
        <f t="shared" si="143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2"/>
        <v>0</v>
      </c>
      <c r="H459" s="19"/>
      <c r="I459" s="19">
        <f t="shared" ref="I459:Q459" si="144">I460</f>
        <v>0</v>
      </c>
      <c r="J459" s="19">
        <f t="shared" si="144"/>
        <v>0</v>
      </c>
      <c r="K459" s="19"/>
      <c r="L459" s="19">
        <f t="shared" si="144"/>
        <v>0</v>
      </c>
      <c r="M459" s="19"/>
      <c r="N459" s="19">
        <f t="shared" si="144"/>
        <v>0</v>
      </c>
      <c r="O459" s="19">
        <f t="shared" si="144"/>
        <v>0</v>
      </c>
      <c r="P459" s="19"/>
      <c r="Q459" s="19">
        <f t="shared" si="144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2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2"/>
        <v>0</v>
      </c>
      <c r="H461" s="19"/>
      <c r="I461" s="19">
        <f t="shared" ref="I461:Q461" si="145">SUM(I462:I468)</f>
        <v>0</v>
      </c>
      <c r="J461" s="19">
        <f t="shared" si="145"/>
        <v>0</v>
      </c>
      <c r="K461" s="19"/>
      <c r="L461" s="19">
        <f t="shared" si="145"/>
        <v>0</v>
      </c>
      <c r="M461" s="19"/>
      <c r="N461" s="19">
        <f t="shared" si="145"/>
        <v>0</v>
      </c>
      <c r="O461" s="19">
        <f t="shared" si="145"/>
        <v>0</v>
      </c>
      <c r="P461" s="19"/>
      <c r="Q461" s="19">
        <f t="shared" si="145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2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90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2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2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2"/>
        <v>0</v>
      </c>
      <c r="H469" s="19"/>
      <c r="I469" s="19">
        <f t="shared" ref="I469:Q469" si="146">I470</f>
        <v>0</v>
      </c>
      <c r="J469" s="19">
        <f t="shared" si="146"/>
        <v>0</v>
      </c>
      <c r="K469" s="19"/>
      <c r="L469" s="19">
        <f t="shared" si="146"/>
        <v>0</v>
      </c>
      <c r="M469" s="19"/>
      <c r="N469" s="19">
        <f t="shared" si="146"/>
        <v>0</v>
      </c>
      <c r="O469" s="19">
        <f t="shared" si="146"/>
        <v>0</v>
      </c>
      <c r="P469" s="19"/>
      <c r="Q469" s="19">
        <f t="shared" si="146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2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2"/>
        <v>0</v>
      </c>
      <c r="H471" s="19"/>
      <c r="I471" s="19">
        <f t="shared" ref="I471:Q472" si="147">I472</f>
        <v>0</v>
      </c>
      <c r="J471" s="19">
        <f t="shared" si="147"/>
        <v>0</v>
      </c>
      <c r="K471" s="19"/>
      <c r="L471" s="19">
        <f t="shared" si="147"/>
        <v>0</v>
      </c>
      <c r="M471" s="19"/>
      <c r="N471" s="19">
        <f t="shared" si="147"/>
        <v>0</v>
      </c>
      <c r="O471" s="19">
        <f t="shared" si="147"/>
        <v>0</v>
      </c>
      <c r="P471" s="19"/>
      <c r="Q471" s="19">
        <f t="shared" si="147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2"/>
        <v>0</v>
      </c>
      <c r="H472" s="19"/>
      <c r="I472" s="19">
        <f t="shared" si="147"/>
        <v>0</v>
      </c>
      <c r="J472" s="19">
        <f t="shared" si="147"/>
        <v>0</v>
      </c>
      <c r="K472" s="19"/>
      <c r="L472" s="19">
        <f t="shared" si="147"/>
        <v>0</v>
      </c>
      <c r="M472" s="19"/>
      <c r="N472" s="19">
        <f t="shared" si="147"/>
        <v>0</v>
      </c>
      <c r="O472" s="19">
        <f t="shared" si="147"/>
        <v>0</v>
      </c>
      <c r="P472" s="19"/>
      <c r="Q472" s="19">
        <f t="shared" si="147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2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2"/>
        <v>0</v>
      </c>
      <c r="H474" s="19"/>
      <c r="I474" s="19">
        <f t="shared" ref="I474:Q474" si="148">I475+I477+I479</f>
        <v>0</v>
      </c>
      <c r="J474" s="19">
        <f t="shared" si="148"/>
        <v>0</v>
      </c>
      <c r="K474" s="19"/>
      <c r="L474" s="19">
        <f t="shared" si="148"/>
        <v>0</v>
      </c>
      <c r="M474" s="19"/>
      <c r="N474" s="19">
        <f t="shared" si="148"/>
        <v>0</v>
      </c>
      <c r="O474" s="19">
        <f t="shared" si="148"/>
        <v>0</v>
      </c>
      <c r="P474" s="19"/>
      <c r="Q474" s="19">
        <f t="shared" si="148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2"/>
        <v>0</v>
      </c>
      <c r="H475" s="19"/>
      <c r="I475" s="19">
        <f t="shared" ref="I475:Q475" si="149">I476</f>
        <v>0</v>
      </c>
      <c r="J475" s="19">
        <f t="shared" si="149"/>
        <v>0</v>
      </c>
      <c r="K475" s="19"/>
      <c r="L475" s="19">
        <f t="shared" si="149"/>
        <v>0</v>
      </c>
      <c r="M475" s="19"/>
      <c r="N475" s="19">
        <f t="shared" si="149"/>
        <v>0</v>
      </c>
      <c r="O475" s="19">
        <f t="shared" si="149"/>
        <v>0</v>
      </c>
      <c r="P475" s="19"/>
      <c r="Q475" s="19">
        <f t="shared" si="149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2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2"/>
        <v>0</v>
      </c>
      <c r="H477" s="19"/>
      <c r="I477" s="19">
        <f t="shared" ref="I477:Q477" si="150">I478</f>
        <v>0</v>
      </c>
      <c r="J477" s="19">
        <f t="shared" si="150"/>
        <v>0</v>
      </c>
      <c r="K477" s="19"/>
      <c r="L477" s="19">
        <f t="shared" si="150"/>
        <v>0</v>
      </c>
      <c r="M477" s="19"/>
      <c r="N477" s="19">
        <f t="shared" si="150"/>
        <v>0</v>
      </c>
      <c r="O477" s="19">
        <f t="shared" si="150"/>
        <v>0</v>
      </c>
      <c r="P477" s="19"/>
      <c r="Q477" s="19">
        <f t="shared" si="150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2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2"/>
        <v>0</v>
      </c>
      <c r="H479" s="19"/>
      <c r="I479" s="19">
        <f t="shared" ref="I479:Q479" si="151">I480+I481</f>
        <v>0</v>
      </c>
      <c r="J479" s="19">
        <f t="shared" si="151"/>
        <v>0</v>
      </c>
      <c r="K479" s="19"/>
      <c r="L479" s="19">
        <f t="shared" si="151"/>
        <v>0</v>
      </c>
      <c r="M479" s="19"/>
      <c r="N479" s="19">
        <f t="shared" si="151"/>
        <v>0</v>
      </c>
      <c r="O479" s="19">
        <f t="shared" si="151"/>
        <v>0</v>
      </c>
      <c r="P479" s="19"/>
      <c r="Q479" s="19">
        <f t="shared" si="151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2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2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2"/>
        <v>0</v>
      </c>
      <c r="H482" s="19"/>
      <c r="I482" s="19">
        <f t="shared" ref="I482:Q483" si="152">I483</f>
        <v>0</v>
      </c>
      <c r="J482" s="19">
        <f t="shared" si="152"/>
        <v>0</v>
      </c>
      <c r="K482" s="19"/>
      <c r="L482" s="19">
        <f t="shared" si="152"/>
        <v>0</v>
      </c>
      <c r="M482" s="19"/>
      <c r="N482" s="19">
        <f t="shared" si="152"/>
        <v>0</v>
      </c>
      <c r="O482" s="19">
        <f t="shared" si="152"/>
        <v>0</v>
      </c>
      <c r="P482" s="19"/>
      <c r="Q482" s="19">
        <f t="shared" si="152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2"/>
        <v>0</v>
      </c>
      <c r="H483" s="19"/>
      <c r="I483" s="19">
        <f t="shared" si="152"/>
        <v>0</v>
      </c>
      <c r="J483" s="19">
        <f t="shared" si="152"/>
        <v>0</v>
      </c>
      <c r="K483" s="19"/>
      <c r="L483" s="19">
        <f t="shared" si="152"/>
        <v>0</v>
      </c>
      <c r="M483" s="19"/>
      <c r="N483" s="19">
        <f t="shared" si="152"/>
        <v>0</v>
      </c>
      <c r="O483" s="19">
        <f t="shared" si="152"/>
        <v>0</v>
      </c>
      <c r="P483" s="19"/>
      <c r="Q483" s="19">
        <f t="shared" si="152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2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2"/>
        <v>0</v>
      </c>
      <c r="H485" s="19"/>
      <c r="I485" s="19">
        <f t="shared" ref="I485:Q485" si="153">I486+I515</f>
        <v>0</v>
      </c>
      <c r="J485" s="19">
        <f t="shared" si="153"/>
        <v>0</v>
      </c>
      <c r="K485" s="19"/>
      <c r="L485" s="19">
        <f t="shared" si="153"/>
        <v>0</v>
      </c>
      <c r="M485" s="19"/>
      <c r="N485" s="19">
        <f t="shared" si="153"/>
        <v>0</v>
      </c>
      <c r="O485" s="19">
        <f t="shared" si="153"/>
        <v>0</v>
      </c>
      <c r="P485" s="19"/>
      <c r="Q485" s="19">
        <f t="shared" si="153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2"/>
        <v>0</v>
      </c>
      <c r="H486" s="19"/>
      <c r="I486" s="19">
        <f t="shared" ref="I486:Q486" si="154">I487+I501+I509+I511+I513</f>
        <v>0</v>
      </c>
      <c r="J486" s="19">
        <f t="shared" si="154"/>
        <v>0</v>
      </c>
      <c r="K486" s="19"/>
      <c r="L486" s="19">
        <f t="shared" si="154"/>
        <v>0</v>
      </c>
      <c r="M486" s="19"/>
      <c r="N486" s="19">
        <f t="shared" si="154"/>
        <v>0</v>
      </c>
      <c r="O486" s="19">
        <f t="shared" si="154"/>
        <v>0</v>
      </c>
      <c r="P486" s="19"/>
      <c r="Q486" s="19">
        <f t="shared" si="154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2"/>
        <v>0</v>
      </c>
      <c r="H487" s="19"/>
      <c r="I487" s="19">
        <f t="shared" ref="I487:Q487" si="155">SUM(I488:I500)</f>
        <v>0</v>
      </c>
      <c r="J487" s="19">
        <f t="shared" si="155"/>
        <v>0</v>
      </c>
      <c r="K487" s="19"/>
      <c r="L487" s="19">
        <f t="shared" si="155"/>
        <v>0</v>
      </c>
      <c r="M487" s="19"/>
      <c r="N487" s="19">
        <f t="shared" si="155"/>
        <v>0</v>
      </c>
      <c r="O487" s="19">
        <f t="shared" si="155"/>
        <v>0</v>
      </c>
      <c r="P487" s="19"/>
      <c r="Q487" s="19">
        <f t="shared" si="155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2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2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2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90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2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2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2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2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2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2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2"/>
        <v>0</v>
      </c>
      <c r="H501" s="19"/>
      <c r="I501" s="19">
        <f t="shared" ref="I501:Q501" si="156">SUM(I502:I508)</f>
        <v>0</v>
      </c>
      <c r="J501" s="19">
        <f t="shared" si="156"/>
        <v>0</v>
      </c>
      <c r="K501" s="19"/>
      <c r="L501" s="19">
        <f t="shared" si="156"/>
        <v>0</v>
      </c>
      <c r="M501" s="19"/>
      <c r="N501" s="19">
        <f t="shared" si="156"/>
        <v>0</v>
      </c>
      <c r="O501" s="19">
        <f t="shared" si="156"/>
        <v>0</v>
      </c>
      <c r="P501" s="19"/>
      <c r="Q501" s="19">
        <f t="shared" si="156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2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2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2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2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2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2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2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2"/>
        <v>0</v>
      </c>
      <c r="H509" s="19"/>
      <c r="I509" s="19">
        <f t="shared" ref="I509:Q509" si="157">I510</f>
        <v>0</v>
      </c>
      <c r="J509" s="19">
        <f t="shared" si="157"/>
        <v>0</v>
      </c>
      <c r="K509" s="19"/>
      <c r="L509" s="19">
        <f t="shared" si="157"/>
        <v>0</v>
      </c>
      <c r="M509" s="19"/>
      <c r="N509" s="19">
        <f t="shared" si="157"/>
        <v>0</v>
      </c>
      <c r="O509" s="19">
        <f t="shared" si="157"/>
        <v>0</v>
      </c>
      <c r="P509" s="19"/>
      <c r="Q509" s="19">
        <f t="shared" si="157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2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2"/>
        <v>0</v>
      </c>
      <c r="H511" s="19"/>
      <c r="I511" s="19">
        <f t="shared" ref="I511:Q513" si="158">I512</f>
        <v>0</v>
      </c>
      <c r="J511" s="19">
        <f t="shared" si="158"/>
        <v>0</v>
      </c>
      <c r="K511" s="19"/>
      <c r="L511" s="19">
        <f t="shared" si="158"/>
        <v>0</v>
      </c>
      <c r="M511" s="19"/>
      <c r="N511" s="19">
        <f t="shared" si="158"/>
        <v>0</v>
      </c>
      <c r="O511" s="19">
        <f t="shared" si="158"/>
        <v>0</v>
      </c>
      <c r="P511" s="19"/>
      <c r="Q511" s="19">
        <f t="shared" si="158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2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2"/>
        <v>0</v>
      </c>
      <c r="H513" s="19"/>
      <c r="I513" s="19">
        <f t="shared" si="158"/>
        <v>0</v>
      </c>
      <c r="J513" s="19">
        <f t="shared" si="158"/>
        <v>0</v>
      </c>
      <c r="K513" s="19"/>
      <c r="L513" s="19">
        <f t="shared" si="158"/>
        <v>0</v>
      </c>
      <c r="M513" s="19"/>
      <c r="N513" s="19">
        <f t="shared" si="158"/>
        <v>0</v>
      </c>
      <c r="O513" s="19">
        <f t="shared" si="158"/>
        <v>0</v>
      </c>
      <c r="P513" s="19"/>
      <c r="Q513" s="19">
        <f t="shared" si="158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2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2"/>
        <v>0</v>
      </c>
      <c r="H515" s="19"/>
      <c r="I515" s="19">
        <f t="shared" ref="I515:Q515" si="159">I516+I530+I539</f>
        <v>0</v>
      </c>
      <c r="J515" s="19">
        <f t="shared" si="159"/>
        <v>0</v>
      </c>
      <c r="K515" s="19"/>
      <c r="L515" s="19">
        <f t="shared" si="159"/>
        <v>0</v>
      </c>
      <c r="M515" s="19"/>
      <c r="N515" s="19">
        <f t="shared" si="159"/>
        <v>0</v>
      </c>
      <c r="O515" s="19">
        <f t="shared" si="159"/>
        <v>0</v>
      </c>
      <c r="P515" s="19"/>
      <c r="Q515" s="19">
        <f t="shared" si="159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2"/>
        <v>0</v>
      </c>
      <c r="H516" s="19"/>
      <c r="I516" s="19">
        <f t="shared" ref="I516:Q516" si="160">SUM(I517:I529)</f>
        <v>0</v>
      </c>
      <c r="J516" s="19">
        <f t="shared" si="160"/>
        <v>0</v>
      </c>
      <c r="K516" s="19"/>
      <c r="L516" s="19">
        <f t="shared" si="160"/>
        <v>0</v>
      </c>
      <c r="M516" s="19"/>
      <c r="N516" s="19">
        <f t="shared" si="160"/>
        <v>0</v>
      </c>
      <c r="O516" s="19">
        <f t="shared" si="160"/>
        <v>0</v>
      </c>
      <c r="P516" s="19"/>
      <c r="Q516" s="19">
        <f t="shared" si="160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2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90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2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2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2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2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2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2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2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2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2"/>
        <v>0</v>
      </c>
      <c r="H530" s="19"/>
      <c r="I530" s="19">
        <f t="shared" ref="I530:Q530" si="161">SUM(I531:I538)</f>
        <v>0</v>
      </c>
      <c r="J530" s="19">
        <f t="shared" si="161"/>
        <v>0</v>
      </c>
      <c r="K530" s="19"/>
      <c r="L530" s="19">
        <f t="shared" si="161"/>
        <v>0</v>
      </c>
      <c r="M530" s="19"/>
      <c r="N530" s="19">
        <f t="shared" si="161"/>
        <v>0</v>
      </c>
      <c r="O530" s="19">
        <f t="shared" si="161"/>
        <v>0</v>
      </c>
      <c r="P530" s="19"/>
      <c r="Q530" s="19">
        <f t="shared" si="161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2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2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2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2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2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2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2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2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2"/>
        <v>0</v>
      </c>
      <c r="H539" s="19"/>
      <c r="I539" s="19">
        <f t="shared" ref="I539:Q539" si="163">I540</f>
        <v>0</v>
      </c>
      <c r="J539" s="19">
        <f t="shared" si="163"/>
        <v>0</v>
      </c>
      <c r="K539" s="19"/>
      <c r="L539" s="19">
        <f t="shared" si="163"/>
        <v>0</v>
      </c>
      <c r="M539" s="19"/>
      <c r="N539" s="19">
        <f t="shared" si="163"/>
        <v>0</v>
      </c>
      <c r="O539" s="19">
        <f t="shared" si="163"/>
        <v>0</v>
      </c>
      <c r="P539" s="19"/>
      <c r="Q539" s="19">
        <f t="shared" si="163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2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4">E219+E485</f>
        <v>1500538</v>
      </c>
      <c r="F541" s="19">
        <f t="shared" si="164"/>
        <v>1668320</v>
      </c>
      <c r="G541" s="19">
        <f t="shared" si="164"/>
        <v>1138166</v>
      </c>
      <c r="H541" s="19">
        <f t="shared" si="164"/>
        <v>30200</v>
      </c>
      <c r="I541" s="19">
        <f t="shared" si="164"/>
        <v>1577</v>
      </c>
      <c r="J541" s="19">
        <f t="shared" si="164"/>
        <v>0</v>
      </c>
      <c r="K541" s="19">
        <f t="shared" si="164"/>
        <v>1000</v>
      </c>
      <c r="L541" s="19">
        <f t="shared" si="164"/>
        <v>1273</v>
      </c>
      <c r="M541" s="19">
        <f t="shared" si="164"/>
        <v>1624115</v>
      </c>
      <c r="N541" s="19">
        <f t="shared" si="164"/>
        <v>1125638</v>
      </c>
      <c r="O541" s="19">
        <f t="shared" si="164"/>
        <v>0</v>
      </c>
      <c r="P541" s="19">
        <f t="shared" si="164"/>
        <v>13005</v>
      </c>
      <c r="Q541" s="19">
        <f t="shared" si="164"/>
        <v>9668</v>
      </c>
    </row>
  </sheetData>
  <mergeCells count="186"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</mergeCells>
  <dataValidations count="1">
    <dataValidation type="whole" allowBlank="1" showErrorMessage="1" errorTitle="Upozorenje" error="Niste uneli korektnu vrednost!_x000a_Ponovite unos." sqref="E495:Q517 F74:F154 E15:Q42 E47:Q69 E159:Q180 E185:Q202 E207:Q211 E6:Q10 E74:E99 G74:Q99 G122:Q127 G132:Q154 E132:E154 H445:H462 E274:Q318 E219:Q233 E522:Q541 E404:Q427 E323:Q348 E353:Q374 E379:Q399 E467:Q490 G104:Q119 G120:M121 E104:E127 E432:G462 I432:Q462 H432:H443 E238:Q269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13313" r:id="rId4">
          <objectPr defaultSize="0" r:id="rId5">
            <anchor moveWithCells="1">
              <from>
                <xdr:col>17</xdr:col>
                <xdr:colOff>0</xdr:colOff>
                <xdr:row>250</xdr:row>
                <xdr:rowOff>171450</xdr:rowOff>
              </from>
              <to>
                <xdr:col>26</xdr:col>
                <xdr:colOff>438150</xdr:colOff>
                <xdr:row>289</xdr:row>
                <xdr:rowOff>38100</xdr:rowOff>
              </to>
            </anchor>
          </objectPr>
        </oleObject>
      </mc:Choice>
      <mc:Fallback>
        <oleObject progId="Word.Document.12" shapeId="13313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41"/>
  <sheetViews>
    <sheetView topLeftCell="A254" zoomScale="106" zoomScaleNormal="106" workbookViewId="0">
      <selection activeCell="A254" sqref="A1:XFD1048576"/>
    </sheetView>
  </sheetViews>
  <sheetFormatPr defaultRowHeight="12.75" customHeight="1" x14ac:dyDescent="0.25"/>
  <cols>
    <col min="1" max="1" width="5.85546875" style="459" customWidth="1"/>
    <col min="2" max="2" width="6.85546875" style="459" customWidth="1"/>
    <col min="3" max="3" width="52.5703125" style="459" customWidth="1"/>
    <col min="4" max="4" width="10" style="459" customWidth="1"/>
    <col min="5" max="6" width="10.28515625" style="459" customWidth="1"/>
    <col min="7" max="7" width="10" style="459" customWidth="1"/>
    <col min="8" max="8" width="8.5703125" style="459" customWidth="1"/>
    <col min="9" max="9" width="8.7109375" style="459" hidden="1" customWidth="1"/>
    <col min="10" max="11" width="9.140625" style="459"/>
    <col min="12" max="12" width="0" style="459" hidden="1" customWidth="1"/>
    <col min="13" max="13" width="9.140625" style="459"/>
    <col min="14" max="14" width="9" style="469" customWidth="1"/>
    <col min="15" max="16384" width="9.140625" style="459"/>
  </cols>
  <sheetData>
    <row r="1" spans="1:14" ht="12.75" customHeight="1" x14ac:dyDescent="0.25">
      <c r="A1" s="411" t="s">
        <v>513</v>
      </c>
      <c r="B1" s="411"/>
      <c r="C1" s="411"/>
      <c r="D1" s="411"/>
      <c r="E1" s="411"/>
      <c r="F1" s="411"/>
      <c r="G1" s="411"/>
    </row>
    <row r="2" spans="1:14" ht="12.75" customHeight="1" x14ac:dyDescent="0.25">
      <c r="A2" s="412" t="s">
        <v>569</v>
      </c>
      <c r="B2" s="413"/>
      <c r="C2" s="413"/>
      <c r="D2" s="413"/>
      <c r="E2" s="413"/>
      <c r="F2" s="413"/>
      <c r="G2" s="413"/>
    </row>
    <row r="3" spans="1:14" ht="12.75" customHeight="1" x14ac:dyDescent="0.25">
      <c r="A3" s="414" t="s">
        <v>514</v>
      </c>
    </row>
    <row r="4" spans="1:14" ht="12.75" customHeight="1" thickBot="1" x14ac:dyDescent="0.3">
      <c r="A4" s="470"/>
      <c r="M4" s="471" t="s">
        <v>196</v>
      </c>
    </row>
    <row r="5" spans="1:14" ht="12.75" customHeight="1" thickBot="1" x14ac:dyDescent="0.3">
      <c r="A5" s="709" t="s">
        <v>0</v>
      </c>
      <c r="B5" s="711" t="s">
        <v>1</v>
      </c>
      <c r="C5" s="713" t="s">
        <v>2</v>
      </c>
      <c r="D5" s="715" t="s">
        <v>561</v>
      </c>
      <c r="E5" s="715" t="s">
        <v>3</v>
      </c>
      <c r="F5" s="715" t="s">
        <v>547</v>
      </c>
      <c r="G5" s="732" t="s">
        <v>4</v>
      </c>
      <c r="H5" s="732"/>
      <c r="I5" s="732"/>
      <c r="J5" s="732"/>
      <c r="K5" s="732"/>
      <c r="L5" s="732"/>
      <c r="M5" s="732"/>
      <c r="N5" s="725" t="s">
        <v>548</v>
      </c>
    </row>
    <row r="6" spans="1:14" ht="12.75" customHeight="1" thickBot="1" x14ac:dyDescent="0.3">
      <c r="A6" s="710"/>
      <c r="B6" s="712"/>
      <c r="C6" s="735"/>
      <c r="D6" s="716"/>
      <c r="E6" s="716"/>
      <c r="F6" s="716"/>
      <c r="G6" s="733" t="s">
        <v>549</v>
      </c>
      <c r="H6" s="707" t="s">
        <v>6</v>
      </c>
      <c r="I6" s="707"/>
      <c r="J6" s="707"/>
      <c r="K6" s="707"/>
      <c r="L6" s="707" t="s">
        <v>7</v>
      </c>
      <c r="M6" s="734" t="s">
        <v>8</v>
      </c>
      <c r="N6" s="726"/>
    </row>
    <row r="7" spans="1:14" ht="53.25" customHeight="1" x14ac:dyDescent="0.25">
      <c r="A7" s="710"/>
      <c r="B7" s="712"/>
      <c r="C7" s="735"/>
      <c r="D7" s="716"/>
      <c r="E7" s="716"/>
      <c r="F7" s="716"/>
      <c r="G7" s="733"/>
      <c r="H7" s="503" t="s">
        <v>9</v>
      </c>
      <c r="I7" s="503" t="s">
        <v>10</v>
      </c>
      <c r="J7" s="503" t="s">
        <v>550</v>
      </c>
      <c r="K7" s="503" t="s">
        <v>12</v>
      </c>
      <c r="L7" s="707"/>
      <c r="M7" s="734"/>
      <c r="N7" s="726"/>
    </row>
    <row r="8" spans="1:14" ht="12.75" customHeight="1" x14ac:dyDescent="0.25">
      <c r="A8" s="505">
        <v>1</v>
      </c>
      <c r="B8" s="506">
        <v>2</v>
      </c>
      <c r="C8" s="509">
        <v>3</v>
      </c>
      <c r="D8" s="503">
        <v>4</v>
      </c>
      <c r="E8" s="503">
        <v>5</v>
      </c>
      <c r="F8" s="503" t="s">
        <v>551</v>
      </c>
      <c r="G8" s="503">
        <v>7</v>
      </c>
      <c r="H8" s="503">
        <v>8</v>
      </c>
      <c r="I8" s="503">
        <v>7</v>
      </c>
      <c r="J8" s="503">
        <v>9</v>
      </c>
      <c r="K8" s="503">
        <v>10</v>
      </c>
      <c r="L8" s="503">
        <v>10</v>
      </c>
      <c r="M8" s="504">
        <v>11</v>
      </c>
      <c r="N8" s="511" t="s">
        <v>552</v>
      </c>
    </row>
    <row r="9" spans="1:14" ht="12.75" customHeight="1" x14ac:dyDescent="0.25">
      <c r="A9" s="415">
        <v>5001</v>
      </c>
      <c r="B9" s="506"/>
      <c r="C9" s="416" t="s">
        <v>13</v>
      </c>
      <c r="D9" s="417">
        <f>D10+D134</f>
        <v>63655</v>
      </c>
      <c r="E9" s="417">
        <f>E10+E134</f>
        <v>1652212</v>
      </c>
      <c r="F9" s="417">
        <f>F10+F134</f>
        <v>1715867</v>
      </c>
      <c r="G9" s="417">
        <f t="shared" ref="G9:G72" si="0">SUM(H9:M9)</f>
        <v>1215103</v>
      </c>
      <c r="H9" s="417">
        <f t="shared" ref="H9:L9" si="1">H10+H134</f>
        <v>2482</v>
      </c>
      <c r="I9" s="417">
        <f t="shared" si="1"/>
        <v>0</v>
      </c>
      <c r="J9" s="417">
        <f t="shared" si="1"/>
        <v>0</v>
      </c>
      <c r="K9" s="417">
        <f t="shared" si="1"/>
        <v>1202204</v>
      </c>
      <c r="L9" s="417">
        <f t="shared" si="1"/>
        <v>0</v>
      </c>
      <c r="M9" s="418">
        <f>M10+M134</f>
        <v>10417</v>
      </c>
      <c r="N9" s="419">
        <f>G9/F9</f>
        <v>0.70815686763601138</v>
      </c>
    </row>
    <row r="10" spans="1:14" ht="12.75" customHeight="1" x14ac:dyDescent="0.25">
      <c r="A10" s="415">
        <v>5002</v>
      </c>
      <c r="B10" s="506">
        <v>700000</v>
      </c>
      <c r="C10" s="416" t="s">
        <v>532</v>
      </c>
      <c r="D10" s="417">
        <f>D11+D63+D77+D89+D118+D123+D127</f>
        <v>63655</v>
      </c>
      <c r="E10" s="417">
        <f>E11+E63+E77+E89+E118+E123+E127</f>
        <v>1652012</v>
      </c>
      <c r="F10" s="417">
        <f>F11+F63+F77+F89+F118+F123+F127</f>
        <v>1715667</v>
      </c>
      <c r="G10" s="417">
        <f t="shared" si="0"/>
        <v>1214705</v>
      </c>
      <c r="H10" s="417">
        <f t="shared" ref="H10:L10" si="2">H11+H63+H77+H89+H118+H123+H127</f>
        <v>2482</v>
      </c>
      <c r="I10" s="417">
        <f t="shared" si="2"/>
        <v>0</v>
      </c>
      <c r="J10" s="417">
        <f t="shared" si="2"/>
        <v>0</v>
      </c>
      <c r="K10" s="417">
        <f t="shared" si="2"/>
        <v>1202204</v>
      </c>
      <c r="L10" s="417">
        <f t="shared" si="2"/>
        <v>0</v>
      </c>
      <c r="M10" s="418">
        <f>M11+M63+M77+M89+M118+M123+M127+M116</f>
        <v>10019</v>
      </c>
      <c r="N10" s="419">
        <f t="shared" ref="N10:N73" si="3">G10/F10</f>
        <v>0.70800743967215085</v>
      </c>
    </row>
    <row r="11" spans="1:14" ht="16.5" hidden="1" customHeight="1" x14ac:dyDescent="0.25">
      <c r="A11" s="505">
        <v>5003</v>
      </c>
      <c r="B11" s="506">
        <v>710000</v>
      </c>
      <c r="C11" s="416" t="s">
        <v>15</v>
      </c>
      <c r="D11" s="416">
        <f>D12+D20+D22+D29+D35+D42+D45+D56</f>
        <v>0</v>
      </c>
      <c r="E11" s="420">
        <f>E12+E20+E22+E29+E35+E42+E45+E56</f>
        <v>0</v>
      </c>
      <c r="F11" s="420">
        <f>F12+F20+F22+F29+F35+F42+F45+F56</f>
        <v>0</v>
      </c>
      <c r="G11" s="420">
        <f t="shared" si="0"/>
        <v>0</v>
      </c>
      <c r="H11" s="420">
        <f t="shared" ref="H11:M11" si="4">H12+H20+H22+H29+H35+H42+H45+H56</f>
        <v>0</v>
      </c>
      <c r="I11" s="420">
        <f t="shared" si="4"/>
        <v>0</v>
      </c>
      <c r="J11" s="420">
        <f t="shared" si="4"/>
        <v>0</v>
      </c>
      <c r="K11" s="420">
        <f t="shared" si="4"/>
        <v>0</v>
      </c>
      <c r="L11" s="420">
        <f t="shared" si="4"/>
        <v>0</v>
      </c>
      <c r="M11" s="421">
        <f t="shared" si="4"/>
        <v>0</v>
      </c>
      <c r="N11" s="419" t="e">
        <f t="shared" si="3"/>
        <v>#DIV/0!</v>
      </c>
    </row>
    <row r="12" spans="1:14" ht="16.5" hidden="1" customHeight="1" x14ac:dyDescent="0.25">
      <c r="A12" s="505">
        <v>5004</v>
      </c>
      <c r="B12" s="506">
        <v>711000</v>
      </c>
      <c r="C12" s="416" t="s">
        <v>16</v>
      </c>
      <c r="D12" s="416">
        <f>SUM(D13:D19)</f>
        <v>0</v>
      </c>
      <c r="E12" s="420">
        <f>SUM(E13:E19)</f>
        <v>0</v>
      </c>
      <c r="F12" s="420">
        <f>SUM(F13:F19)</f>
        <v>0</v>
      </c>
      <c r="G12" s="420">
        <f t="shared" si="0"/>
        <v>0</v>
      </c>
      <c r="H12" s="420">
        <f t="shared" ref="H12:M12" si="5">SUM(H13:H19)</f>
        <v>0</v>
      </c>
      <c r="I12" s="420">
        <f t="shared" si="5"/>
        <v>0</v>
      </c>
      <c r="J12" s="420">
        <f t="shared" si="5"/>
        <v>0</v>
      </c>
      <c r="K12" s="420">
        <f t="shared" si="5"/>
        <v>0</v>
      </c>
      <c r="L12" s="420">
        <f t="shared" si="5"/>
        <v>0</v>
      </c>
      <c r="M12" s="421">
        <f t="shared" si="5"/>
        <v>0</v>
      </c>
      <c r="N12" s="419" t="e">
        <f t="shared" si="3"/>
        <v>#DIV/0!</v>
      </c>
    </row>
    <row r="13" spans="1:14" ht="16.5" hidden="1" customHeight="1" x14ac:dyDescent="0.25">
      <c r="A13" s="422">
        <v>5005</v>
      </c>
      <c r="B13" s="423">
        <v>711100</v>
      </c>
      <c r="C13" s="424" t="s">
        <v>17</v>
      </c>
      <c r="D13" s="425"/>
      <c r="E13" s="426"/>
      <c r="F13" s="426"/>
      <c r="G13" s="426">
        <f t="shared" si="0"/>
        <v>0</v>
      </c>
      <c r="H13" s="426"/>
      <c r="I13" s="426"/>
      <c r="J13" s="426"/>
      <c r="K13" s="426"/>
      <c r="L13" s="426"/>
      <c r="M13" s="427"/>
      <c r="N13" s="419" t="e">
        <f t="shared" si="3"/>
        <v>#DIV/0!</v>
      </c>
    </row>
    <row r="14" spans="1:14" ht="16.5" hidden="1" customHeight="1" x14ac:dyDescent="0.25">
      <c r="A14" s="717" t="s">
        <v>0</v>
      </c>
      <c r="B14" s="718" t="s">
        <v>1</v>
      </c>
      <c r="C14" s="719" t="s">
        <v>2</v>
      </c>
      <c r="D14" s="508" t="s">
        <v>3</v>
      </c>
      <c r="E14" s="714" t="s">
        <v>3</v>
      </c>
      <c r="F14" s="509" t="s">
        <v>3</v>
      </c>
      <c r="G14" s="714" t="s">
        <v>4</v>
      </c>
      <c r="H14" s="714"/>
      <c r="I14" s="714"/>
      <c r="J14" s="714"/>
      <c r="K14" s="714"/>
      <c r="L14" s="714"/>
      <c r="M14" s="722"/>
      <c r="N14" s="419" t="e">
        <f t="shared" si="3"/>
        <v>#VALUE!</v>
      </c>
    </row>
    <row r="15" spans="1:14" ht="16.5" hidden="1" customHeight="1" x14ac:dyDescent="0.25">
      <c r="A15" s="717"/>
      <c r="B15" s="718"/>
      <c r="C15" s="719"/>
      <c r="D15" s="508"/>
      <c r="E15" s="714"/>
      <c r="F15" s="509"/>
      <c r="G15" s="729" t="s">
        <v>5</v>
      </c>
      <c r="H15" s="714" t="s">
        <v>6</v>
      </c>
      <c r="I15" s="714"/>
      <c r="J15" s="714"/>
      <c r="K15" s="714"/>
      <c r="L15" s="714" t="s">
        <v>7</v>
      </c>
      <c r="M15" s="722" t="s">
        <v>8</v>
      </c>
      <c r="N15" s="419" t="e">
        <f t="shared" si="3"/>
        <v>#VALUE!</v>
      </c>
    </row>
    <row r="16" spans="1:14" ht="16.5" hidden="1" customHeight="1" x14ac:dyDescent="0.25">
      <c r="A16" s="717"/>
      <c r="B16" s="718"/>
      <c r="C16" s="719"/>
      <c r="D16" s="508"/>
      <c r="E16" s="714"/>
      <c r="F16" s="509"/>
      <c r="G16" s="729"/>
      <c r="H16" s="509" t="s">
        <v>9</v>
      </c>
      <c r="I16" s="509" t="s">
        <v>10</v>
      </c>
      <c r="J16" s="509" t="s">
        <v>11</v>
      </c>
      <c r="K16" s="509" t="s">
        <v>12</v>
      </c>
      <c r="L16" s="714"/>
      <c r="M16" s="722"/>
      <c r="N16" s="419" t="e">
        <f t="shared" si="3"/>
        <v>#DIV/0!</v>
      </c>
    </row>
    <row r="17" spans="1:14" ht="16.5" hidden="1" customHeight="1" x14ac:dyDescent="0.25">
      <c r="A17" s="428" t="s">
        <v>18</v>
      </c>
      <c r="B17" s="507" t="s">
        <v>19</v>
      </c>
      <c r="C17" s="429" t="s">
        <v>20</v>
      </c>
      <c r="D17" s="429" t="s">
        <v>21</v>
      </c>
      <c r="E17" s="430" t="s">
        <v>21</v>
      </c>
      <c r="F17" s="430" t="s">
        <v>21</v>
      </c>
      <c r="G17" s="430" t="s">
        <v>22</v>
      </c>
      <c r="H17" s="430" t="s">
        <v>23</v>
      </c>
      <c r="I17" s="430" t="s">
        <v>24</v>
      </c>
      <c r="J17" s="430" t="s">
        <v>25</v>
      </c>
      <c r="K17" s="430" t="s">
        <v>26</v>
      </c>
      <c r="L17" s="430" t="s">
        <v>27</v>
      </c>
      <c r="M17" s="431" t="s">
        <v>28</v>
      </c>
      <c r="N17" s="419">
        <f t="shared" si="3"/>
        <v>1.25</v>
      </c>
    </row>
    <row r="18" spans="1:14" ht="16.5" hidden="1" customHeight="1" x14ac:dyDescent="0.25">
      <c r="A18" s="422">
        <v>5006</v>
      </c>
      <c r="B18" s="423">
        <v>711200</v>
      </c>
      <c r="C18" s="424" t="s">
        <v>29</v>
      </c>
      <c r="D18" s="424"/>
      <c r="E18" s="432"/>
      <c r="F18" s="432"/>
      <c r="G18" s="432">
        <f t="shared" si="0"/>
        <v>0</v>
      </c>
      <c r="H18" s="432"/>
      <c r="I18" s="432"/>
      <c r="J18" s="432"/>
      <c r="K18" s="432"/>
      <c r="L18" s="432"/>
      <c r="M18" s="433"/>
      <c r="N18" s="419" t="e">
        <f t="shared" si="3"/>
        <v>#DIV/0!</v>
      </c>
    </row>
    <row r="19" spans="1:14" ht="16.5" hidden="1" customHeight="1" x14ac:dyDescent="0.25">
      <c r="A19" s="422">
        <v>5007</v>
      </c>
      <c r="B19" s="423">
        <v>711300</v>
      </c>
      <c r="C19" s="424" t="s">
        <v>30</v>
      </c>
      <c r="D19" s="424"/>
      <c r="E19" s="432"/>
      <c r="F19" s="432"/>
      <c r="G19" s="432">
        <f t="shared" si="0"/>
        <v>0</v>
      </c>
      <c r="H19" s="432"/>
      <c r="I19" s="432"/>
      <c r="J19" s="432"/>
      <c r="K19" s="432"/>
      <c r="L19" s="432"/>
      <c r="M19" s="433"/>
      <c r="N19" s="419" t="e">
        <f t="shared" si="3"/>
        <v>#DIV/0!</v>
      </c>
    </row>
    <row r="20" spans="1:14" ht="16.5" hidden="1" customHeight="1" x14ac:dyDescent="0.25">
      <c r="A20" s="505">
        <v>5008</v>
      </c>
      <c r="B20" s="506">
        <v>712000</v>
      </c>
      <c r="C20" s="416" t="s">
        <v>31</v>
      </c>
      <c r="D20" s="416">
        <f>D21</f>
        <v>0</v>
      </c>
      <c r="E20" s="420">
        <f>E21</f>
        <v>0</v>
      </c>
      <c r="F20" s="420">
        <f>F21</f>
        <v>0</v>
      </c>
      <c r="G20" s="420">
        <f t="shared" si="0"/>
        <v>0</v>
      </c>
      <c r="H20" s="420">
        <f t="shared" ref="H20:M20" si="6">H21</f>
        <v>0</v>
      </c>
      <c r="I20" s="420">
        <f t="shared" si="6"/>
        <v>0</v>
      </c>
      <c r="J20" s="420">
        <f t="shared" si="6"/>
        <v>0</v>
      </c>
      <c r="K20" s="420">
        <f t="shared" si="6"/>
        <v>0</v>
      </c>
      <c r="L20" s="420">
        <f t="shared" si="6"/>
        <v>0</v>
      </c>
      <c r="M20" s="421">
        <f t="shared" si="6"/>
        <v>0</v>
      </c>
      <c r="N20" s="419" t="e">
        <f t="shared" si="3"/>
        <v>#DIV/0!</v>
      </c>
    </row>
    <row r="21" spans="1:14" ht="16.5" hidden="1" customHeight="1" x14ac:dyDescent="0.25">
      <c r="A21" s="422">
        <v>5009</v>
      </c>
      <c r="B21" s="423">
        <v>712100</v>
      </c>
      <c r="C21" s="424" t="s">
        <v>32</v>
      </c>
      <c r="D21" s="424"/>
      <c r="E21" s="432"/>
      <c r="F21" s="432"/>
      <c r="G21" s="432">
        <f t="shared" si="0"/>
        <v>0</v>
      </c>
      <c r="H21" s="432"/>
      <c r="I21" s="432"/>
      <c r="J21" s="432"/>
      <c r="K21" s="432"/>
      <c r="L21" s="432"/>
      <c r="M21" s="433"/>
      <c r="N21" s="419" t="e">
        <f t="shared" si="3"/>
        <v>#DIV/0!</v>
      </c>
    </row>
    <row r="22" spans="1:14" ht="16.5" hidden="1" customHeight="1" x14ac:dyDescent="0.25">
      <c r="A22" s="505">
        <v>5010</v>
      </c>
      <c r="B22" s="506">
        <v>713000</v>
      </c>
      <c r="C22" s="416" t="s">
        <v>33</v>
      </c>
      <c r="D22" s="416">
        <f>SUM(D23:D28)</f>
        <v>0</v>
      </c>
      <c r="E22" s="420">
        <f>SUM(E23:E28)</f>
        <v>0</v>
      </c>
      <c r="F22" s="420">
        <f>SUM(F23:F28)</f>
        <v>0</v>
      </c>
      <c r="G22" s="420">
        <f t="shared" si="0"/>
        <v>0</v>
      </c>
      <c r="H22" s="420">
        <f t="shared" ref="H22:M22" si="7">SUM(H23:H28)</f>
        <v>0</v>
      </c>
      <c r="I22" s="420">
        <f t="shared" si="7"/>
        <v>0</v>
      </c>
      <c r="J22" s="420">
        <f t="shared" si="7"/>
        <v>0</v>
      </c>
      <c r="K22" s="420">
        <f t="shared" si="7"/>
        <v>0</v>
      </c>
      <c r="L22" s="420">
        <f t="shared" si="7"/>
        <v>0</v>
      </c>
      <c r="M22" s="421">
        <f t="shared" si="7"/>
        <v>0</v>
      </c>
      <c r="N22" s="419" t="e">
        <f t="shared" si="3"/>
        <v>#DIV/0!</v>
      </c>
    </row>
    <row r="23" spans="1:14" ht="16.5" hidden="1" customHeight="1" x14ac:dyDescent="0.25">
      <c r="A23" s="422">
        <v>5011</v>
      </c>
      <c r="B23" s="423">
        <v>713100</v>
      </c>
      <c r="C23" s="424" t="s">
        <v>34</v>
      </c>
      <c r="D23" s="424"/>
      <c r="E23" s="432"/>
      <c r="F23" s="432"/>
      <c r="G23" s="432">
        <f t="shared" si="0"/>
        <v>0</v>
      </c>
      <c r="H23" s="432"/>
      <c r="I23" s="432"/>
      <c r="J23" s="432"/>
      <c r="K23" s="432"/>
      <c r="L23" s="432"/>
      <c r="M23" s="433"/>
      <c r="N23" s="419" t="e">
        <f t="shared" si="3"/>
        <v>#DIV/0!</v>
      </c>
    </row>
    <row r="24" spans="1:14" ht="16.5" hidden="1" customHeight="1" x14ac:dyDescent="0.25">
      <c r="A24" s="422">
        <v>5012</v>
      </c>
      <c r="B24" s="423">
        <v>713200</v>
      </c>
      <c r="C24" s="424" t="s">
        <v>35</v>
      </c>
      <c r="D24" s="424"/>
      <c r="E24" s="432"/>
      <c r="F24" s="432"/>
      <c r="G24" s="432">
        <f t="shared" si="0"/>
        <v>0</v>
      </c>
      <c r="H24" s="432"/>
      <c r="I24" s="432"/>
      <c r="J24" s="432"/>
      <c r="K24" s="432"/>
      <c r="L24" s="432"/>
      <c r="M24" s="433"/>
      <c r="N24" s="419" t="e">
        <f t="shared" si="3"/>
        <v>#DIV/0!</v>
      </c>
    </row>
    <row r="25" spans="1:14" ht="16.5" hidden="1" customHeight="1" x14ac:dyDescent="0.25">
      <c r="A25" s="422">
        <v>5013</v>
      </c>
      <c r="B25" s="423">
        <v>713300</v>
      </c>
      <c r="C25" s="424" t="s">
        <v>36</v>
      </c>
      <c r="D25" s="424"/>
      <c r="E25" s="432"/>
      <c r="F25" s="432"/>
      <c r="G25" s="432">
        <f t="shared" si="0"/>
        <v>0</v>
      </c>
      <c r="H25" s="432"/>
      <c r="I25" s="432"/>
      <c r="J25" s="432"/>
      <c r="K25" s="432"/>
      <c r="L25" s="432"/>
      <c r="M25" s="433"/>
      <c r="N25" s="419" t="e">
        <f t="shared" si="3"/>
        <v>#DIV/0!</v>
      </c>
    </row>
    <row r="26" spans="1:14" ht="16.5" hidden="1" customHeight="1" x14ac:dyDescent="0.25">
      <c r="A26" s="422">
        <v>5014</v>
      </c>
      <c r="B26" s="423">
        <v>713400</v>
      </c>
      <c r="C26" s="424" t="s">
        <v>37</v>
      </c>
      <c r="D26" s="424"/>
      <c r="E26" s="432"/>
      <c r="F26" s="432"/>
      <c r="G26" s="432">
        <f t="shared" si="0"/>
        <v>0</v>
      </c>
      <c r="H26" s="432"/>
      <c r="I26" s="432"/>
      <c r="J26" s="432"/>
      <c r="K26" s="432"/>
      <c r="L26" s="432"/>
      <c r="M26" s="433"/>
      <c r="N26" s="419" t="e">
        <f t="shared" si="3"/>
        <v>#DIV/0!</v>
      </c>
    </row>
    <row r="27" spans="1:14" ht="16.5" hidden="1" customHeight="1" x14ac:dyDescent="0.25">
      <c r="A27" s="422">
        <v>5015</v>
      </c>
      <c r="B27" s="423">
        <v>713500</v>
      </c>
      <c r="C27" s="424" t="s">
        <v>38</v>
      </c>
      <c r="D27" s="424"/>
      <c r="E27" s="432"/>
      <c r="F27" s="432"/>
      <c r="G27" s="432">
        <f t="shared" si="0"/>
        <v>0</v>
      </c>
      <c r="H27" s="432"/>
      <c r="I27" s="432"/>
      <c r="J27" s="432"/>
      <c r="K27" s="432"/>
      <c r="L27" s="432"/>
      <c r="M27" s="433"/>
      <c r="N27" s="419" t="e">
        <f t="shared" si="3"/>
        <v>#DIV/0!</v>
      </c>
    </row>
    <row r="28" spans="1:14" ht="16.5" hidden="1" customHeight="1" x14ac:dyDescent="0.25">
      <c r="A28" s="422">
        <v>5016</v>
      </c>
      <c r="B28" s="423">
        <v>713600</v>
      </c>
      <c r="C28" s="424" t="s">
        <v>39</v>
      </c>
      <c r="D28" s="424"/>
      <c r="E28" s="420"/>
      <c r="F28" s="420"/>
      <c r="G28" s="432">
        <f t="shared" si="0"/>
        <v>0</v>
      </c>
      <c r="H28" s="420"/>
      <c r="I28" s="420"/>
      <c r="J28" s="420"/>
      <c r="K28" s="420"/>
      <c r="L28" s="420"/>
      <c r="M28" s="421"/>
      <c r="N28" s="419" t="e">
        <f t="shared" si="3"/>
        <v>#DIV/0!</v>
      </c>
    </row>
    <row r="29" spans="1:14" ht="16.5" hidden="1" customHeight="1" x14ac:dyDescent="0.25">
      <c r="A29" s="505">
        <v>5017</v>
      </c>
      <c r="B29" s="506">
        <v>714000</v>
      </c>
      <c r="C29" s="416" t="s">
        <v>40</v>
      </c>
      <c r="D29" s="416">
        <f>SUM(D30:D34)</f>
        <v>0</v>
      </c>
      <c r="E29" s="420">
        <f>SUM(E30:E34)</f>
        <v>0</v>
      </c>
      <c r="F29" s="420">
        <f>SUM(F30:F34)</f>
        <v>0</v>
      </c>
      <c r="G29" s="420">
        <f t="shared" si="0"/>
        <v>0</v>
      </c>
      <c r="H29" s="420">
        <f t="shared" ref="H29:M29" si="8">SUM(H30:H34)</f>
        <v>0</v>
      </c>
      <c r="I29" s="420">
        <f t="shared" si="8"/>
        <v>0</v>
      </c>
      <c r="J29" s="420">
        <f t="shared" si="8"/>
        <v>0</v>
      </c>
      <c r="K29" s="420">
        <f t="shared" si="8"/>
        <v>0</v>
      </c>
      <c r="L29" s="420">
        <f t="shared" si="8"/>
        <v>0</v>
      </c>
      <c r="M29" s="421">
        <f t="shared" si="8"/>
        <v>0</v>
      </c>
      <c r="N29" s="419" t="e">
        <f t="shared" si="3"/>
        <v>#DIV/0!</v>
      </c>
    </row>
    <row r="30" spans="1:14" ht="16.5" hidden="1" customHeight="1" x14ac:dyDescent="0.25">
      <c r="A30" s="422">
        <v>5018</v>
      </c>
      <c r="B30" s="423">
        <v>714100</v>
      </c>
      <c r="C30" s="424" t="s">
        <v>41</v>
      </c>
      <c r="D30" s="424"/>
      <c r="E30" s="432"/>
      <c r="F30" s="432"/>
      <c r="G30" s="432">
        <f t="shared" si="0"/>
        <v>0</v>
      </c>
      <c r="H30" s="432"/>
      <c r="I30" s="432"/>
      <c r="J30" s="432"/>
      <c r="K30" s="432"/>
      <c r="L30" s="432"/>
      <c r="M30" s="433"/>
      <c r="N30" s="419" t="e">
        <f t="shared" si="3"/>
        <v>#DIV/0!</v>
      </c>
    </row>
    <row r="31" spans="1:14" ht="16.5" hidden="1" customHeight="1" x14ac:dyDescent="0.25">
      <c r="A31" s="422">
        <v>5019</v>
      </c>
      <c r="B31" s="423">
        <v>714300</v>
      </c>
      <c r="C31" s="424" t="s">
        <v>42</v>
      </c>
      <c r="D31" s="424"/>
      <c r="E31" s="432"/>
      <c r="F31" s="432"/>
      <c r="G31" s="432">
        <f t="shared" si="0"/>
        <v>0</v>
      </c>
      <c r="H31" s="432"/>
      <c r="I31" s="432"/>
      <c r="J31" s="432"/>
      <c r="K31" s="432"/>
      <c r="L31" s="432"/>
      <c r="M31" s="433"/>
      <c r="N31" s="419" t="e">
        <f t="shared" si="3"/>
        <v>#DIV/0!</v>
      </c>
    </row>
    <row r="32" spans="1:14" ht="16.5" hidden="1" customHeight="1" x14ac:dyDescent="0.25">
      <c r="A32" s="422">
        <v>5020</v>
      </c>
      <c r="B32" s="423">
        <v>714400</v>
      </c>
      <c r="C32" s="424" t="s">
        <v>43</v>
      </c>
      <c r="D32" s="424"/>
      <c r="E32" s="432"/>
      <c r="F32" s="432"/>
      <c r="G32" s="432">
        <f t="shared" si="0"/>
        <v>0</v>
      </c>
      <c r="H32" s="432"/>
      <c r="I32" s="432"/>
      <c r="J32" s="432"/>
      <c r="K32" s="432"/>
      <c r="L32" s="432"/>
      <c r="M32" s="433"/>
      <c r="N32" s="419" t="e">
        <f t="shared" si="3"/>
        <v>#DIV/0!</v>
      </c>
    </row>
    <row r="33" spans="1:14" ht="16.5" hidden="1" customHeight="1" x14ac:dyDescent="0.25">
      <c r="A33" s="422">
        <v>5021</v>
      </c>
      <c r="B33" s="423">
        <v>714500</v>
      </c>
      <c r="C33" s="424" t="s">
        <v>44</v>
      </c>
      <c r="D33" s="424"/>
      <c r="E33" s="432"/>
      <c r="F33" s="432"/>
      <c r="G33" s="432">
        <f t="shared" si="0"/>
        <v>0</v>
      </c>
      <c r="H33" s="432"/>
      <c r="I33" s="432"/>
      <c r="J33" s="432"/>
      <c r="K33" s="432"/>
      <c r="L33" s="432"/>
      <c r="M33" s="433"/>
      <c r="N33" s="419" t="e">
        <f t="shared" si="3"/>
        <v>#DIV/0!</v>
      </c>
    </row>
    <row r="34" spans="1:14" ht="16.5" hidden="1" customHeight="1" x14ac:dyDescent="0.25">
      <c r="A34" s="422">
        <v>5022</v>
      </c>
      <c r="B34" s="423">
        <v>714600</v>
      </c>
      <c r="C34" s="424" t="s">
        <v>45</v>
      </c>
      <c r="D34" s="424"/>
      <c r="E34" s="432"/>
      <c r="F34" s="432"/>
      <c r="G34" s="432">
        <f t="shared" si="0"/>
        <v>0</v>
      </c>
      <c r="H34" s="432"/>
      <c r="I34" s="432"/>
      <c r="J34" s="432"/>
      <c r="K34" s="432"/>
      <c r="L34" s="432"/>
      <c r="M34" s="433"/>
      <c r="N34" s="419" t="e">
        <f t="shared" si="3"/>
        <v>#DIV/0!</v>
      </c>
    </row>
    <row r="35" spans="1:14" ht="16.5" hidden="1" customHeight="1" x14ac:dyDescent="0.25">
      <c r="A35" s="505">
        <v>5023</v>
      </c>
      <c r="B35" s="506">
        <v>715000</v>
      </c>
      <c r="C35" s="416" t="s">
        <v>46</v>
      </c>
      <c r="D35" s="416">
        <f>SUM(D36:D41)</f>
        <v>0</v>
      </c>
      <c r="E35" s="420">
        <f>SUM(E36:E41)</f>
        <v>0</v>
      </c>
      <c r="F35" s="420">
        <f>SUM(F36:F41)</f>
        <v>0</v>
      </c>
      <c r="G35" s="420">
        <f t="shared" si="0"/>
        <v>0</v>
      </c>
      <c r="H35" s="420">
        <f t="shared" ref="H35:M35" si="9">SUM(H36:H41)</f>
        <v>0</v>
      </c>
      <c r="I35" s="420">
        <f t="shared" si="9"/>
        <v>0</v>
      </c>
      <c r="J35" s="420">
        <f t="shared" si="9"/>
        <v>0</v>
      </c>
      <c r="K35" s="420">
        <f t="shared" si="9"/>
        <v>0</v>
      </c>
      <c r="L35" s="420">
        <f t="shared" si="9"/>
        <v>0</v>
      </c>
      <c r="M35" s="421">
        <f t="shared" si="9"/>
        <v>0</v>
      </c>
      <c r="N35" s="419" t="e">
        <f t="shared" si="3"/>
        <v>#DIV/0!</v>
      </c>
    </row>
    <row r="36" spans="1:14" ht="16.5" hidden="1" customHeight="1" x14ac:dyDescent="0.25">
      <c r="A36" s="422">
        <v>5024</v>
      </c>
      <c r="B36" s="423">
        <v>715100</v>
      </c>
      <c r="C36" s="424" t="s">
        <v>47</v>
      </c>
      <c r="D36" s="424"/>
      <c r="E36" s="432"/>
      <c r="F36" s="432"/>
      <c r="G36" s="432">
        <f t="shared" si="0"/>
        <v>0</v>
      </c>
      <c r="H36" s="432"/>
      <c r="I36" s="432"/>
      <c r="J36" s="432"/>
      <c r="K36" s="432"/>
      <c r="L36" s="432"/>
      <c r="M36" s="433"/>
      <c r="N36" s="419" t="e">
        <f t="shared" si="3"/>
        <v>#DIV/0!</v>
      </c>
    </row>
    <row r="37" spans="1:14" ht="16.5" hidden="1" customHeight="1" x14ac:dyDescent="0.25">
      <c r="A37" s="422">
        <v>5025</v>
      </c>
      <c r="B37" s="423">
        <v>715200</v>
      </c>
      <c r="C37" s="424" t="s">
        <v>48</v>
      </c>
      <c r="D37" s="424"/>
      <c r="E37" s="432"/>
      <c r="F37" s="432"/>
      <c r="G37" s="432">
        <f t="shared" si="0"/>
        <v>0</v>
      </c>
      <c r="H37" s="432"/>
      <c r="I37" s="432"/>
      <c r="J37" s="432"/>
      <c r="K37" s="432"/>
      <c r="L37" s="432"/>
      <c r="M37" s="433"/>
      <c r="N37" s="419" t="e">
        <f t="shared" si="3"/>
        <v>#DIV/0!</v>
      </c>
    </row>
    <row r="38" spans="1:14" ht="16.5" hidden="1" customHeight="1" x14ac:dyDescent="0.25">
      <c r="A38" s="422">
        <v>5026</v>
      </c>
      <c r="B38" s="423">
        <v>715300</v>
      </c>
      <c r="C38" s="424" t="s">
        <v>49</v>
      </c>
      <c r="D38" s="424"/>
      <c r="E38" s="432"/>
      <c r="F38" s="432"/>
      <c r="G38" s="432">
        <f t="shared" si="0"/>
        <v>0</v>
      </c>
      <c r="H38" s="432"/>
      <c r="I38" s="432"/>
      <c r="J38" s="432"/>
      <c r="K38" s="432"/>
      <c r="L38" s="432"/>
      <c r="M38" s="433"/>
      <c r="N38" s="419" t="e">
        <f t="shared" si="3"/>
        <v>#DIV/0!</v>
      </c>
    </row>
    <row r="39" spans="1:14" ht="16.5" hidden="1" customHeight="1" x14ac:dyDescent="0.25">
      <c r="A39" s="422">
        <v>5027</v>
      </c>
      <c r="B39" s="423">
        <v>715400</v>
      </c>
      <c r="C39" s="424" t="s">
        <v>50</v>
      </c>
      <c r="D39" s="424"/>
      <c r="E39" s="432"/>
      <c r="F39" s="432"/>
      <c r="G39" s="432">
        <f t="shared" si="0"/>
        <v>0</v>
      </c>
      <c r="H39" s="432"/>
      <c r="I39" s="432"/>
      <c r="J39" s="432"/>
      <c r="K39" s="432"/>
      <c r="L39" s="432"/>
      <c r="M39" s="433"/>
      <c r="N39" s="419" t="e">
        <f t="shared" si="3"/>
        <v>#DIV/0!</v>
      </c>
    </row>
    <row r="40" spans="1:14" ht="16.5" hidden="1" customHeight="1" x14ac:dyDescent="0.25">
      <c r="A40" s="422">
        <v>5028</v>
      </c>
      <c r="B40" s="423">
        <v>715500</v>
      </c>
      <c r="C40" s="424" t="s">
        <v>51</v>
      </c>
      <c r="D40" s="424"/>
      <c r="E40" s="432"/>
      <c r="F40" s="432"/>
      <c r="G40" s="432">
        <f t="shared" si="0"/>
        <v>0</v>
      </c>
      <c r="H40" s="432"/>
      <c r="I40" s="432"/>
      <c r="J40" s="432"/>
      <c r="K40" s="432"/>
      <c r="L40" s="432"/>
      <c r="M40" s="433"/>
      <c r="N40" s="419" t="e">
        <f t="shared" si="3"/>
        <v>#DIV/0!</v>
      </c>
    </row>
    <row r="41" spans="1:14" ht="16.5" hidden="1" customHeight="1" x14ac:dyDescent="0.25">
      <c r="A41" s="422">
        <v>5029</v>
      </c>
      <c r="B41" s="423">
        <v>715600</v>
      </c>
      <c r="C41" s="424" t="s">
        <v>52</v>
      </c>
      <c r="D41" s="424"/>
      <c r="E41" s="432"/>
      <c r="F41" s="432"/>
      <c r="G41" s="432">
        <f t="shared" si="0"/>
        <v>0</v>
      </c>
      <c r="H41" s="432"/>
      <c r="I41" s="432"/>
      <c r="J41" s="432"/>
      <c r="K41" s="432"/>
      <c r="L41" s="432"/>
      <c r="M41" s="433"/>
      <c r="N41" s="419" t="e">
        <f t="shared" si="3"/>
        <v>#DIV/0!</v>
      </c>
    </row>
    <row r="42" spans="1:14" ht="16.5" hidden="1" customHeight="1" x14ac:dyDescent="0.25">
      <c r="A42" s="505">
        <v>5030</v>
      </c>
      <c r="B42" s="506">
        <v>716000</v>
      </c>
      <c r="C42" s="416" t="s">
        <v>53</v>
      </c>
      <c r="D42" s="416">
        <f>D43+D44</f>
        <v>0</v>
      </c>
      <c r="E42" s="420">
        <f>E43+E44</f>
        <v>0</v>
      </c>
      <c r="F42" s="420">
        <f>F43+F44</f>
        <v>0</v>
      </c>
      <c r="G42" s="420">
        <f t="shared" si="0"/>
        <v>0</v>
      </c>
      <c r="H42" s="420">
        <f t="shared" ref="H42:M42" si="10">H43+H44</f>
        <v>0</v>
      </c>
      <c r="I42" s="420">
        <f t="shared" si="10"/>
        <v>0</v>
      </c>
      <c r="J42" s="420">
        <f t="shared" si="10"/>
        <v>0</v>
      </c>
      <c r="K42" s="420">
        <f t="shared" si="10"/>
        <v>0</v>
      </c>
      <c r="L42" s="420">
        <f t="shared" si="10"/>
        <v>0</v>
      </c>
      <c r="M42" s="421">
        <f t="shared" si="10"/>
        <v>0</v>
      </c>
      <c r="N42" s="419" t="e">
        <f t="shared" si="3"/>
        <v>#DIV/0!</v>
      </c>
    </row>
    <row r="43" spans="1:14" ht="16.5" hidden="1" customHeight="1" x14ac:dyDescent="0.25">
      <c r="A43" s="422">
        <v>5031</v>
      </c>
      <c r="B43" s="423">
        <v>716100</v>
      </c>
      <c r="C43" s="424" t="s">
        <v>54</v>
      </c>
      <c r="D43" s="424"/>
      <c r="E43" s="432"/>
      <c r="F43" s="432"/>
      <c r="G43" s="432">
        <f t="shared" si="0"/>
        <v>0</v>
      </c>
      <c r="H43" s="432"/>
      <c r="I43" s="432"/>
      <c r="J43" s="432"/>
      <c r="K43" s="432"/>
      <c r="L43" s="432"/>
      <c r="M43" s="433"/>
      <c r="N43" s="419" t="e">
        <f t="shared" si="3"/>
        <v>#DIV/0!</v>
      </c>
    </row>
    <row r="44" spans="1:14" ht="16.5" hidden="1" customHeight="1" x14ac:dyDescent="0.25">
      <c r="A44" s="422">
        <v>5032</v>
      </c>
      <c r="B44" s="423">
        <v>716200</v>
      </c>
      <c r="C44" s="424" t="s">
        <v>55</v>
      </c>
      <c r="D44" s="424"/>
      <c r="E44" s="432"/>
      <c r="F44" s="432"/>
      <c r="G44" s="432">
        <f t="shared" si="0"/>
        <v>0</v>
      </c>
      <c r="H44" s="432"/>
      <c r="I44" s="432"/>
      <c r="J44" s="432"/>
      <c r="K44" s="432"/>
      <c r="L44" s="432"/>
      <c r="M44" s="433"/>
      <c r="N44" s="419" t="e">
        <f t="shared" si="3"/>
        <v>#DIV/0!</v>
      </c>
    </row>
    <row r="45" spans="1:14" ht="16.5" hidden="1" customHeight="1" x14ac:dyDescent="0.25">
      <c r="A45" s="505">
        <v>5033</v>
      </c>
      <c r="B45" s="506">
        <v>717000</v>
      </c>
      <c r="C45" s="416" t="s">
        <v>56</v>
      </c>
      <c r="D45" s="416">
        <f>SUM(D50:D55)</f>
        <v>0</v>
      </c>
      <c r="E45" s="420">
        <f>SUM(E50:E55)</f>
        <v>0</v>
      </c>
      <c r="F45" s="420">
        <f>SUM(F50:F55)</f>
        <v>0</v>
      </c>
      <c r="G45" s="420">
        <f t="shared" si="0"/>
        <v>0</v>
      </c>
      <c r="H45" s="420">
        <f t="shared" ref="H45:M45" si="11">SUM(H50:H55)</f>
        <v>0</v>
      </c>
      <c r="I45" s="420">
        <f t="shared" si="11"/>
        <v>0</v>
      </c>
      <c r="J45" s="420">
        <f t="shared" si="11"/>
        <v>0</v>
      </c>
      <c r="K45" s="420">
        <f t="shared" si="11"/>
        <v>0</v>
      </c>
      <c r="L45" s="420">
        <f t="shared" si="11"/>
        <v>0</v>
      </c>
      <c r="M45" s="421">
        <f t="shared" si="11"/>
        <v>0</v>
      </c>
      <c r="N45" s="419" t="e">
        <f t="shared" si="3"/>
        <v>#DIV/0!</v>
      </c>
    </row>
    <row r="46" spans="1:14" ht="16.5" hidden="1" customHeight="1" x14ac:dyDescent="0.25">
      <c r="A46" s="717" t="s">
        <v>0</v>
      </c>
      <c r="B46" s="718" t="s">
        <v>1</v>
      </c>
      <c r="C46" s="719" t="s">
        <v>2</v>
      </c>
      <c r="D46" s="508" t="s">
        <v>3</v>
      </c>
      <c r="E46" s="730" t="s">
        <v>3</v>
      </c>
      <c r="F46" s="510" t="s">
        <v>3</v>
      </c>
      <c r="G46" s="730" t="s">
        <v>4</v>
      </c>
      <c r="H46" s="730"/>
      <c r="I46" s="730"/>
      <c r="J46" s="730"/>
      <c r="K46" s="730"/>
      <c r="L46" s="730"/>
      <c r="M46" s="731"/>
      <c r="N46" s="419" t="e">
        <f t="shared" si="3"/>
        <v>#VALUE!</v>
      </c>
    </row>
    <row r="47" spans="1:14" ht="16.5" hidden="1" customHeight="1" x14ac:dyDescent="0.25">
      <c r="A47" s="717"/>
      <c r="B47" s="718"/>
      <c r="C47" s="719"/>
      <c r="D47" s="508"/>
      <c r="E47" s="730"/>
      <c r="F47" s="510"/>
      <c r="G47" s="719" t="s">
        <v>5</v>
      </c>
      <c r="H47" s="730" t="s">
        <v>6</v>
      </c>
      <c r="I47" s="730"/>
      <c r="J47" s="730"/>
      <c r="K47" s="730"/>
      <c r="L47" s="730" t="s">
        <v>7</v>
      </c>
      <c r="M47" s="731" t="s">
        <v>8</v>
      </c>
      <c r="N47" s="419" t="e">
        <f t="shared" si="3"/>
        <v>#VALUE!</v>
      </c>
    </row>
    <row r="48" spans="1:14" ht="16.5" hidden="1" customHeight="1" x14ac:dyDescent="0.25">
      <c r="A48" s="717"/>
      <c r="B48" s="718"/>
      <c r="C48" s="719"/>
      <c r="D48" s="508"/>
      <c r="E48" s="730"/>
      <c r="F48" s="510"/>
      <c r="G48" s="719"/>
      <c r="H48" s="510" t="s">
        <v>9</v>
      </c>
      <c r="I48" s="510" t="s">
        <v>10</v>
      </c>
      <c r="J48" s="510" t="s">
        <v>11</v>
      </c>
      <c r="K48" s="510" t="s">
        <v>12</v>
      </c>
      <c r="L48" s="730"/>
      <c r="M48" s="731"/>
      <c r="N48" s="419" t="e">
        <f t="shared" si="3"/>
        <v>#DIV/0!</v>
      </c>
    </row>
    <row r="49" spans="1:14" ht="16.5" hidden="1" customHeight="1" x14ac:dyDescent="0.25">
      <c r="A49" s="428" t="s">
        <v>18</v>
      </c>
      <c r="B49" s="507" t="s">
        <v>19</v>
      </c>
      <c r="C49" s="429" t="s">
        <v>20</v>
      </c>
      <c r="D49" s="429" t="s">
        <v>21</v>
      </c>
      <c r="E49" s="429" t="s">
        <v>21</v>
      </c>
      <c r="F49" s="429" t="s">
        <v>21</v>
      </c>
      <c r="G49" s="429" t="s">
        <v>22</v>
      </c>
      <c r="H49" s="429" t="s">
        <v>23</v>
      </c>
      <c r="I49" s="429" t="s">
        <v>24</v>
      </c>
      <c r="J49" s="429" t="s">
        <v>25</v>
      </c>
      <c r="K49" s="429" t="s">
        <v>26</v>
      </c>
      <c r="L49" s="429" t="s">
        <v>27</v>
      </c>
      <c r="M49" s="434" t="s">
        <v>28</v>
      </c>
      <c r="N49" s="419">
        <f t="shared" si="3"/>
        <v>1.25</v>
      </c>
    </row>
    <row r="50" spans="1:14" ht="16.5" hidden="1" customHeight="1" x14ac:dyDescent="0.25">
      <c r="A50" s="422">
        <v>5034</v>
      </c>
      <c r="B50" s="423">
        <v>717100</v>
      </c>
      <c r="C50" s="424" t="s">
        <v>57</v>
      </c>
      <c r="D50" s="424"/>
      <c r="E50" s="432"/>
      <c r="F50" s="432"/>
      <c r="G50" s="432">
        <f t="shared" si="0"/>
        <v>0</v>
      </c>
      <c r="H50" s="432"/>
      <c r="I50" s="432"/>
      <c r="J50" s="432"/>
      <c r="K50" s="432"/>
      <c r="L50" s="432"/>
      <c r="M50" s="433"/>
      <c r="N50" s="419" t="e">
        <f t="shared" si="3"/>
        <v>#DIV/0!</v>
      </c>
    </row>
    <row r="51" spans="1:14" ht="16.5" hidden="1" customHeight="1" x14ac:dyDescent="0.25">
      <c r="A51" s="422">
        <v>5035</v>
      </c>
      <c r="B51" s="423">
        <v>717200</v>
      </c>
      <c r="C51" s="424" t="s">
        <v>58</v>
      </c>
      <c r="D51" s="424"/>
      <c r="E51" s="432"/>
      <c r="F51" s="432"/>
      <c r="G51" s="432">
        <f t="shared" si="0"/>
        <v>0</v>
      </c>
      <c r="H51" s="432"/>
      <c r="I51" s="432"/>
      <c r="J51" s="432"/>
      <c r="K51" s="432"/>
      <c r="L51" s="432"/>
      <c r="M51" s="433"/>
      <c r="N51" s="419" t="e">
        <f t="shared" si="3"/>
        <v>#DIV/0!</v>
      </c>
    </row>
    <row r="52" spans="1:14" ht="16.5" hidden="1" customHeight="1" x14ac:dyDescent="0.25">
      <c r="A52" s="422">
        <v>5036</v>
      </c>
      <c r="B52" s="423">
        <v>717300</v>
      </c>
      <c r="C52" s="424" t="s">
        <v>59</v>
      </c>
      <c r="D52" s="424"/>
      <c r="E52" s="432"/>
      <c r="F52" s="432"/>
      <c r="G52" s="432">
        <f t="shared" si="0"/>
        <v>0</v>
      </c>
      <c r="H52" s="432"/>
      <c r="I52" s="432"/>
      <c r="J52" s="432"/>
      <c r="K52" s="432"/>
      <c r="L52" s="432"/>
      <c r="M52" s="433"/>
      <c r="N52" s="419" t="e">
        <f t="shared" si="3"/>
        <v>#DIV/0!</v>
      </c>
    </row>
    <row r="53" spans="1:14" ht="16.5" hidden="1" customHeight="1" x14ac:dyDescent="0.25">
      <c r="A53" s="422">
        <v>5037</v>
      </c>
      <c r="B53" s="423">
        <v>717400</v>
      </c>
      <c r="C53" s="424" t="s">
        <v>60</v>
      </c>
      <c r="D53" s="424"/>
      <c r="E53" s="432"/>
      <c r="F53" s="432"/>
      <c r="G53" s="432">
        <f t="shared" si="0"/>
        <v>0</v>
      </c>
      <c r="H53" s="432"/>
      <c r="I53" s="432"/>
      <c r="J53" s="432"/>
      <c r="K53" s="432"/>
      <c r="L53" s="432"/>
      <c r="M53" s="433"/>
      <c r="N53" s="419" t="e">
        <f t="shared" si="3"/>
        <v>#DIV/0!</v>
      </c>
    </row>
    <row r="54" spans="1:14" ht="16.5" hidden="1" customHeight="1" x14ac:dyDescent="0.25">
      <c r="A54" s="422">
        <v>5038</v>
      </c>
      <c r="B54" s="423">
        <v>717500</v>
      </c>
      <c r="C54" s="424" t="s">
        <v>61</v>
      </c>
      <c r="D54" s="424"/>
      <c r="E54" s="432"/>
      <c r="F54" s="432"/>
      <c r="G54" s="432">
        <f t="shared" si="0"/>
        <v>0</v>
      </c>
      <c r="H54" s="432"/>
      <c r="I54" s="432"/>
      <c r="J54" s="432"/>
      <c r="K54" s="432"/>
      <c r="L54" s="432"/>
      <c r="M54" s="433"/>
      <c r="N54" s="419" t="e">
        <f t="shared" si="3"/>
        <v>#DIV/0!</v>
      </c>
    </row>
    <row r="55" spans="1:14" ht="16.5" hidden="1" customHeight="1" x14ac:dyDescent="0.25">
      <c r="A55" s="422">
        <v>5039</v>
      </c>
      <c r="B55" s="423">
        <v>717600</v>
      </c>
      <c r="C55" s="424" t="s">
        <v>62</v>
      </c>
      <c r="D55" s="424"/>
      <c r="E55" s="432"/>
      <c r="F55" s="432"/>
      <c r="G55" s="432">
        <f t="shared" si="0"/>
        <v>0</v>
      </c>
      <c r="H55" s="432"/>
      <c r="I55" s="432"/>
      <c r="J55" s="432"/>
      <c r="K55" s="432"/>
      <c r="L55" s="432"/>
      <c r="M55" s="433"/>
      <c r="N55" s="419" t="e">
        <f t="shared" si="3"/>
        <v>#DIV/0!</v>
      </c>
    </row>
    <row r="56" spans="1:14" ht="16.5" hidden="1" customHeight="1" x14ac:dyDescent="0.25">
      <c r="A56" s="505">
        <v>5040</v>
      </c>
      <c r="B56" s="506">
        <v>719000</v>
      </c>
      <c r="C56" s="416" t="s">
        <v>63</v>
      </c>
      <c r="D56" s="416">
        <f>SUM(D57:D62)</f>
        <v>0</v>
      </c>
      <c r="E56" s="420">
        <f>SUM(E57:E62)</f>
        <v>0</v>
      </c>
      <c r="F56" s="420">
        <f>SUM(F57:F62)</f>
        <v>0</v>
      </c>
      <c r="G56" s="420">
        <f t="shared" si="0"/>
        <v>0</v>
      </c>
      <c r="H56" s="420">
        <f t="shared" ref="H56:M56" si="12">SUM(H57:H62)</f>
        <v>0</v>
      </c>
      <c r="I56" s="420">
        <f t="shared" si="12"/>
        <v>0</v>
      </c>
      <c r="J56" s="420">
        <f t="shared" si="12"/>
        <v>0</v>
      </c>
      <c r="K56" s="420">
        <f t="shared" si="12"/>
        <v>0</v>
      </c>
      <c r="L56" s="420">
        <f t="shared" si="12"/>
        <v>0</v>
      </c>
      <c r="M56" s="421">
        <f t="shared" si="12"/>
        <v>0</v>
      </c>
      <c r="N56" s="419" t="e">
        <f t="shared" si="3"/>
        <v>#DIV/0!</v>
      </c>
    </row>
    <row r="57" spans="1:14" ht="16.5" hidden="1" customHeight="1" x14ac:dyDescent="0.25">
      <c r="A57" s="422">
        <v>5041</v>
      </c>
      <c r="B57" s="423">
        <v>719100</v>
      </c>
      <c r="C57" s="424" t="s">
        <v>64</v>
      </c>
      <c r="D57" s="424"/>
      <c r="E57" s="432"/>
      <c r="F57" s="432"/>
      <c r="G57" s="432">
        <f t="shared" si="0"/>
        <v>0</v>
      </c>
      <c r="H57" s="432"/>
      <c r="I57" s="432"/>
      <c r="J57" s="432"/>
      <c r="K57" s="432"/>
      <c r="L57" s="432"/>
      <c r="M57" s="433"/>
      <c r="N57" s="419" t="e">
        <f t="shared" si="3"/>
        <v>#DIV/0!</v>
      </c>
    </row>
    <row r="58" spans="1:14" ht="16.5" hidden="1" customHeight="1" x14ac:dyDescent="0.25">
      <c r="A58" s="422">
        <v>5042</v>
      </c>
      <c r="B58" s="423">
        <v>719200</v>
      </c>
      <c r="C58" s="424" t="s">
        <v>65</v>
      </c>
      <c r="D58" s="424"/>
      <c r="E58" s="432"/>
      <c r="F58" s="432"/>
      <c r="G58" s="432">
        <f t="shared" si="0"/>
        <v>0</v>
      </c>
      <c r="H58" s="432"/>
      <c r="I58" s="432"/>
      <c r="J58" s="432"/>
      <c r="K58" s="432"/>
      <c r="L58" s="432"/>
      <c r="M58" s="433"/>
      <c r="N58" s="419" t="e">
        <f t="shared" si="3"/>
        <v>#DIV/0!</v>
      </c>
    </row>
    <row r="59" spans="1:14" ht="16.5" hidden="1" customHeight="1" x14ac:dyDescent="0.25">
      <c r="A59" s="422">
        <v>5043</v>
      </c>
      <c r="B59" s="423">
        <v>719300</v>
      </c>
      <c r="C59" s="424" t="s">
        <v>66</v>
      </c>
      <c r="D59" s="424"/>
      <c r="E59" s="432"/>
      <c r="F59" s="432"/>
      <c r="G59" s="432">
        <f t="shared" si="0"/>
        <v>0</v>
      </c>
      <c r="H59" s="432"/>
      <c r="I59" s="432"/>
      <c r="J59" s="432"/>
      <c r="K59" s="432"/>
      <c r="L59" s="432"/>
      <c r="M59" s="433"/>
      <c r="N59" s="419" t="e">
        <f t="shared" si="3"/>
        <v>#DIV/0!</v>
      </c>
    </row>
    <row r="60" spans="1:14" ht="16.5" hidden="1" customHeight="1" x14ac:dyDescent="0.25">
      <c r="A60" s="422">
        <v>5044</v>
      </c>
      <c r="B60" s="423">
        <v>719400</v>
      </c>
      <c r="C60" s="424" t="s">
        <v>67</v>
      </c>
      <c r="D60" s="424"/>
      <c r="E60" s="432"/>
      <c r="F60" s="432"/>
      <c r="G60" s="432">
        <f t="shared" si="0"/>
        <v>0</v>
      </c>
      <c r="H60" s="432"/>
      <c r="I60" s="432"/>
      <c r="J60" s="432"/>
      <c r="K60" s="432"/>
      <c r="L60" s="432"/>
      <c r="M60" s="433"/>
      <c r="N60" s="419" t="e">
        <f t="shared" si="3"/>
        <v>#DIV/0!</v>
      </c>
    </row>
    <row r="61" spans="1:14" ht="16.5" hidden="1" customHeight="1" x14ac:dyDescent="0.25">
      <c r="A61" s="422">
        <v>5045</v>
      </c>
      <c r="B61" s="423">
        <v>719500</v>
      </c>
      <c r="C61" s="424" t="s">
        <v>68</v>
      </c>
      <c r="D61" s="424"/>
      <c r="E61" s="432"/>
      <c r="F61" s="432"/>
      <c r="G61" s="432">
        <f t="shared" si="0"/>
        <v>0</v>
      </c>
      <c r="H61" s="432"/>
      <c r="I61" s="432"/>
      <c r="J61" s="432"/>
      <c r="K61" s="432"/>
      <c r="L61" s="432"/>
      <c r="M61" s="433"/>
      <c r="N61" s="419" t="e">
        <f t="shared" si="3"/>
        <v>#DIV/0!</v>
      </c>
    </row>
    <row r="62" spans="1:14" ht="16.5" hidden="1" customHeight="1" x14ac:dyDescent="0.25">
      <c r="A62" s="422">
        <v>5046</v>
      </c>
      <c r="B62" s="423">
        <v>719600</v>
      </c>
      <c r="C62" s="424" t="s">
        <v>69</v>
      </c>
      <c r="D62" s="424"/>
      <c r="E62" s="432"/>
      <c r="F62" s="432"/>
      <c r="G62" s="432">
        <f t="shared" si="0"/>
        <v>0</v>
      </c>
      <c r="H62" s="432"/>
      <c r="I62" s="432"/>
      <c r="J62" s="432"/>
      <c r="K62" s="432"/>
      <c r="L62" s="432"/>
      <c r="M62" s="433"/>
      <c r="N62" s="419" t="e">
        <f t="shared" si="3"/>
        <v>#DIV/0!</v>
      </c>
    </row>
    <row r="63" spans="1:14" ht="16.5" hidden="1" customHeight="1" x14ac:dyDescent="0.25">
      <c r="A63" s="505">
        <v>5047</v>
      </c>
      <c r="B63" s="506">
        <v>720000</v>
      </c>
      <c r="C63" s="416" t="s">
        <v>70</v>
      </c>
      <c r="D63" s="416">
        <f>D64+D69</f>
        <v>0</v>
      </c>
      <c r="E63" s="417">
        <f>E64+E69</f>
        <v>0</v>
      </c>
      <c r="F63" s="417">
        <f>F64+F69</f>
        <v>0</v>
      </c>
      <c r="G63" s="417">
        <f t="shared" si="0"/>
        <v>0</v>
      </c>
      <c r="H63" s="417">
        <f t="shared" ref="H63:M63" si="13">H64+H69</f>
        <v>0</v>
      </c>
      <c r="I63" s="417">
        <f t="shared" si="13"/>
        <v>0</v>
      </c>
      <c r="J63" s="417">
        <f t="shared" si="13"/>
        <v>0</v>
      </c>
      <c r="K63" s="417">
        <f t="shared" si="13"/>
        <v>0</v>
      </c>
      <c r="L63" s="417">
        <f t="shared" si="13"/>
        <v>0</v>
      </c>
      <c r="M63" s="418">
        <f t="shared" si="13"/>
        <v>0</v>
      </c>
      <c r="N63" s="419" t="e">
        <f t="shared" si="3"/>
        <v>#DIV/0!</v>
      </c>
    </row>
    <row r="64" spans="1:14" ht="16.5" hidden="1" customHeight="1" x14ac:dyDescent="0.25">
      <c r="A64" s="505">
        <v>5048</v>
      </c>
      <c r="B64" s="506">
        <v>721000</v>
      </c>
      <c r="C64" s="416" t="s">
        <v>71</v>
      </c>
      <c r="D64" s="416">
        <f>SUM(D65:D68)</f>
        <v>0</v>
      </c>
      <c r="E64" s="417">
        <f>SUM(E65:E68)</f>
        <v>0</v>
      </c>
      <c r="F64" s="417">
        <f>SUM(F65:F68)</f>
        <v>0</v>
      </c>
      <c r="G64" s="417">
        <f t="shared" si="0"/>
        <v>0</v>
      </c>
      <c r="H64" s="417">
        <f t="shared" ref="H64:M64" si="14">SUM(H65:H68)</f>
        <v>0</v>
      </c>
      <c r="I64" s="417">
        <f t="shared" si="14"/>
        <v>0</v>
      </c>
      <c r="J64" s="417">
        <f t="shared" si="14"/>
        <v>0</v>
      </c>
      <c r="K64" s="417">
        <f t="shared" si="14"/>
        <v>0</v>
      </c>
      <c r="L64" s="417">
        <f t="shared" si="14"/>
        <v>0</v>
      </c>
      <c r="M64" s="418">
        <f t="shared" si="14"/>
        <v>0</v>
      </c>
      <c r="N64" s="419" t="e">
        <f t="shared" si="3"/>
        <v>#DIV/0!</v>
      </c>
    </row>
    <row r="65" spans="1:14" ht="16.5" hidden="1" customHeight="1" x14ac:dyDescent="0.25">
      <c r="A65" s="422">
        <v>5049</v>
      </c>
      <c r="B65" s="423">
        <v>721100</v>
      </c>
      <c r="C65" s="424" t="s">
        <v>72</v>
      </c>
      <c r="D65" s="424"/>
      <c r="E65" s="435"/>
      <c r="F65" s="435"/>
      <c r="G65" s="436">
        <f t="shared" si="0"/>
        <v>0</v>
      </c>
      <c r="H65" s="435"/>
      <c r="I65" s="435"/>
      <c r="J65" s="435"/>
      <c r="K65" s="435"/>
      <c r="L65" s="435"/>
      <c r="M65" s="437"/>
      <c r="N65" s="419" t="e">
        <f t="shared" si="3"/>
        <v>#DIV/0!</v>
      </c>
    </row>
    <row r="66" spans="1:14" ht="16.5" hidden="1" customHeight="1" x14ac:dyDescent="0.25">
      <c r="A66" s="422">
        <v>5050</v>
      </c>
      <c r="B66" s="423">
        <v>721200</v>
      </c>
      <c r="C66" s="424" t="s">
        <v>73</v>
      </c>
      <c r="D66" s="424"/>
      <c r="E66" s="435"/>
      <c r="F66" s="435"/>
      <c r="G66" s="436">
        <f t="shared" si="0"/>
        <v>0</v>
      </c>
      <c r="H66" s="435"/>
      <c r="I66" s="435"/>
      <c r="J66" s="435"/>
      <c r="K66" s="435"/>
      <c r="L66" s="435"/>
      <c r="M66" s="437"/>
      <c r="N66" s="419" t="e">
        <f t="shared" si="3"/>
        <v>#DIV/0!</v>
      </c>
    </row>
    <row r="67" spans="1:14" ht="16.5" hidden="1" customHeight="1" x14ac:dyDescent="0.25">
      <c r="A67" s="422">
        <v>5051</v>
      </c>
      <c r="B67" s="423">
        <v>721300</v>
      </c>
      <c r="C67" s="424" t="s">
        <v>74</v>
      </c>
      <c r="D67" s="424"/>
      <c r="E67" s="435"/>
      <c r="F67" s="435"/>
      <c r="G67" s="436">
        <f t="shared" si="0"/>
        <v>0</v>
      </c>
      <c r="H67" s="435"/>
      <c r="I67" s="435"/>
      <c r="J67" s="435"/>
      <c r="K67" s="435"/>
      <c r="L67" s="435"/>
      <c r="M67" s="437"/>
      <c r="N67" s="419" t="e">
        <f t="shared" si="3"/>
        <v>#DIV/0!</v>
      </c>
    </row>
    <row r="68" spans="1:14" ht="16.5" hidden="1" customHeight="1" x14ac:dyDescent="0.25">
      <c r="A68" s="422">
        <v>5052</v>
      </c>
      <c r="B68" s="423">
        <v>721400</v>
      </c>
      <c r="C68" s="424" t="s">
        <v>75</v>
      </c>
      <c r="D68" s="424"/>
      <c r="E68" s="435"/>
      <c r="F68" s="435"/>
      <c r="G68" s="436">
        <f t="shared" si="0"/>
        <v>0</v>
      </c>
      <c r="H68" s="435"/>
      <c r="I68" s="435"/>
      <c r="J68" s="435"/>
      <c r="K68" s="435"/>
      <c r="L68" s="435"/>
      <c r="M68" s="437"/>
      <c r="N68" s="419" t="e">
        <f t="shared" si="3"/>
        <v>#DIV/0!</v>
      </c>
    </row>
    <row r="69" spans="1:14" ht="16.5" hidden="1" customHeight="1" x14ac:dyDescent="0.25">
      <c r="A69" s="505">
        <v>5053</v>
      </c>
      <c r="B69" s="506">
        <v>722000</v>
      </c>
      <c r="C69" s="416" t="s">
        <v>76</v>
      </c>
      <c r="D69" s="416">
        <f>SUM(D70:D72)</f>
        <v>0</v>
      </c>
      <c r="E69" s="417">
        <f>SUM(E70:E72)</f>
        <v>0</v>
      </c>
      <c r="F69" s="417">
        <f>SUM(F70:F72)</f>
        <v>0</v>
      </c>
      <c r="G69" s="417">
        <f t="shared" si="0"/>
        <v>0</v>
      </c>
      <c r="H69" s="417">
        <f t="shared" ref="H69:M69" si="15">SUM(H70:H72)</f>
        <v>0</v>
      </c>
      <c r="I69" s="417">
        <f t="shared" si="15"/>
        <v>0</v>
      </c>
      <c r="J69" s="417">
        <f t="shared" si="15"/>
        <v>0</v>
      </c>
      <c r="K69" s="417">
        <f t="shared" si="15"/>
        <v>0</v>
      </c>
      <c r="L69" s="417">
        <f t="shared" si="15"/>
        <v>0</v>
      </c>
      <c r="M69" s="418">
        <f t="shared" si="15"/>
        <v>0</v>
      </c>
      <c r="N69" s="419" t="e">
        <f t="shared" si="3"/>
        <v>#DIV/0!</v>
      </c>
    </row>
    <row r="70" spans="1:14" ht="16.5" hidden="1" customHeight="1" x14ac:dyDescent="0.25">
      <c r="A70" s="422">
        <v>5054</v>
      </c>
      <c r="B70" s="423">
        <v>722100</v>
      </c>
      <c r="C70" s="424" t="s">
        <v>77</v>
      </c>
      <c r="D70" s="424"/>
      <c r="E70" s="435"/>
      <c r="F70" s="435"/>
      <c r="G70" s="436">
        <f t="shared" si="0"/>
        <v>0</v>
      </c>
      <c r="H70" s="435"/>
      <c r="I70" s="435"/>
      <c r="J70" s="435"/>
      <c r="K70" s="435"/>
      <c r="L70" s="435"/>
      <c r="M70" s="437"/>
      <c r="N70" s="419" t="e">
        <f t="shared" si="3"/>
        <v>#DIV/0!</v>
      </c>
    </row>
    <row r="71" spans="1:14" ht="16.5" hidden="1" customHeight="1" x14ac:dyDescent="0.25">
      <c r="A71" s="422">
        <v>5055</v>
      </c>
      <c r="B71" s="423">
        <v>722200</v>
      </c>
      <c r="C71" s="424" t="s">
        <v>78</v>
      </c>
      <c r="D71" s="424"/>
      <c r="E71" s="435"/>
      <c r="F71" s="435"/>
      <c r="G71" s="436">
        <f t="shared" si="0"/>
        <v>0</v>
      </c>
      <c r="H71" s="435"/>
      <c r="I71" s="435"/>
      <c r="J71" s="435"/>
      <c r="K71" s="435"/>
      <c r="L71" s="435"/>
      <c r="M71" s="437"/>
      <c r="N71" s="419" t="e">
        <f t="shared" si="3"/>
        <v>#DIV/0!</v>
      </c>
    </row>
    <row r="72" spans="1:14" ht="16.5" hidden="1" customHeight="1" x14ac:dyDescent="0.25">
      <c r="A72" s="422">
        <v>5056</v>
      </c>
      <c r="B72" s="423">
        <v>722300</v>
      </c>
      <c r="C72" s="424" t="s">
        <v>79</v>
      </c>
      <c r="D72" s="424"/>
      <c r="E72" s="435"/>
      <c r="F72" s="435"/>
      <c r="G72" s="436">
        <f t="shared" si="0"/>
        <v>0</v>
      </c>
      <c r="H72" s="435"/>
      <c r="I72" s="435"/>
      <c r="J72" s="435"/>
      <c r="K72" s="435"/>
      <c r="L72" s="435"/>
      <c r="M72" s="437"/>
      <c r="N72" s="419" t="e">
        <f t="shared" si="3"/>
        <v>#DIV/0!</v>
      </c>
    </row>
    <row r="73" spans="1:14" ht="16.5" hidden="1" customHeight="1" x14ac:dyDescent="0.25">
      <c r="A73" s="717" t="s">
        <v>0</v>
      </c>
      <c r="B73" s="718" t="s">
        <v>1</v>
      </c>
      <c r="C73" s="719" t="s">
        <v>2</v>
      </c>
      <c r="D73" s="508" t="s">
        <v>3</v>
      </c>
      <c r="E73" s="714" t="s">
        <v>3</v>
      </c>
      <c r="F73" s="509" t="s">
        <v>3</v>
      </c>
      <c r="G73" s="714" t="s">
        <v>4</v>
      </c>
      <c r="H73" s="714"/>
      <c r="I73" s="714"/>
      <c r="J73" s="714"/>
      <c r="K73" s="714"/>
      <c r="L73" s="714"/>
      <c r="M73" s="722"/>
      <c r="N73" s="419" t="e">
        <f t="shared" si="3"/>
        <v>#VALUE!</v>
      </c>
    </row>
    <row r="74" spans="1:14" ht="16.5" hidden="1" customHeight="1" x14ac:dyDescent="0.25">
      <c r="A74" s="717"/>
      <c r="B74" s="718"/>
      <c r="C74" s="719"/>
      <c r="D74" s="508"/>
      <c r="E74" s="714"/>
      <c r="F74" s="509"/>
      <c r="G74" s="729" t="s">
        <v>5</v>
      </c>
      <c r="H74" s="714" t="s">
        <v>6</v>
      </c>
      <c r="I74" s="714"/>
      <c r="J74" s="714"/>
      <c r="K74" s="714"/>
      <c r="L74" s="714" t="s">
        <v>7</v>
      </c>
      <c r="M74" s="722" t="s">
        <v>8</v>
      </c>
      <c r="N74" s="419" t="e">
        <f t="shared" ref="N74:N137" si="16">G74/F74</f>
        <v>#VALUE!</v>
      </c>
    </row>
    <row r="75" spans="1:14" ht="16.5" hidden="1" customHeight="1" x14ac:dyDescent="0.25">
      <c r="A75" s="717"/>
      <c r="B75" s="718"/>
      <c r="C75" s="719"/>
      <c r="D75" s="508"/>
      <c r="E75" s="714"/>
      <c r="F75" s="509"/>
      <c r="G75" s="729"/>
      <c r="H75" s="509" t="s">
        <v>9</v>
      </c>
      <c r="I75" s="509" t="s">
        <v>10</v>
      </c>
      <c r="J75" s="509" t="s">
        <v>11</v>
      </c>
      <c r="K75" s="509" t="s">
        <v>12</v>
      </c>
      <c r="L75" s="714"/>
      <c r="M75" s="722"/>
      <c r="N75" s="419" t="e">
        <f t="shared" si="16"/>
        <v>#DIV/0!</v>
      </c>
    </row>
    <row r="76" spans="1:14" ht="16.5" hidden="1" customHeight="1" x14ac:dyDescent="0.25">
      <c r="A76" s="428" t="s">
        <v>18</v>
      </c>
      <c r="B76" s="507" t="s">
        <v>19</v>
      </c>
      <c r="C76" s="429" t="s">
        <v>20</v>
      </c>
      <c r="D76" s="429" t="s">
        <v>21</v>
      </c>
      <c r="E76" s="430" t="s">
        <v>21</v>
      </c>
      <c r="F76" s="430" t="s">
        <v>21</v>
      </c>
      <c r="G76" s="430" t="s">
        <v>22</v>
      </c>
      <c r="H76" s="430" t="s">
        <v>23</v>
      </c>
      <c r="I76" s="430" t="s">
        <v>24</v>
      </c>
      <c r="J76" s="430" t="s">
        <v>25</v>
      </c>
      <c r="K76" s="430" t="s">
        <v>26</v>
      </c>
      <c r="L76" s="430" t="s">
        <v>27</v>
      </c>
      <c r="M76" s="431" t="s">
        <v>28</v>
      </c>
      <c r="N76" s="419">
        <f t="shared" si="16"/>
        <v>1.25</v>
      </c>
    </row>
    <row r="77" spans="1:14" ht="16.5" hidden="1" customHeight="1" x14ac:dyDescent="0.25">
      <c r="A77" s="505">
        <v>5057</v>
      </c>
      <c r="B77" s="506">
        <v>730000</v>
      </c>
      <c r="C77" s="416" t="s">
        <v>80</v>
      </c>
      <c r="D77" s="416">
        <f>D78+D81+D86</f>
        <v>0</v>
      </c>
      <c r="E77" s="417">
        <f>E78+E81+E86</f>
        <v>0</v>
      </c>
      <c r="F77" s="417">
        <f>F78+F81+F86</f>
        <v>0</v>
      </c>
      <c r="G77" s="417">
        <f t="shared" ref="G77:G86" si="17">SUM(H77:M77)</f>
        <v>0</v>
      </c>
      <c r="H77" s="417">
        <f t="shared" ref="H77:M77" si="18">H78+H81+H86</f>
        <v>0</v>
      </c>
      <c r="I77" s="417">
        <f t="shared" si="18"/>
        <v>0</v>
      </c>
      <c r="J77" s="417">
        <f t="shared" si="18"/>
        <v>0</v>
      </c>
      <c r="K77" s="417">
        <f t="shared" si="18"/>
        <v>0</v>
      </c>
      <c r="L77" s="417">
        <f t="shared" si="18"/>
        <v>0</v>
      </c>
      <c r="M77" s="418">
        <f t="shared" si="18"/>
        <v>0</v>
      </c>
      <c r="N77" s="419" t="e">
        <f t="shared" si="16"/>
        <v>#DIV/0!</v>
      </c>
    </row>
    <row r="78" spans="1:14" ht="16.5" hidden="1" customHeight="1" x14ac:dyDescent="0.25">
      <c r="A78" s="505">
        <v>5058</v>
      </c>
      <c r="B78" s="506">
        <v>731000</v>
      </c>
      <c r="C78" s="416" t="s">
        <v>81</v>
      </c>
      <c r="D78" s="416">
        <f>D79+D80</f>
        <v>0</v>
      </c>
      <c r="E78" s="417">
        <f>E79+E80</f>
        <v>0</v>
      </c>
      <c r="F78" s="417">
        <f>F79+F80</f>
        <v>0</v>
      </c>
      <c r="G78" s="417">
        <f t="shared" si="17"/>
        <v>0</v>
      </c>
      <c r="H78" s="417">
        <f t="shared" ref="H78:M78" si="19">H79+H80</f>
        <v>0</v>
      </c>
      <c r="I78" s="417">
        <f t="shared" si="19"/>
        <v>0</v>
      </c>
      <c r="J78" s="417">
        <f t="shared" si="19"/>
        <v>0</v>
      </c>
      <c r="K78" s="417">
        <f t="shared" si="19"/>
        <v>0</v>
      </c>
      <c r="L78" s="417">
        <f t="shared" si="19"/>
        <v>0</v>
      </c>
      <c r="M78" s="418">
        <f t="shared" si="19"/>
        <v>0</v>
      </c>
      <c r="N78" s="419" t="e">
        <f t="shared" si="16"/>
        <v>#DIV/0!</v>
      </c>
    </row>
    <row r="79" spans="1:14" ht="16.5" hidden="1" customHeight="1" x14ac:dyDescent="0.25">
      <c r="A79" s="422">
        <v>5059</v>
      </c>
      <c r="B79" s="423">
        <v>731100</v>
      </c>
      <c r="C79" s="424" t="s">
        <v>82</v>
      </c>
      <c r="D79" s="424"/>
      <c r="E79" s="435"/>
      <c r="F79" s="435"/>
      <c r="G79" s="436">
        <f t="shared" si="17"/>
        <v>0</v>
      </c>
      <c r="H79" s="435"/>
      <c r="I79" s="435"/>
      <c r="J79" s="435"/>
      <c r="K79" s="435"/>
      <c r="L79" s="435"/>
      <c r="M79" s="437"/>
      <c r="N79" s="419" t="e">
        <f t="shared" si="16"/>
        <v>#DIV/0!</v>
      </c>
    </row>
    <row r="80" spans="1:14" ht="16.5" hidden="1" customHeight="1" x14ac:dyDescent="0.25">
      <c r="A80" s="422">
        <v>5060</v>
      </c>
      <c r="B80" s="423">
        <v>731200</v>
      </c>
      <c r="C80" s="424" t="s">
        <v>83</v>
      </c>
      <c r="D80" s="424"/>
      <c r="E80" s="435"/>
      <c r="F80" s="435"/>
      <c r="G80" s="436">
        <f t="shared" si="17"/>
        <v>0</v>
      </c>
      <c r="H80" s="435"/>
      <c r="I80" s="435"/>
      <c r="J80" s="435"/>
      <c r="K80" s="435"/>
      <c r="L80" s="435"/>
      <c r="M80" s="437"/>
      <c r="N80" s="419" t="e">
        <f t="shared" si="16"/>
        <v>#DIV/0!</v>
      </c>
    </row>
    <row r="81" spans="1:14" ht="16.5" hidden="1" customHeight="1" x14ac:dyDescent="0.25">
      <c r="A81" s="505">
        <v>5061</v>
      </c>
      <c r="B81" s="506">
        <v>732000</v>
      </c>
      <c r="C81" s="416" t="s">
        <v>84</v>
      </c>
      <c r="D81" s="416">
        <f>D82+D83+D84+D85</f>
        <v>0</v>
      </c>
      <c r="E81" s="417">
        <f>E82+E83+E84+E85</f>
        <v>0</v>
      </c>
      <c r="F81" s="417">
        <f>F82+F83+F84+F85</f>
        <v>0</v>
      </c>
      <c r="G81" s="417">
        <f t="shared" si="17"/>
        <v>0</v>
      </c>
      <c r="H81" s="417">
        <f t="shared" ref="H81:M81" si="20">H82+H83+H84+H85</f>
        <v>0</v>
      </c>
      <c r="I81" s="417">
        <f t="shared" si="20"/>
        <v>0</v>
      </c>
      <c r="J81" s="417">
        <f t="shared" si="20"/>
        <v>0</v>
      </c>
      <c r="K81" s="417">
        <f t="shared" si="20"/>
        <v>0</v>
      </c>
      <c r="L81" s="417">
        <f t="shared" si="20"/>
        <v>0</v>
      </c>
      <c r="M81" s="418">
        <f t="shared" si="20"/>
        <v>0</v>
      </c>
      <c r="N81" s="419" t="e">
        <f t="shared" si="16"/>
        <v>#DIV/0!</v>
      </c>
    </row>
    <row r="82" spans="1:14" ht="16.5" hidden="1" customHeight="1" x14ac:dyDescent="0.25">
      <c r="A82" s="422">
        <v>5062</v>
      </c>
      <c r="B82" s="423">
        <v>732100</v>
      </c>
      <c r="C82" s="424" t="s">
        <v>85</v>
      </c>
      <c r="D82" s="424"/>
      <c r="E82" s="435"/>
      <c r="F82" s="435"/>
      <c r="G82" s="436">
        <f t="shared" si="17"/>
        <v>0</v>
      </c>
      <c r="H82" s="435"/>
      <c r="I82" s="435"/>
      <c r="J82" s="435"/>
      <c r="K82" s="435"/>
      <c r="L82" s="435"/>
      <c r="M82" s="437"/>
      <c r="N82" s="419" t="e">
        <f t="shared" si="16"/>
        <v>#DIV/0!</v>
      </c>
    </row>
    <row r="83" spans="1:14" ht="16.5" hidden="1" customHeight="1" x14ac:dyDescent="0.25">
      <c r="A83" s="422">
        <v>5063</v>
      </c>
      <c r="B83" s="423">
        <v>732200</v>
      </c>
      <c r="C83" s="424" t="s">
        <v>86</v>
      </c>
      <c r="D83" s="424"/>
      <c r="E83" s="435"/>
      <c r="F83" s="435"/>
      <c r="G83" s="436">
        <f t="shared" si="17"/>
        <v>0</v>
      </c>
      <c r="H83" s="435"/>
      <c r="I83" s="435"/>
      <c r="J83" s="435"/>
      <c r="K83" s="435"/>
      <c r="L83" s="435"/>
      <c r="M83" s="437"/>
      <c r="N83" s="419" t="e">
        <f t="shared" si="16"/>
        <v>#DIV/0!</v>
      </c>
    </row>
    <row r="84" spans="1:14" ht="16.5" hidden="1" customHeight="1" x14ac:dyDescent="0.25">
      <c r="A84" s="422">
        <v>5064</v>
      </c>
      <c r="B84" s="423">
        <v>732300</v>
      </c>
      <c r="C84" s="424" t="s">
        <v>87</v>
      </c>
      <c r="D84" s="424"/>
      <c r="E84" s="435"/>
      <c r="F84" s="435"/>
      <c r="G84" s="436">
        <f t="shared" si="17"/>
        <v>0</v>
      </c>
      <c r="H84" s="435"/>
      <c r="I84" s="435"/>
      <c r="J84" s="435"/>
      <c r="K84" s="435"/>
      <c r="L84" s="435"/>
      <c r="M84" s="437"/>
      <c r="N84" s="419" t="e">
        <f t="shared" si="16"/>
        <v>#DIV/0!</v>
      </c>
    </row>
    <row r="85" spans="1:14" ht="16.5" hidden="1" customHeight="1" x14ac:dyDescent="0.25">
      <c r="A85" s="422">
        <v>5065</v>
      </c>
      <c r="B85" s="423">
        <v>732400</v>
      </c>
      <c r="C85" s="424" t="s">
        <v>88</v>
      </c>
      <c r="D85" s="424"/>
      <c r="E85" s="435"/>
      <c r="F85" s="435"/>
      <c r="G85" s="436">
        <f t="shared" si="17"/>
        <v>0</v>
      </c>
      <c r="H85" s="435"/>
      <c r="I85" s="435"/>
      <c r="J85" s="435"/>
      <c r="K85" s="435"/>
      <c r="L85" s="435"/>
      <c r="M85" s="437"/>
      <c r="N85" s="419" t="e">
        <f t="shared" si="16"/>
        <v>#DIV/0!</v>
      </c>
    </row>
    <row r="86" spans="1:14" ht="16.5" hidden="1" customHeight="1" x14ac:dyDescent="0.25">
      <c r="A86" s="505">
        <v>5066</v>
      </c>
      <c r="B86" s="506">
        <v>733000</v>
      </c>
      <c r="C86" s="416" t="s">
        <v>89</v>
      </c>
      <c r="D86" s="416">
        <f>D87+D88</f>
        <v>0</v>
      </c>
      <c r="E86" s="417">
        <f>E87+E88</f>
        <v>0</v>
      </c>
      <c r="F86" s="417">
        <f>F87+F88</f>
        <v>0</v>
      </c>
      <c r="G86" s="417">
        <f t="shared" si="17"/>
        <v>0</v>
      </c>
      <c r="H86" s="417">
        <f t="shared" ref="H86:M86" si="21">H87+H88</f>
        <v>0</v>
      </c>
      <c r="I86" s="417">
        <f t="shared" si="21"/>
        <v>0</v>
      </c>
      <c r="J86" s="417">
        <f t="shared" si="21"/>
        <v>0</v>
      </c>
      <c r="K86" s="417">
        <f t="shared" si="21"/>
        <v>0</v>
      </c>
      <c r="L86" s="417">
        <f t="shared" si="21"/>
        <v>0</v>
      </c>
      <c r="M86" s="418">
        <f t="shared" si="21"/>
        <v>0</v>
      </c>
      <c r="N86" s="419" t="e">
        <f t="shared" si="16"/>
        <v>#DIV/0!</v>
      </c>
    </row>
    <row r="87" spans="1:14" ht="16.5" hidden="1" customHeight="1" x14ac:dyDescent="0.25">
      <c r="A87" s="422">
        <v>5067</v>
      </c>
      <c r="B87" s="423">
        <v>733100</v>
      </c>
      <c r="C87" s="424" t="s">
        <v>90</v>
      </c>
      <c r="D87" s="424"/>
      <c r="E87" s="435"/>
      <c r="F87" s="435"/>
      <c r="G87" s="436">
        <f t="shared" ref="G87:G122" si="22">SUM(H87:M87)</f>
        <v>0</v>
      </c>
      <c r="H87" s="435"/>
      <c r="I87" s="435"/>
      <c r="J87" s="435"/>
      <c r="K87" s="435"/>
      <c r="L87" s="435"/>
      <c r="M87" s="437"/>
      <c r="N87" s="419" t="e">
        <f t="shared" si="16"/>
        <v>#DIV/0!</v>
      </c>
    </row>
    <row r="88" spans="1:14" ht="16.5" hidden="1" customHeight="1" x14ac:dyDescent="0.25">
      <c r="A88" s="422">
        <v>5068</v>
      </c>
      <c r="B88" s="423">
        <v>733200</v>
      </c>
      <c r="C88" s="424" t="s">
        <v>91</v>
      </c>
      <c r="D88" s="424"/>
      <c r="E88" s="435"/>
      <c r="F88" s="435"/>
      <c r="G88" s="436">
        <f t="shared" si="22"/>
        <v>0</v>
      </c>
      <c r="H88" s="435"/>
      <c r="I88" s="435"/>
      <c r="J88" s="435"/>
      <c r="K88" s="435"/>
      <c r="L88" s="435"/>
      <c r="M88" s="437"/>
      <c r="N88" s="419" t="e">
        <f t="shared" si="16"/>
        <v>#DIV/0!</v>
      </c>
    </row>
    <row r="89" spans="1:14" ht="12.75" customHeight="1" x14ac:dyDescent="0.25">
      <c r="A89" s="505">
        <v>5069</v>
      </c>
      <c r="B89" s="506">
        <v>740000</v>
      </c>
      <c r="C89" s="416" t="s">
        <v>92</v>
      </c>
      <c r="D89" s="416">
        <f>D90+D97+D102+D113+D116</f>
        <v>185</v>
      </c>
      <c r="E89" s="417">
        <f>E90+E97+E102+E113+E116</f>
        <v>15300</v>
      </c>
      <c r="F89" s="417">
        <f>F90+F97+F102+F113+F116</f>
        <v>15485</v>
      </c>
      <c r="G89" s="417">
        <f t="shared" si="22"/>
        <v>9652</v>
      </c>
      <c r="H89" s="417">
        <f t="shared" ref="H89:M89" si="23">H90+H97+H102+H113+H116</f>
        <v>139</v>
      </c>
      <c r="I89" s="417">
        <f t="shared" si="23"/>
        <v>0</v>
      </c>
      <c r="J89" s="417">
        <f t="shared" si="23"/>
        <v>0</v>
      </c>
      <c r="K89" s="417">
        <f t="shared" si="23"/>
        <v>159</v>
      </c>
      <c r="L89" s="417">
        <f t="shared" si="23"/>
        <v>0</v>
      </c>
      <c r="M89" s="418">
        <f t="shared" si="23"/>
        <v>9354</v>
      </c>
      <c r="N89" s="419">
        <f t="shared" si="16"/>
        <v>0.62331288343558278</v>
      </c>
    </row>
    <row r="90" spans="1:14" ht="12.75" customHeight="1" x14ac:dyDescent="0.25">
      <c r="A90" s="505">
        <v>5070</v>
      </c>
      <c r="B90" s="506">
        <v>741000</v>
      </c>
      <c r="C90" s="416" t="s">
        <v>93</v>
      </c>
      <c r="D90" s="416">
        <f>SUM(D91:D96)</f>
        <v>0</v>
      </c>
      <c r="E90" s="417">
        <f>SUM(E91:E96)</f>
        <v>1500</v>
      </c>
      <c r="F90" s="417">
        <f>SUM(F91:F96)</f>
        <v>1500</v>
      </c>
      <c r="G90" s="417">
        <f t="shared" si="22"/>
        <v>159</v>
      </c>
      <c r="H90" s="417">
        <f t="shared" ref="H90:M90" si="24">SUM(H91:H96)</f>
        <v>0</v>
      </c>
      <c r="I90" s="417">
        <f t="shared" si="24"/>
        <v>0</v>
      </c>
      <c r="J90" s="417">
        <f t="shared" si="24"/>
        <v>0</v>
      </c>
      <c r="K90" s="417">
        <f t="shared" si="24"/>
        <v>159</v>
      </c>
      <c r="L90" s="417">
        <f t="shared" si="24"/>
        <v>0</v>
      </c>
      <c r="M90" s="418">
        <f t="shared" si="24"/>
        <v>0</v>
      </c>
      <c r="N90" s="419">
        <f t="shared" si="16"/>
        <v>0.106</v>
      </c>
    </row>
    <row r="91" spans="1:14" ht="16.5" hidden="1" customHeight="1" x14ac:dyDescent="0.25">
      <c r="A91" s="422">
        <v>5071</v>
      </c>
      <c r="B91" s="423">
        <v>741100</v>
      </c>
      <c r="C91" s="424" t="s">
        <v>94</v>
      </c>
      <c r="D91" s="424"/>
      <c r="E91" s="435"/>
      <c r="F91" s="435"/>
      <c r="G91" s="436">
        <f t="shared" si="22"/>
        <v>0</v>
      </c>
      <c r="H91" s="435"/>
      <c r="I91" s="435"/>
      <c r="J91" s="435"/>
      <c r="K91" s="435"/>
      <c r="L91" s="435"/>
      <c r="M91" s="437"/>
      <c r="N91" s="419" t="e">
        <f t="shared" si="16"/>
        <v>#DIV/0!</v>
      </c>
    </row>
    <row r="92" spans="1:14" ht="16.5" hidden="1" customHeight="1" x14ac:dyDescent="0.25">
      <c r="A92" s="422">
        <v>5072</v>
      </c>
      <c r="B92" s="423">
        <v>741200</v>
      </c>
      <c r="C92" s="424" t="s">
        <v>95</v>
      </c>
      <c r="D92" s="424"/>
      <c r="E92" s="435"/>
      <c r="F92" s="435"/>
      <c r="G92" s="436">
        <f t="shared" si="22"/>
        <v>0</v>
      </c>
      <c r="H92" s="435"/>
      <c r="I92" s="435"/>
      <c r="J92" s="435"/>
      <c r="K92" s="435"/>
      <c r="L92" s="435"/>
      <c r="M92" s="437"/>
      <c r="N92" s="419" t="e">
        <f t="shared" si="16"/>
        <v>#DIV/0!</v>
      </c>
    </row>
    <row r="93" spans="1:14" ht="16.5" hidden="1" customHeight="1" x14ac:dyDescent="0.25">
      <c r="A93" s="422">
        <v>5073</v>
      </c>
      <c r="B93" s="423">
        <v>741300</v>
      </c>
      <c r="C93" s="424" t="s">
        <v>96</v>
      </c>
      <c r="D93" s="424"/>
      <c r="E93" s="435"/>
      <c r="F93" s="435"/>
      <c r="G93" s="436">
        <f t="shared" si="22"/>
        <v>0</v>
      </c>
      <c r="H93" s="435"/>
      <c r="I93" s="435"/>
      <c r="J93" s="435"/>
      <c r="K93" s="435"/>
      <c r="L93" s="435"/>
      <c r="M93" s="437"/>
      <c r="N93" s="419" t="e">
        <f t="shared" si="16"/>
        <v>#DIV/0!</v>
      </c>
    </row>
    <row r="94" spans="1:14" ht="12.75" customHeight="1" x14ac:dyDescent="0.25">
      <c r="A94" s="422">
        <v>5074</v>
      </c>
      <c r="B94" s="423">
        <v>741400</v>
      </c>
      <c r="C94" s="424" t="s">
        <v>97</v>
      </c>
      <c r="D94" s="424">
        <v>0</v>
      </c>
      <c r="E94" s="351">
        <v>1500</v>
      </c>
      <c r="F94" s="351">
        <f>D94+E94</f>
        <v>1500</v>
      </c>
      <c r="G94" s="436">
        <f t="shared" si="22"/>
        <v>159</v>
      </c>
      <c r="H94" s="351"/>
      <c r="I94" s="351"/>
      <c r="J94" s="351"/>
      <c r="K94" s="351">
        <v>159</v>
      </c>
      <c r="L94" s="351"/>
      <c r="M94" s="438"/>
      <c r="N94" s="419">
        <f t="shared" si="16"/>
        <v>0.106</v>
      </c>
    </row>
    <row r="95" spans="1:14" ht="16.5" hidden="1" customHeight="1" x14ac:dyDescent="0.25">
      <c r="A95" s="422">
        <v>5075</v>
      </c>
      <c r="B95" s="423">
        <v>741500</v>
      </c>
      <c r="C95" s="424" t="s">
        <v>98</v>
      </c>
      <c r="D95" s="424"/>
      <c r="E95" s="435"/>
      <c r="F95" s="435"/>
      <c r="G95" s="436">
        <f t="shared" si="22"/>
        <v>0</v>
      </c>
      <c r="H95" s="435"/>
      <c r="I95" s="435"/>
      <c r="J95" s="435"/>
      <c r="K95" s="435"/>
      <c r="L95" s="435"/>
      <c r="M95" s="437"/>
      <c r="N95" s="419" t="e">
        <f t="shared" si="16"/>
        <v>#DIV/0!</v>
      </c>
    </row>
    <row r="96" spans="1:14" ht="16.5" hidden="1" customHeight="1" x14ac:dyDescent="0.25">
      <c r="A96" s="422">
        <v>5076</v>
      </c>
      <c r="B96" s="423">
        <v>741600</v>
      </c>
      <c r="C96" s="424" t="s">
        <v>99</v>
      </c>
      <c r="D96" s="424"/>
      <c r="E96" s="435"/>
      <c r="F96" s="435"/>
      <c r="G96" s="436">
        <f t="shared" si="22"/>
        <v>0</v>
      </c>
      <c r="H96" s="435"/>
      <c r="I96" s="435"/>
      <c r="J96" s="435"/>
      <c r="K96" s="435"/>
      <c r="L96" s="435"/>
      <c r="M96" s="437"/>
      <c r="N96" s="419" t="e">
        <f t="shared" si="16"/>
        <v>#DIV/0!</v>
      </c>
    </row>
    <row r="97" spans="1:14" ht="12.75" customHeight="1" x14ac:dyDescent="0.25">
      <c r="A97" s="505">
        <v>5077</v>
      </c>
      <c r="B97" s="506">
        <v>742000</v>
      </c>
      <c r="C97" s="416" t="s">
        <v>100</v>
      </c>
      <c r="D97" s="416">
        <f>SUM(D98:D101)</f>
        <v>0</v>
      </c>
      <c r="E97" s="417">
        <f>SUM(E98:E101)</f>
        <v>13700</v>
      </c>
      <c r="F97" s="417">
        <f>SUM(F98:F101)</f>
        <v>13700</v>
      </c>
      <c r="G97" s="417">
        <f t="shared" si="22"/>
        <v>8543</v>
      </c>
      <c r="H97" s="417">
        <f t="shared" ref="H97:M97" si="25">SUM(H98:H101)</f>
        <v>139</v>
      </c>
      <c r="I97" s="417">
        <f t="shared" si="25"/>
        <v>0</v>
      </c>
      <c r="J97" s="417">
        <f t="shared" si="25"/>
        <v>0</v>
      </c>
      <c r="K97" s="417">
        <f t="shared" si="25"/>
        <v>0</v>
      </c>
      <c r="L97" s="417">
        <f t="shared" si="25"/>
        <v>0</v>
      </c>
      <c r="M97" s="418">
        <f t="shared" si="25"/>
        <v>8404</v>
      </c>
      <c r="N97" s="419">
        <f t="shared" si="16"/>
        <v>0.62357664233576637</v>
      </c>
    </row>
    <row r="98" spans="1:14" ht="12.75" customHeight="1" x14ac:dyDescent="0.25">
      <c r="A98" s="422">
        <v>5078</v>
      </c>
      <c r="B98" s="423">
        <v>742100</v>
      </c>
      <c r="C98" s="424" t="s">
        <v>101</v>
      </c>
      <c r="D98" s="424">
        <v>0</v>
      </c>
      <c r="E98" s="435">
        <v>5000</v>
      </c>
      <c r="F98" s="435">
        <f>D98+E98</f>
        <v>5000</v>
      </c>
      <c r="G98" s="436">
        <f t="shared" si="22"/>
        <v>3601</v>
      </c>
      <c r="H98" s="435"/>
      <c r="I98" s="435"/>
      <c r="J98" s="435"/>
      <c r="K98" s="435"/>
      <c r="L98" s="435"/>
      <c r="M98" s="437">
        <v>3601</v>
      </c>
      <c r="N98" s="419">
        <f t="shared" si="16"/>
        <v>0.72019999999999995</v>
      </c>
    </row>
    <row r="99" spans="1:14" ht="16.5" hidden="1" customHeight="1" x14ac:dyDescent="0.25">
      <c r="A99" s="422">
        <v>5079</v>
      </c>
      <c r="B99" s="423">
        <v>742200</v>
      </c>
      <c r="C99" s="424" t="s">
        <v>102</v>
      </c>
      <c r="D99" s="424"/>
      <c r="E99" s="435"/>
      <c r="F99" s="435">
        <f t="shared" ref="F99:F112" si="26">D99+E99</f>
        <v>0</v>
      </c>
      <c r="G99" s="436">
        <f t="shared" si="22"/>
        <v>0</v>
      </c>
      <c r="H99" s="435"/>
      <c r="I99" s="435"/>
      <c r="J99" s="435"/>
      <c r="K99" s="435"/>
      <c r="L99" s="435"/>
      <c r="M99" s="437"/>
      <c r="N99" s="419" t="e">
        <f t="shared" si="16"/>
        <v>#DIV/0!</v>
      </c>
    </row>
    <row r="100" spans="1:14" ht="15.75" customHeight="1" x14ac:dyDescent="0.25">
      <c r="A100" s="422">
        <v>5080</v>
      </c>
      <c r="B100" s="423">
        <v>742300</v>
      </c>
      <c r="C100" s="424" t="s">
        <v>103</v>
      </c>
      <c r="D100" s="424">
        <v>0</v>
      </c>
      <c r="E100" s="435">
        <v>8700</v>
      </c>
      <c r="F100" s="435">
        <f t="shared" si="26"/>
        <v>8700</v>
      </c>
      <c r="G100" s="436">
        <f t="shared" si="22"/>
        <v>4942</v>
      </c>
      <c r="H100" s="435">
        <v>139</v>
      </c>
      <c r="I100" s="435"/>
      <c r="J100" s="435"/>
      <c r="K100" s="435"/>
      <c r="L100" s="435"/>
      <c r="M100" s="437">
        <v>4803</v>
      </c>
      <c r="N100" s="419">
        <f t="shared" si="16"/>
        <v>0.56804597701149429</v>
      </c>
    </row>
    <row r="101" spans="1:14" ht="16.5" hidden="1" customHeight="1" x14ac:dyDescent="0.25">
      <c r="A101" s="422">
        <v>5081</v>
      </c>
      <c r="B101" s="423">
        <v>742400</v>
      </c>
      <c r="C101" s="424" t="s">
        <v>104</v>
      </c>
      <c r="D101" s="424"/>
      <c r="E101" s="435"/>
      <c r="F101" s="435">
        <f t="shared" si="26"/>
        <v>0</v>
      </c>
      <c r="G101" s="436">
        <f t="shared" si="22"/>
        <v>0</v>
      </c>
      <c r="H101" s="435"/>
      <c r="I101" s="435"/>
      <c r="J101" s="435"/>
      <c r="K101" s="435"/>
      <c r="L101" s="435"/>
      <c r="M101" s="437"/>
      <c r="N101" s="419" t="e">
        <f t="shared" si="16"/>
        <v>#DIV/0!</v>
      </c>
    </row>
    <row r="102" spans="1:14" ht="16.5" hidden="1" customHeight="1" x14ac:dyDescent="0.25">
      <c r="A102" s="505">
        <v>5082</v>
      </c>
      <c r="B102" s="506">
        <v>743000</v>
      </c>
      <c r="C102" s="416" t="s">
        <v>105</v>
      </c>
      <c r="D102" s="416"/>
      <c r="E102" s="417">
        <f>SUM(E107:E112)</f>
        <v>0</v>
      </c>
      <c r="F102" s="435">
        <f t="shared" si="26"/>
        <v>0</v>
      </c>
      <c r="G102" s="417">
        <f t="shared" si="22"/>
        <v>0</v>
      </c>
      <c r="H102" s="417">
        <f t="shared" ref="H102:M102" si="27">SUM(H107:H112)</f>
        <v>0</v>
      </c>
      <c r="I102" s="417">
        <f t="shared" si="27"/>
        <v>0</v>
      </c>
      <c r="J102" s="417">
        <f t="shared" si="27"/>
        <v>0</v>
      </c>
      <c r="K102" s="417">
        <f t="shared" si="27"/>
        <v>0</v>
      </c>
      <c r="L102" s="417">
        <f t="shared" si="27"/>
        <v>0</v>
      </c>
      <c r="M102" s="418">
        <f t="shared" si="27"/>
        <v>0</v>
      </c>
      <c r="N102" s="419" t="e">
        <f t="shared" si="16"/>
        <v>#DIV/0!</v>
      </c>
    </row>
    <row r="103" spans="1:14" ht="16.5" hidden="1" customHeight="1" x14ac:dyDescent="0.25">
      <c r="A103" s="717" t="s">
        <v>0</v>
      </c>
      <c r="B103" s="718" t="s">
        <v>1</v>
      </c>
      <c r="C103" s="719" t="s">
        <v>2</v>
      </c>
      <c r="D103" s="508"/>
      <c r="E103" s="714" t="s">
        <v>3</v>
      </c>
      <c r="F103" s="435" t="e">
        <f t="shared" si="26"/>
        <v>#VALUE!</v>
      </c>
      <c r="G103" s="714" t="s">
        <v>4</v>
      </c>
      <c r="H103" s="714"/>
      <c r="I103" s="714"/>
      <c r="J103" s="714"/>
      <c r="K103" s="714"/>
      <c r="L103" s="714"/>
      <c r="M103" s="722"/>
      <c r="N103" s="419" t="e">
        <f t="shared" si="16"/>
        <v>#VALUE!</v>
      </c>
    </row>
    <row r="104" spans="1:14" ht="16.5" hidden="1" customHeight="1" x14ac:dyDescent="0.25">
      <c r="A104" s="717"/>
      <c r="B104" s="718"/>
      <c r="C104" s="719"/>
      <c r="D104" s="508"/>
      <c r="E104" s="714"/>
      <c r="F104" s="435">
        <f t="shared" si="26"/>
        <v>0</v>
      </c>
      <c r="G104" s="729" t="s">
        <v>5</v>
      </c>
      <c r="H104" s="714" t="s">
        <v>6</v>
      </c>
      <c r="I104" s="714"/>
      <c r="J104" s="714"/>
      <c r="K104" s="714"/>
      <c r="L104" s="714" t="s">
        <v>7</v>
      </c>
      <c r="M104" s="722" t="s">
        <v>8</v>
      </c>
      <c r="N104" s="419" t="e">
        <f t="shared" si="16"/>
        <v>#VALUE!</v>
      </c>
    </row>
    <row r="105" spans="1:14" ht="16.5" hidden="1" customHeight="1" x14ac:dyDescent="0.25">
      <c r="A105" s="717"/>
      <c r="B105" s="718"/>
      <c r="C105" s="719"/>
      <c r="D105" s="508"/>
      <c r="E105" s="714"/>
      <c r="F105" s="435">
        <f t="shared" si="26"/>
        <v>0</v>
      </c>
      <c r="G105" s="729"/>
      <c r="H105" s="509" t="s">
        <v>9</v>
      </c>
      <c r="I105" s="509" t="s">
        <v>10</v>
      </c>
      <c r="J105" s="509" t="s">
        <v>11</v>
      </c>
      <c r="K105" s="509" t="s">
        <v>12</v>
      </c>
      <c r="L105" s="714"/>
      <c r="M105" s="722"/>
      <c r="N105" s="419" t="e">
        <f t="shared" si="16"/>
        <v>#DIV/0!</v>
      </c>
    </row>
    <row r="106" spans="1:14" ht="16.5" hidden="1" customHeight="1" x14ac:dyDescent="0.25">
      <c r="A106" s="428" t="s">
        <v>18</v>
      </c>
      <c r="B106" s="507" t="s">
        <v>19</v>
      </c>
      <c r="C106" s="429" t="s">
        <v>20</v>
      </c>
      <c r="D106" s="429"/>
      <c r="E106" s="430" t="s">
        <v>21</v>
      </c>
      <c r="F106" s="435">
        <f t="shared" si="26"/>
        <v>4</v>
      </c>
      <c r="G106" s="430" t="s">
        <v>22</v>
      </c>
      <c r="H106" s="430" t="s">
        <v>23</v>
      </c>
      <c r="I106" s="430" t="s">
        <v>24</v>
      </c>
      <c r="J106" s="430" t="s">
        <v>25</v>
      </c>
      <c r="K106" s="430" t="s">
        <v>26</v>
      </c>
      <c r="L106" s="430" t="s">
        <v>27</v>
      </c>
      <c r="M106" s="431" t="s">
        <v>28</v>
      </c>
      <c r="N106" s="419">
        <f t="shared" si="16"/>
        <v>1.25</v>
      </c>
    </row>
    <row r="107" spans="1:14" ht="16.5" hidden="1" customHeight="1" x14ac:dyDescent="0.25">
      <c r="A107" s="422">
        <v>5083</v>
      </c>
      <c r="B107" s="423">
        <v>743100</v>
      </c>
      <c r="C107" s="424" t="s">
        <v>106</v>
      </c>
      <c r="D107" s="424"/>
      <c r="E107" s="435"/>
      <c r="F107" s="435">
        <f t="shared" si="26"/>
        <v>0</v>
      </c>
      <c r="G107" s="436">
        <f t="shared" si="22"/>
        <v>0</v>
      </c>
      <c r="H107" s="435"/>
      <c r="I107" s="435"/>
      <c r="J107" s="435"/>
      <c r="K107" s="435"/>
      <c r="L107" s="435"/>
      <c r="M107" s="437"/>
      <c r="N107" s="419" t="e">
        <f t="shared" si="16"/>
        <v>#DIV/0!</v>
      </c>
    </row>
    <row r="108" spans="1:14" ht="16.5" hidden="1" customHeight="1" x14ac:dyDescent="0.25">
      <c r="A108" s="422">
        <v>5084</v>
      </c>
      <c r="B108" s="423">
        <v>743200</v>
      </c>
      <c r="C108" s="424" t="s">
        <v>107</v>
      </c>
      <c r="D108" s="424"/>
      <c r="E108" s="435"/>
      <c r="F108" s="435">
        <f t="shared" si="26"/>
        <v>0</v>
      </c>
      <c r="G108" s="436">
        <f t="shared" si="22"/>
        <v>0</v>
      </c>
      <c r="H108" s="435"/>
      <c r="I108" s="435"/>
      <c r="J108" s="435"/>
      <c r="K108" s="435"/>
      <c r="L108" s="435"/>
      <c r="M108" s="437"/>
      <c r="N108" s="419" t="e">
        <f t="shared" si="16"/>
        <v>#DIV/0!</v>
      </c>
    </row>
    <row r="109" spans="1:14" ht="16.5" hidden="1" customHeight="1" x14ac:dyDescent="0.25">
      <c r="A109" s="422">
        <v>5085</v>
      </c>
      <c r="B109" s="423">
        <v>743300</v>
      </c>
      <c r="C109" s="424" t="s">
        <v>108</v>
      </c>
      <c r="D109" s="424"/>
      <c r="E109" s="435"/>
      <c r="F109" s="435">
        <f t="shared" si="26"/>
        <v>0</v>
      </c>
      <c r="G109" s="436">
        <f t="shared" si="22"/>
        <v>0</v>
      </c>
      <c r="H109" s="435"/>
      <c r="I109" s="435"/>
      <c r="J109" s="435"/>
      <c r="K109" s="435"/>
      <c r="L109" s="435"/>
      <c r="M109" s="437"/>
      <c r="N109" s="419" t="e">
        <f t="shared" si="16"/>
        <v>#DIV/0!</v>
      </c>
    </row>
    <row r="110" spans="1:14" ht="16.5" hidden="1" customHeight="1" x14ac:dyDescent="0.25">
      <c r="A110" s="422">
        <v>5086</v>
      </c>
      <c r="B110" s="423">
        <v>743400</v>
      </c>
      <c r="C110" s="424" t="s">
        <v>109</v>
      </c>
      <c r="D110" s="424"/>
      <c r="E110" s="435"/>
      <c r="F110" s="435">
        <f t="shared" si="26"/>
        <v>0</v>
      </c>
      <c r="G110" s="436">
        <f t="shared" si="22"/>
        <v>0</v>
      </c>
      <c r="H110" s="435"/>
      <c r="I110" s="435"/>
      <c r="J110" s="435"/>
      <c r="K110" s="435"/>
      <c r="L110" s="435"/>
      <c r="M110" s="437"/>
      <c r="N110" s="419" t="e">
        <f t="shared" si="16"/>
        <v>#DIV/0!</v>
      </c>
    </row>
    <row r="111" spans="1:14" ht="16.5" hidden="1" customHeight="1" x14ac:dyDescent="0.25">
      <c r="A111" s="422">
        <v>5087</v>
      </c>
      <c r="B111" s="423">
        <v>743500</v>
      </c>
      <c r="C111" s="424" t="s">
        <v>110</v>
      </c>
      <c r="D111" s="424"/>
      <c r="E111" s="435"/>
      <c r="F111" s="435">
        <f t="shared" si="26"/>
        <v>0</v>
      </c>
      <c r="G111" s="436">
        <f t="shared" si="22"/>
        <v>0</v>
      </c>
      <c r="H111" s="435"/>
      <c r="I111" s="435"/>
      <c r="J111" s="435"/>
      <c r="K111" s="435"/>
      <c r="L111" s="435"/>
      <c r="M111" s="437"/>
      <c r="N111" s="419" t="e">
        <f t="shared" si="16"/>
        <v>#DIV/0!</v>
      </c>
    </row>
    <row r="112" spans="1:14" ht="1.5" hidden="1" customHeight="1" x14ac:dyDescent="0.25">
      <c r="A112" s="422">
        <v>5088</v>
      </c>
      <c r="B112" s="423">
        <v>743900</v>
      </c>
      <c r="C112" s="424" t="s">
        <v>111</v>
      </c>
      <c r="D112" s="424"/>
      <c r="E112" s="435"/>
      <c r="F112" s="435">
        <f t="shared" si="26"/>
        <v>0</v>
      </c>
      <c r="G112" s="436">
        <f t="shared" si="22"/>
        <v>0</v>
      </c>
      <c r="H112" s="435"/>
      <c r="I112" s="435"/>
      <c r="J112" s="435"/>
      <c r="K112" s="435"/>
      <c r="L112" s="435"/>
      <c r="M112" s="437"/>
      <c r="N112" s="419" t="e">
        <f t="shared" si="16"/>
        <v>#DIV/0!</v>
      </c>
    </row>
    <row r="113" spans="1:14" ht="12.75" customHeight="1" x14ac:dyDescent="0.25">
      <c r="A113" s="505">
        <v>5089</v>
      </c>
      <c r="B113" s="506">
        <v>744000</v>
      </c>
      <c r="C113" s="416" t="s">
        <v>533</v>
      </c>
      <c r="D113" s="416">
        <f>D114+D115</f>
        <v>185</v>
      </c>
      <c r="E113" s="417">
        <f>E114+E115</f>
        <v>100</v>
      </c>
      <c r="F113" s="417">
        <f>F114+F115</f>
        <v>285</v>
      </c>
      <c r="G113" s="417">
        <f t="shared" si="22"/>
        <v>285</v>
      </c>
      <c r="H113" s="417">
        <f t="shared" ref="H113:M113" si="28">H114+H115</f>
        <v>0</v>
      </c>
      <c r="I113" s="417">
        <f t="shared" si="28"/>
        <v>0</v>
      </c>
      <c r="J113" s="417">
        <f t="shared" si="28"/>
        <v>0</v>
      </c>
      <c r="K113" s="417">
        <f t="shared" si="28"/>
        <v>0</v>
      </c>
      <c r="L113" s="417">
        <f t="shared" si="28"/>
        <v>0</v>
      </c>
      <c r="M113" s="418">
        <f t="shared" si="28"/>
        <v>285</v>
      </c>
      <c r="N113" s="419">
        <f t="shared" si="16"/>
        <v>1</v>
      </c>
    </row>
    <row r="114" spans="1:14" ht="12.75" customHeight="1" x14ac:dyDescent="0.25">
      <c r="A114" s="422">
        <v>5090</v>
      </c>
      <c r="B114" s="423">
        <v>744100</v>
      </c>
      <c r="C114" s="424" t="s">
        <v>113</v>
      </c>
      <c r="D114" s="424">
        <v>185</v>
      </c>
      <c r="E114" s="435">
        <v>100</v>
      </c>
      <c r="F114" s="435">
        <f>D114+E114</f>
        <v>285</v>
      </c>
      <c r="G114" s="436">
        <f t="shared" si="22"/>
        <v>285</v>
      </c>
      <c r="H114" s="435"/>
      <c r="I114" s="435"/>
      <c r="J114" s="435"/>
      <c r="K114" s="435"/>
      <c r="L114" s="435"/>
      <c r="M114" s="437">
        <v>285</v>
      </c>
      <c r="N114" s="419">
        <f t="shared" si="16"/>
        <v>1</v>
      </c>
    </row>
    <row r="115" spans="1:14" ht="16.5" hidden="1" customHeight="1" x14ac:dyDescent="0.25">
      <c r="A115" s="422">
        <v>5091</v>
      </c>
      <c r="B115" s="423">
        <v>744200</v>
      </c>
      <c r="C115" s="424" t="s">
        <v>114</v>
      </c>
      <c r="D115" s="424"/>
      <c r="E115" s="435"/>
      <c r="F115" s="435">
        <f t="shared" ref="F115" si="29">D115+E115</f>
        <v>0</v>
      </c>
      <c r="G115" s="436">
        <f t="shared" si="22"/>
        <v>0</v>
      </c>
      <c r="H115" s="435"/>
      <c r="I115" s="435"/>
      <c r="J115" s="435"/>
      <c r="K115" s="435"/>
      <c r="L115" s="435"/>
      <c r="M115" s="437"/>
      <c r="N115" s="419" t="e">
        <f t="shared" si="16"/>
        <v>#DIV/0!</v>
      </c>
    </row>
    <row r="116" spans="1:14" ht="16.5" customHeight="1" x14ac:dyDescent="0.25">
      <c r="A116" s="505">
        <v>5092</v>
      </c>
      <c r="B116" s="506">
        <v>745000</v>
      </c>
      <c r="C116" s="416" t="s">
        <v>115</v>
      </c>
      <c r="D116" s="416">
        <v>0</v>
      </c>
      <c r="E116" s="439">
        <v>0</v>
      </c>
      <c r="F116" s="439">
        <f>F117+F118</f>
        <v>0</v>
      </c>
      <c r="G116" s="417">
        <f t="shared" si="22"/>
        <v>665</v>
      </c>
      <c r="H116" s="417">
        <f t="shared" ref="H116:M116" si="30">H117</f>
        <v>0</v>
      </c>
      <c r="I116" s="417">
        <f t="shared" si="30"/>
        <v>0</v>
      </c>
      <c r="J116" s="417">
        <f t="shared" si="30"/>
        <v>0</v>
      </c>
      <c r="K116" s="417">
        <f t="shared" si="30"/>
        <v>0</v>
      </c>
      <c r="L116" s="417">
        <f t="shared" si="30"/>
        <v>0</v>
      </c>
      <c r="M116" s="418">
        <f t="shared" si="30"/>
        <v>665</v>
      </c>
      <c r="N116" s="419"/>
    </row>
    <row r="117" spans="1:14" ht="16.5" customHeight="1" x14ac:dyDescent="0.25">
      <c r="A117" s="422">
        <v>5093</v>
      </c>
      <c r="B117" s="423">
        <v>745100</v>
      </c>
      <c r="C117" s="424" t="s">
        <v>116</v>
      </c>
      <c r="D117" s="424">
        <v>0</v>
      </c>
      <c r="E117" s="440">
        <v>0</v>
      </c>
      <c r="F117" s="440">
        <f>D117+E117</f>
        <v>0</v>
      </c>
      <c r="G117" s="436">
        <f t="shared" si="22"/>
        <v>665</v>
      </c>
      <c r="H117" s="435"/>
      <c r="I117" s="435"/>
      <c r="J117" s="435"/>
      <c r="K117" s="435"/>
      <c r="L117" s="435"/>
      <c r="M117" s="437">
        <v>665</v>
      </c>
      <c r="N117" s="419"/>
    </row>
    <row r="118" spans="1:14" ht="16.5" hidden="1" customHeight="1" x14ac:dyDescent="0.25">
      <c r="A118" s="505">
        <v>5094</v>
      </c>
      <c r="B118" s="506">
        <v>770000</v>
      </c>
      <c r="C118" s="416" t="s">
        <v>117</v>
      </c>
      <c r="D118" s="416"/>
      <c r="E118" s="417">
        <f>E119+E121</f>
        <v>0</v>
      </c>
      <c r="F118" s="417">
        <f>F119+F121</f>
        <v>0</v>
      </c>
      <c r="G118" s="417">
        <f t="shared" si="22"/>
        <v>0</v>
      </c>
      <c r="H118" s="417">
        <f t="shared" ref="H118:M118" si="31">H119+H121</f>
        <v>0</v>
      </c>
      <c r="I118" s="417">
        <f t="shared" si="31"/>
        <v>0</v>
      </c>
      <c r="J118" s="417">
        <f t="shared" si="31"/>
        <v>0</v>
      </c>
      <c r="K118" s="417">
        <f t="shared" si="31"/>
        <v>0</v>
      </c>
      <c r="L118" s="417">
        <f t="shared" si="31"/>
        <v>0</v>
      </c>
      <c r="M118" s="418">
        <f t="shared" si="31"/>
        <v>0</v>
      </c>
      <c r="N118" s="419" t="e">
        <f t="shared" si="16"/>
        <v>#DIV/0!</v>
      </c>
    </row>
    <row r="119" spans="1:14" ht="16.5" hidden="1" customHeight="1" x14ac:dyDescent="0.25">
      <c r="A119" s="505">
        <v>5095</v>
      </c>
      <c r="B119" s="506">
        <v>771000</v>
      </c>
      <c r="C119" s="416" t="s">
        <v>118</v>
      </c>
      <c r="D119" s="416"/>
      <c r="E119" s="417">
        <f>E120</f>
        <v>0</v>
      </c>
      <c r="F119" s="417">
        <f>F120</f>
        <v>0</v>
      </c>
      <c r="G119" s="417">
        <f t="shared" si="22"/>
        <v>0</v>
      </c>
      <c r="H119" s="417">
        <f t="shared" ref="H119:M119" si="32">H120</f>
        <v>0</v>
      </c>
      <c r="I119" s="417">
        <f t="shared" si="32"/>
        <v>0</v>
      </c>
      <c r="J119" s="417">
        <f t="shared" si="32"/>
        <v>0</v>
      </c>
      <c r="K119" s="417">
        <f t="shared" si="32"/>
        <v>0</v>
      </c>
      <c r="L119" s="417">
        <f t="shared" si="32"/>
        <v>0</v>
      </c>
      <c r="M119" s="418">
        <f t="shared" si="32"/>
        <v>0</v>
      </c>
      <c r="N119" s="419" t="e">
        <f t="shared" si="16"/>
        <v>#DIV/0!</v>
      </c>
    </row>
    <row r="120" spans="1:14" ht="16.5" hidden="1" customHeight="1" x14ac:dyDescent="0.25">
      <c r="A120" s="422">
        <v>5096</v>
      </c>
      <c r="B120" s="423">
        <v>771100</v>
      </c>
      <c r="C120" s="424" t="s">
        <v>119</v>
      </c>
      <c r="D120" s="424"/>
      <c r="E120" s="435"/>
      <c r="F120" s="435"/>
      <c r="G120" s="436">
        <f t="shared" si="22"/>
        <v>0</v>
      </c>
      <c r="H120" s="435"/>
      <c r="I120" s="435"/>
      <c r="J120" s="435"/>
      <c r="K120" s="435"/>
      <c r="L120" s="435"/>
      <c r="M120" s="437"/>
      <c r="N120" s="419" t="e">
        <f t="shared" si="16"/>
        <v>#DIV/0!</v>
      </c>
    </row>
    <row r="121" spans="1:14" ht="16.5" hidden="1" customHeight="1" x14ac:dyDescent="0.25">
      <c r="A121" s="505">
        <v>5097</v>
      </c>
      <c r="B121" s="506">
        <v>772000</v>
      </c>
      <c r="C121" s="416" t="s">
        <v>120</v>
      </c>
      <c r="D121" s="416"/>
      <c r="E121" s="417">
        <f>E122</f>
        <v>0</v>
      </c>
      <c r="F121" s="417">
        <f>F122</f>
        <v>0</v>
      </c>
      <c r="G121" s="417">
        <f t="shared" si="22"/>
        <v>0</v>
      </c>
      <c r="H121" s="417">
        <f t="shared" ref="H121:M121" si="33">H122</f>
        <v>0</v>
      </c>
      <c r="I121" s="417">
        <f t="shared" si="33"/>
        <v>0</v>
      </c>
      <c r="J121" s="417">
        <f t="shared" si="33"/>
        <v>0</v>
      </c>
      <c r="K121" s="417">
        <f t="shared" si="33"/>
        <v>0</v>
      </c>
      <c r="L121" s="417">
        <f t="shared" si="33"/>
        <v>0</v>
      </c>
      <c r="M121" s="418">
        <f t="shared" si="33"/>
        <v>0</v>
      </c>
      <c r="N121" s="419" t="e">
        <f t="shared" si="16"/>
        <v>#DIV/0!</v>
      </c>
    </row>
    <row r="122" spans="1:14" ht="16.5" hidden="1" customHeight="1" x14ac:dyDescent="0.25">
      <c r="A122" s="422">
        <v>5098</v>
      </c>
      <c r="B122" s="423">
        <v>772100</v>
      </c>
      <c r="C122" s="424" t="s">
        <v>121</v>
      </c>
      <c r="D122" s="424"/>
      <c r="E122" s="435"/>
      <c r="F122" s="435"/>
      <c r="G122" s="436">
        <f t="shared" si="22"/>
        <v>0</v>
      </c>
      <c r="H122" s="435"/>
      <c r="I122" s="435"/>
      <c r="J122" s="435"/>
      <c r="K122" s="435"/>
      <c r="L122" s="435"/>
      <c r="M122" s="437"/>
      <c r="N122" s="419" t="e">
        <f t="shared" si="16"/>
        <v>#DIV/0!</v>
      </c>
    </row>
    <row r="123" spans="1:14" ht="12.75" customHeight="1" x14ac:dyDescent="0.25">
      <c r="A123" s="505">
        <v>5099</v>
      </c>
      <c r="B123" s="506">
        <v>780000</v>
      </c>
      <c r="C123" s="416" t="s">
        <v>122</v>
      </c>
      <c r="D123" s="417">
        <f>D124</f>
        <v>63470</v>
      </c>
      <c r="E123" s="417">
        <f>E124</f>
        <v>1606512</v>
      </c>
      <c r="F123" s="417">
        <f>F124</f>
        <v>1669982</v>
      </c>
      <c r="G123" s="417">
        <f t="shared" ref="G123:G162" si="34">SUM(H123:M123)</f>
        <v>1202045</v>
      </c>
      <c r="H123" s="417">
        <f t="shared" ref="H123:M123" si="35">H124</f>
        <v>0</v>
      </c>
      <c r="I123" s="417">
        <f t="shared" si="35"/>
        <v>0</v>
      </c>
      <c r="J123" s="417">
        <f t="shared" si="35"/>
        <v>0</v>
      </c>
      <c r="K123" s="417">
        <f t="shared" si="35"/>
        <v>1202045</v>
      </c>
      <c r="L123" s="417">
        <f t="shared" si="35"/>
        <v>0</v>
      </c>
      <c r="M123" s="418">
        <f t="shared" si="35"/>
        <v>0</v>
      </c>
      <c r="N123" s="419">
        <f t="shared" si="16"/>
        <v>0.71979518342113868</v>
      </c>
    </row>
    <row r="124" spans="1:14" ht="12.75" customHeight="1" x14ac:dyDescent="0.25">
      <c r="A124" s="505">
        <v>5100</v>
      </c>
      <c r="B124" s="506">
        <v>781000</v>
      </c>
      <c r="C124" s="416" t="s">
        <v>123</v>
      </c>
      <c r="D124" s="417">
        <f>D125+D126</f>
        <v>63470</v>
      </c>
      <c r="E124" s="417">
        <f>E125+E126</f>
        <v>1606512</v>
      </c>
      <c r="F124" s="417">
        <f>F125+F126</f>
        <v>1669982</v>
      </c>
      <c r="G124" s="417">
        <f t="shared" si="34"/>
        <v>1202045</v>
      </c>
      <c r="H124" s="417">
        <f t="shared" ref="H124:M124" si="36">H125+H126</f>
        <v>0</v>
      </c>
      <c r="I124" s="417">
        <f t="shared" si="36"/>
        <v>0</v>
      </c>
      <c r="J124" s="417">
        <f t="shared" si="36"/>
        <v>0</v>
      </c>
      <c r="K124" s="417">
        <f t="shared" si="36"/>
        <v>1202045</v>
      </c>
      <c r="L124" s="417">
        <f t="shared" si="36"/>
        <v>0</v>
      </c>
      <c r="M124" s="418">
        <f t="shared" si="36"/>
        <v>0</v>
      </c>
      <c r="N124" s="419">
        <f t="shared" si="16"/>
        <v>0.71979518342113868</v>
      </c>
    </row>
    <row r="125" spans="1:14" ht="12.75" customHeight="1" x14ac:dyDescent="0.25">
      <c r="A125" s="422">
        <v>5101</v>
      </c>
      <c r="B125" s="423">
        <v>781100</v>
      </c>
      <c r="C125" s="424" t="s">
        <v>124</v>
      </c>
      <c r="D125" s="435">
        <f>74584-12332+61+1158-1</f>
        <v>63470</v>
      </c>
      <c r="E125" s="435">
        <v>1606512</v>
      </c>
      <c r="F125" s="435">
        <f>D125+E125</f>
        <v>1669982</v>
      </c>
      <c r="G125" s="436">
        <f>SUM(H125:M125)</f>
        <v>1202045</v>
      </c>
      <c r="H125" s="435"/>
      <c r="I125" s="435"/>
      <c r="J125" s="435"/>
      <c r="K125" s="435">
        <v>1202045</v>
      </c>
      <c r="L125" s="435"/>
      <c r="M125" s="437"/>
      <c r="N125" s="419">
        <f t="shared" si="16"/>
        <v>0.71979518342113868</v>
      </c>
    </row>
    <row r="126" spans="1:14" ht="16.5" hidden="1" customHeight="1" x14ac:dyDescent="0.25">
      <c r="A126" s="422">
        <v>5102</v>
      </c>
      <c r="B126" s="423">
        <v>781300</v>
      </c>
      <c r="C126" s="424" t="s">
        <v>125</v>
      </c>
      <c r="D126" s="424">
        <f>D131</f>
        <v>0</v>
      </c>
      <c r="E126" s="435"/>
      <c r="F126" s="435"/>
      <c r="G126" s="436">
        <f t="shared" si="34"/>
        <v>0</v>
      </c>
      <c r="H126" s="435"/>
      <c r="I126" s="435"/>
      <c r="J126" s="435"/>
      <c r="K126" s="435"/>
      <c r="L126" s="435"/>
      <c r="M126" s="437"/>
      <c r="N126" s="419" t="e">
        <f t="shared" si="16"/>
        <v>#DIV/0!</v>
      </c>
    </row>
    <row r="127" spans="1:14" ht="12.75" customHeight="1" x14ac:dyDescent="0.25">
      <c r="A127" s="505">
        <v>5103</v>
      </c>
      <c r="B127" s="506">
        <v>790000</v>
      </c>
      <c r="C127" s="416" t="s">
        <v>126</v>
      </c>
      <c r="D127" s="416">
        <f>D128</f>
        <v>0</v>
      </c>
      <c r="E127" s="417">
        <f>E128</f>
        <v>30200</v>
      </c>
      <c r="F127" s="417">
        <f>F128</f>
        <v>30200</v>
      </c>
      <c r="G127" s="417">
        <f t="shared" si="34"/>
        <v>2343</v>
      </c>
      <c r="H127" s="417">
        <f t="shared" ref="H127:M127" si="37">H128</f>
        <v>2343</v>
      </c>
      <c r="I127" s="417">
        <f t="shared" si="37"/>
        <v>0</v>
      </c>
      <c r="J127" s="417">
        <f t="shared" si="37"/>
        <v>0</v>
      </c>
      <c r="K127" s="417"/>
      <c r="L127" s="417">
        <f t="shared" si="37"/>
        <v>0</v>
      </c>
      <c r="M127" s="418">
        <f t="shared" si="37"/>
        <v>0</v>
      </c>
      <c r="N127" s="419">
        <f t="shared" si="16"/>
        <v>7.7582781456953645E-2</v>
      </c>
    </row>
    <row r="128" spans="1:14" ht="12.75" customHeight="1" x14ac:dyDescent="0.25">
      <c r="A128" s="505">
        <v>5104</v>
      </c>
      <c r="B128" s="506">
        <v>791000</v>
      </c>
      <c r="C128" s="416" t="s">
        <v>127</v>
      </c>
      <c r="D128" s="416">
        <f>D133</f>
        <v>0</v>
      </c>
      <c r="E128" s="417">
        <f>E133</f>
        <v>30200</v>
      </c>
      <c r="F128" s="417">
        <f>F133</f>
        <v>30200</v>
      </c>
      <c r="G128" s="417">
        <f t="shared" si="34"/>
        <v>2343</v>
      </c>
      <c r="H128" s="417">
        <f t="shared" ref="H128:M128" si="38">H133</f>
        <v>2343</v>
      </c>
      <c r="I128" s="417">
        <f t="shared" si="38"/>
        <v>0</v>
      </c>
      <c r="J128" s="417">
        <f t="shared" si="38"/>
        <v>0</v>
      </c>
      <c r="K128" s="417">
        <f t="shared" si="38"/>
        <v>0</v>
      </c>
      <c r="L128" s="417">
        <f t="shared" si="38"/>
        <v>0</v>
      </c>
      <c r="M128" s="418">
        <f t="shared" si="38"/>
        <v>0</v>
      </c>
      <c r="N128" s="419">
        <f t="shared" si="16"/>
        <v>7.7582781456953645E-2</v>
      </c>
    </row>
    <row r="129" spans="1:14" ht="16.5" hidden="1" customHeight="1" x14ac:dyDescent="0.25">
      <c r="A129" s="717" t="s">
        <v>0</v>
      </c>
      <c r="B129" s="718" t="s">
        <v>1</v>
      </c>
      <c r="C129" s="719" t="s">
        <v>2</v>
      </c>
      <c r="D129" s="508" t="e">
        <f>D130</f>
        <v>#REF!</v>
      </c>
      <c r="E129" s="714" t="s">
        <v>3</v>
      </c>
      <c r="F129" s="509" t="s">
        <v>3</v>
      </c>
      <c r="G129" s="714" t="s">
        <v>4</v>
      </c>
      <c r="H129" s="714"/>
      <c r="I129" s="714"/>
      <c r="J129" s="714"/>
      <c r="K129" s="714"/>
      <c r="L129" s="714"/>
      <c r="M129" s="722"/>
      <c r="N129" s="419" t="e">
        <f t="shared" si="16"/>
        <v>#VALUE!</v>
      </c>
    </row>
    <row r="130" spans="1:14" ht="16.5" hidden="1" customHeight="1" x14ac:dyDescent="0.25">
      <c r="A130" s="717"/>
      <c r="B130" s="718"/>
      <c r="C130" s="719"/>
      <c r="D130" s="508" t="e">
        <f>#REF!+D82</f>
        <v>#REF!</v>
      </c>
      <c r="E130" s="714"/>
      <c r="F130" s="509"/>
      <c r="G130" s="729" t="s">
        <v>5</v>
      </c>
      <c r="H130" s="714" t="s">
        <v>6</v>
      </c>
      <c r="I130" s="714"/>
      <c r="J130" s="714"/>
      <c r="K130" s="714"/>
      <c r="L130" s="714" t="s">
        <v>7</v>
      </c>
      <c r="M130" s="722" t="s">
        <v>8</v>
      </c>
      <c r="N130" s="419" t="e">
        <f t="shared" si="16"/>
        <v>#VALUE!</v>
      </c>
    </row>
    <row r="131" spans="1:14" ht="16.5" hidden="1" customHeight="1" x14ac:dyDescent="0.25">
      <c r="A131" s="717"/>
      <c r="B131" s="718"/>
      <c r="C131" s="719"/>
      <c r="D131" s="508"/>
      <c r="E131" s="714"/>
      <c r="F131" s="509"/>
      <c r="G131" s="729"/>
      <c r="H131" s="509" t="s">
        <v>9</v>
      </c>
      <c r="I131" s="509" t="s">
        <v>10</v>
      </c>
      <c r="J131" s="509" t="s">
        <v>11</v>
      </c>
      <c r="K131" s="509" t="s">
        <v>12</v>
      </c>
      <c r="L131" s="714"/>
      <c r="M131" s="722"/>
      <c r="N131" s="419" t="e">
        <f t="shared" si="16"/>
        <v>#DIV/0!</v>
      </c>
    </row>
    <row r="132" spans="1:14" ht="16.5" hidden="1" customHeight="1" x14ac:dyDescent="0.25">
      <c r="A132" s="428" t="s">
        <v>18</v>
      </c>
      <c r="B132" s="507" t="s">
        <v>19</v>
      </c>
      <c r="C132" s="429" t="s">
        <v>20</v>
      </c>
      <c r="D132" s="429"/>
      <c r="E132" s="430" t="s">
        <v>21</v>
      </c>
      <c r="F132" s="430" t="s">
        <v>21</v>
      </c>
      <c r="G132" s="430" t="s">
        <v>22</v>
      </c>
      <c r="H132" s="430" t="s">
        <v>23</v>
      </c>
      <c r="I132" s="430" t="s">
        <v>24</v>
      </c>
      <c r="J132" s="430" t="s">
        <v>25</v>
      </c>
      <c r="K132" s="430" t="s">
        <v>26</v>
      </c>
      <c r="L132" s="430" t="s">
        <v>27</v>
      </c>
      <c r="M132" s="431" t="s">
        <v>28</v>
      </c>
      <c r="N132" s="419">
        <f t="shared" si="16"/>
        <v>1.25</v>
      </c>
    </row>
    <row r="133" spans="1:14" ht="12.75" customHeight="1" x14ac:dyDescent="0.25">
      <c r="A133" s="422">
        <v>5105</v>
      </c>
      <c r="B133" s="423">
        <v>791100</v>
      </c>
      <c r="C133" s="424" t="s">
        <v>128</v>
      </c>
      <c r="D133" s="424">
        <v>0</v>
      </c>
      <c r="E133" s="435">
        <v>30200</v>
      </c>
      <c r="F133" s="435">
        <f>D133+E133</f>
        <v>30200</v>
      </c>
      <c r="G133" s="436">
        <f t="shared" si="34"/>
        <v>2343</v>
      </c>
      <c r="H133" s="435">
        <v>2343</v>
      </c>
      <c r="I133" s="435"/>
      <c r="J133" s="435"/>
      <c r="K133" s="435"/>
      <c r="L133" s="435"/>
      <c r="M133" s="437"/>
      <c r="N133" s="419">
        <f t="shared" si="16"/>
        <v>7.7582781456953645E-2</v>
      </c>
    </row>
    <row r="134" spans="1:14" ht="12.75" customHeight="1" x14ac:dyDescent="0.25">
      <c r="A134" s="505">
        <v>5106</v>
      </c>
      <c r="B134" s="506">
        <v>800000</v>
      </c>
      <c r="C134" s="416" t="s">
        <v>534</v>
      </c>
      <c r="D134" s="416">
        <f>D135+D142+D149+D152</f>
        <v>0</v>
      </c>
      <c r="E134" s="417">
        <f>E135+E142+E149+E152</f>
        <v>200</v>
      </c>
      <c r="F134" s="417">
        <f>F135+F142+F149+F152</f>
        <v>200</v>
      </c>
      <c r="G134" s="417">
        <f t="shared" si="34"/>
        <v>398</v>
      </c>
      <c r="H134" s="417">
        <f t="shared" ref="H134:M134" si="39">H135+H142+H149+H152</f>
        <v>0</v>
      </c>
      <c r="I134" s="417">
        <f t="shared" si="39"/>
        <v>0</v>
      </c>
      <c r="J134" s="417">
        <f t="shared" si="39"/>
        <v>0</v>
      </c>
      <c r="K134" s="417">
        <f t="shared" si="39"/>
        <v>0</v>
      </c>
      <c r="L134" s="417">
        <f t="shared" si="39"/>
        <v>0</v>
      </c>
      <c r="M134" s="418">
        <f t="shared" si="39"/>
        <v>398</v>
      </c>
      <c r="N134" s="419">
        <f t="shared" si="16"/>
        <v>1.99</v>
      </c>
    </row>
    <row r="135" spans="1:14" ht="12.75" customHeight="1" x14ac:dyDescent="0.25">
      <c r="A135" s="505">
        <v>5107</v>
      </c>
      <c r="B135" s="506">
        <v>810000</v>
      </c>
      <c r="C135" s="416" t="s">
        <v>535</v>
      </c>
      <c r="D135" s="416">
        <f>D136+D138+D140</f>
        <v>0</v>
      </c>
      <c r="E135" s="417">
        <f>E136+E138+E140</f>
        <v>200</v>
      </c>
      <c r="F135" s="417">
        <f>F136+F138+F140</f>
        <v>200</v>
      </c>
      <c r="G135" s="417">
        <f t="shared" si="34"/>
        <v>398</v>
      </c>
      <c r="H135" s="417">
        <f t="shared" ref="H135:M135" si="40">H136+H138+H140</f>
        <v>0</v>
      </c>
      <c r="I135" s="417">
        <f t="shared" si="40"/>
        <v>0</v>
      </c>
      <c r="J135" s="417">
        <f t="shared" si="40"/>
        <v>0</v>
      </c>
      <c r="K135" s="417">
        <f t="shared" si="40"/>
        <v>0</v>
      </c>
      <c r="L135" s="417">
        <f t="shared" si="40"/>
        <v>0</v>
      </c>
      <c r="M135" s="418">
        <f t="shared" si="40"/>
        <v>398</v>
      </c>
      <c r="N135" s="419">
        <f t="shared" si="16"/>
        <v>1.99</v>
      </c>
    </row>
    <row r="136" spans="1:14" ht="16.5" hidden="1" customHeight="1" x14ac:dyDescent="0.25">
      <c r="A136" s="505">
        <v>5108</v>
      </c>
      <c r="B136" s="506">
        <v>811000</v>
      </c>
      <c r="C136" s="416" t="s">
        <v>131</v>
      </c>
      <c r="D136" s="416">
        <f>D137</f>
        <v>0</v>
      </c>
      <c r="E136" s="417">
        <f>E137</f>
        <v>0</v>
      </c>
      <c r="F136" s="417">
        <f>F137</f>
        <v>0</v>
      </c>
      <c r="G136" s="417">
        <f t="shared" si="34"/>
        <v>0</v>
      </c>
      <c r="H136" s="417">
        <f t="shared" ref="H136:M136" si="41">H137</f>
        <v>0</v>
      </c>
      <c r="I136" s="417">
        <f t="shared" si="41"/>
        <v>0</v>
      </c>
      <c r="J136" s="417">
        <f t="shared" si="41"/>
        <v>0</v>
      </c>
      <c r="K136" s="417">
        <f t="shared" si="41"/>
        <v>0</v>
      </c>
      <c r="L136" s="417">
        <f t="shared" si="41"/>
        <v>0</v>
      </c>
      <c r="M136" s="418">
        <f t="shared" si="41"/>
        <v>0</v>
      </c>
      <c r="N136" s="419" t="e">
        <f t="shared" si="16"/>
        <v>#DIV/0!</v>
      </c>
    </row>
    <row r="137" spans="1:14" ht="16.5" hidden="1" customHeight="1" x14ac:dyDescent="0.25">
      <c r="A137" s="422">
        <v>5109</v>
      </c>
      <c r="B137" s="423">
        <v>811100</v>
      </c>
      <c r="C137" s="424" t="s">
        <v>132</v>
      </c>
      <c r="D137" s="424"/>
      <c r="E137" s="435"/>
      <c r="F137" s="435"/>
      <c r="G137" s="436">
        <f t="shared" si="34"/>
        <v>0</v>
      </c>
      <c r="H137" s="435"/>
      <c r="I137" s="435"/>
      <c r="J137" s="435"/>
      <c r="K137" s="435"/>
      <c r="L137" s="435"/>
      <c r="M137" s="437"/>
      <c r="N137" s="419" t="e">
        <f t="shared" si="16"/>
        <v>#DIV/0!</v>
      </c>
    </row>
    <row r="138" spans="1:14" ht="12.75" customHeight="1" x14ac:dyDescent="0.25">
      <c r="A138" s="505">
        <v>5110</v>
      </c>
      <c r="B138" s="506">
        <v>812000</v>
      </c>
      <c r="C138" s="416" t="s">
        <v>133</v>
      </c>
      <c r="D138" s="416">
        <f>D139</f>
        <v>0</v>
      </c>
      <c r="E138" s="417">
        <f>E139</f>
        <v>200</v>
      </c>
      <c r="F138" s="417">
        <f>F139</f>
        <v>200</v>
      </c>
      <c r="G138" s="417">
        <f t="shared" si="34"/>
        <v>398</v>
      </c>
      <c r="H138" s="417">
        <f t="shared" ref="H138:M138" si="42">H139</f>
        <v>0</v>
      </c>
      <c r="I138" s="417">
        <f t="shared" si="42"/>
        <v>0</v>
      </c>
      <c r="J138" s="417">
        <f t="shared" si="42"/>
        <v>0</v>
      </c>
      <c r="K138" s="417">
        <f t="shared" si="42"/>
        <v>0</v>
      </c>
      <c r="L138" s="417">
        <f t="shared" si="42"/>
        <v>0</v>
      </c>
      <c r="M138" s="418">
        <f t="shared" si="42"/>
        <v>398</v>
      </c>
      <c r="N138" s="419">
        <f t="shared" ref="N138:N201" si="43">G138/F138</f>
        <v>1.99</v>
      </c>
    </row>
    <row r="139" spans="1:14" ht="12.75" customHeight="1" x14ac:dyDescent="0.25">
      <c r="A139" s="422">
        <v>5111</v>
      </c>
      <c r="B139" s="423">
        <v>812100</v>
      </c>
      <c r="C139" s="424" t="s">
        <v>134</v>
      </c>
      <c r="D139" s="424">
        <v>0</v>
      </c>
      <c r="E139" s="435">
        <v>200</v>
      </c>
      <c r="F139" s="435">
        <f>D139+E139</f>
        <v>200</v>
      </c>
      <c r="G139" s="436">
        <f t="shared" si="34"/>
        <v>398</v>
      </c>
      <c r="H139" s="435"/>
      <c r="I139" s="435"/>
      <c r="J139" s="435"/>
      <c r="K139" s="435"/>
      <c r="L139" s="435"/>
      <c r="M139" s="437">
        <v>398</v>
      </c>
      <c r="N139" s="419">
        <f t="shared" si="43"/>
        <v>1.99</v>
      </c>
    </row>
    <row r="140" spans="1:14" ht="16.5" hidden="1" customHeight="1" x14ac:dyDescent="0.25">
      <c r="A140" s="505">
        <v>5112</v>
      </c>
      <c r="B140" s="506">
        <v>813000</v>
      </c>
      <c r="C140" s="416" t="s">
        <v>135</v>
      </c>
      <c r="D140" s="416"/>
      <c r="E140" s="417">
        <f>E141</f>
        <v>0</v>
      </c>
      <c r="F140" s="417">
        <f>F141</f>
        <v>0</v>
      </c>
      <c r="G140" s="417">
        <f t="shared" si="34"/>
        <v>0</v>
      </c>
      <c r="H140" s="417">
        <f t="shared" ref="H140:M140" si="44">H141</f>
        <v>0</v>
      </c>
      <c r="I140" s="417">
        <f t="shared" si="44"/>
        <v>0</v>
      </c>
      <c r="J140" s="417">
        <f t="shared" si="44"/>
        <v>0</v>
      </c>
      <c r="K140" s="417">
        <f t="shared" si="44"/>
        <v>0</v>
      </c>
      <c r="L140" s="417">
        <f t="shared" si="44"/>
        <v>0</v>
      </c>
      <c r="M140" s="418">
        <f t="shared" si="44"/>
        <v>0</v>
      </c>
      <c r="N140" s="419" t="e">
        <f t="shared" si="43"/>
        <v>#DIV/0!</v>
      </c>
    </row>
    <row r="141" spans="1:14" ht="16.5" hidden="1" customHeight="1" x14ac:dyDescent="0.25">
      <c r="A141" s="422">
        <v>5113</v>
      </c>
      <c r="B141" s="423">
        <v>813100</v>
      </c>
      <c r="C141" s="424" t="s">
        <v>136</v>
      </c>
      <c r="D141" s="424"/>
      <c r="E141" s="435"/>
      <c r="F141" s="435"/>
      <c r="G141" s="436">
        <f t="shared" si="34"/>
        <v>0</v>
      </c>
      <c r="H141" s="435"/>
      <c r="I141" s="435"/>
      <c r="J141" s="435"/>
      <c r="K141" s="435"/>
      <c r="L141" s="435"/>
      <c r="M141" s="437"/>
      <c r="N141" s="419" t="e">
        <f t="shared" si="43"/>
        <v>#DIV/0!</v>
      </c>
    </row>
    <row r="142" spans="1:14" ht="16.5" hidden="1" customHeight="1" x14ac:dyDescent="0.25">
      <c r="A142" s="505">
        <v>5114</v>
      </c>
      <c r="B142" s="506">
        <v>820000</v>
      </c>
      <c r="C142" s="416" t="s">
        <v>137</v>
      </c>
      <c r="D142" s="416"/>
      <c r="E142" s="417">
        <f>E143+E145+E147</f>
        <v>0</v>
      </c>
      <c r="F142" s="417">
        <f>F143+F145+F147</f>
        <v>0</v>
      </c>
      <c r="G142" s="417">
        <f t="shared" si="34"/>
        <v>0</v>
      </c>
      <c r="H142" s="417">
        <f t="shared" ref="H142:M142" si="45">H143+H145+H147</f>
        <v>0</v>
      </c>
      <c r="I142" s="417">
        <f t="shared" si="45"/>
        <v>0</v>
      </c>
      <c r="J142" s="417">
        <f t="shared" si="45"/>
        <v>0</v>
      </c>
      <c r="K142" s="417">
        <f t="shared" si="45"/>
        <v>0</v>
      </c>
      <c r="L142" s="417">
        <f t="shared" si="45"/>
        <v>0</v>
      </c>
      <c r="M142" s="418">
        <f t="shared" si="45"/>
        <v>0</v>
      </c>
      <c r="N142" s="419" t="e">
        <f t="shared" si="43"/>
        <v>#DIV/0!</v>
      </c>
    </row>
    <row r="143" spans="1:14" ht="16.5" hidden="1" customHeight="1" x14ac:dyDescent="0.25">
      <c r="A143" s="505">
        <v>5115</v>
      </c>
      <c r="B143" s="506">
        <v>821000</v>
      </c>
      <c r="C143" s="416" t="s">
        <v>138</v>
      </c>
      <c r="D143" s="416"/>
      <c r="E143" s="417">
        <f>E144</f>
        <v>0</v>
      </c>
      <c r="F143" s="417">
        <f>F144</f>
        <v>0</v>
      </c>
      <c r="G143" s="417">
        <f t="shared" si="34"/>
        <v>0</v>
      </c>
      <c r="H143" s="417">
        <f t="shared" ref="H143:M143" si="46">H144</f>
        <v>0</v>
      </c>
      <c r="I143" s="417">
        <f t="shared" si="46"/>
        <v>0</v>
      </c>
      <c r="J143" s="417">
        <f t="shared" si="46"/>
        <v>0</v>
      </c>
      <c r="K143" s="417">
        <f t="shared" si="46"/>
        <v>0</v>
      </c>
      <c r="L143" s="417">
        <f t="shared" si="46"/>
        <v>0</v>
      </c>
      <c r="M143" s="418">
        <f t="shared" si="46"/>
        <v>0</v>
      </c>
      <c r="N143" s="419" t="e">
        <f t="shared" si="43"/>
        <v>#DIV/0!</v>
      </c>
    </row>
    <row r="144" spans="1:14" ht="16.5" hidden="1" customHeight="1" x14ac:dyDescent="0.25">
      <c r="A144" s="422">
        <v>5116</v>
      </c>
      <c r="B144" s="423">
        <v>821100</v>
      </c>
      <c r="C144" s="424" t="s">
        <v>139</v>
      </c>
      <c r="D144" s="424"/>
      <c r="E144" s="435"/>
      <c r="F144" s="435"/>
      <c r="G144" s="436">
        <f t="shared" si="34"/>
        <v>0</v>
      </c>
      <c r="H144" s="435"/>
      <c r="I144" s="435"/>
      <c r="J144" s="435"/>
      <c r="K144" s="435"/>
      <c r="L144" s="435"/>
      <c r="M144" s="437"/>
      <c r="N144" s="419" t="e">
        <f t="shared" si="43"/>
        <v>#DIV/0!</v>
      </c>
    </row>
    <row r="145" spans="1:14" ht="16.5" hidden="1" customHeight="1" x14ac:dyDescent="0.25">
      <c r="A145" s="505">
        <v>5117</v>
      </c>
      <c r="B145" s="506">
        <v>822000</v>
      </c>
      <c r="C145" s="416" t="s">
        <v>140</v>
      </c>
      <c r="D145" s="416"/>
      <c r="E145" s="417">
        <f>E146</f>
        <v>0</v>
      </c>
      <c r="F145" s="417">
        <f>F146</f>
        <v>0</v>
      </c>
      <c r="G145" s="417">
        <f t="shared" si="34"/>
        <v>0</v>
      </c>
      <c r="H145" s="417">
        <f t="shared" ref="H145:M145" si="47">H146</f>
        <v>0</v>
      </c>
      <c r="I145" s="417">
        <f t="shared" si="47"/>
        <v>0</v>
      </c>
      <c r="J145" s="417">
        <f t="shared" si="47"/>
        <v>0</v>
      </c>
      <c r="K145" s="417">
        <f t="shared" si="47"/>
        <v>0</v>
      </c>
      <c r="L145" s="417">
        <f t="shared" si="47"/>
        <v>0</v>
      </c>
      <c r="M145" s="418">
        <f t="shared" si="47"/>
        <v>0</v>
      </c>
      <c r="N145" s="419" t="e">
        <f t="shared" si="43"/>
        <v>#DIV/0!</v>
      </c>
    </row>
    <row r="146" spans="1:14" ht="16.5" hidden="1" customHeight="1" x14ac:dyDescent="0.25">
      <c r="A146" s="422">
        <v>5118</v>
      </c>
      <c r="B146" s="423">
        <v>822100</v>
      </c>
      <c r="C146" s="424" t="s">
        <v>141</v>
      </c>
      <c r="D146" s="424"/>
      <c r="E146" s="435"/>
      <c r="F146" s="435"/>
      <c r="G146" s="436">
        <f t="shared" si="34"/>
        <v>0</v>
      </c>
      <c r="H146" s="435"/>
      <c r="I146" s="435"/>
      <c r="J146" s="435"/>
      <c r="K146" s="435"/>
      <c r="L146" s="435"/>
      <c r="M146" s="437"/>
      <c r="N146" s="419" t="e">
        <f t="shared" si="43"/>
        <v>#DIV/0!</v>
      </c>
    </row>
    <row r="147" spans="1:14" ht="16.5" hidden="1" customHeight="1" x14ac:dyDescent="0.25">
      <c r="A147" s="505">
        <v>5119</v>
      </c>
      <c r="B147" s="506">
        <v>823000</v>
      </c>
      <c r="C147" s="416" t="s">
        <v>142</v>
      </c>
      <c r="D147" s="416"/>
      <c r="E147" s="417">
        <f>E148</f>
        <v>0</v>
      </c>
      <c r="F147" s="417">
        <f>F148</f>
        <v>0</v>
      </c>
      <c r="G147" s="417">
        <f t="shared" si="34"/>
        <v>0</v>
      </c>
      <c r="H147" s="417">
        <f t="shared" ref="H147:M147" si="48">H148</f>
        <v>0</v>
      </c>
      <c r="I147" s="417">
        <f t="shared" si="48"/>
        <v>0</v>
      </c>
      <c r="J147" s="417">
        <f t="shared" si="48"/>
        <v>0</v>
      </c>
      <c r="K147" s="417">
        <f t="shared" si="48"/>
        <v>0</v>
      </c>
      <c r="L147" s="417">
        <f t="shared" si="48"/>
        <v>0</v>
      </c>
      <c r="M147" s="418">
        <f t="shared" si="48"/>
        <v>0</v>
      </c>
      <c r="N147" s="419" t="e">
        <f t="shared" si="43"/>
        <v>#DIV/0!</v>
      </c>
    </row>
    <row r="148" spans="1:14" ht="16.5" hidden="1" customHeight="1" x14ac:dyDescent="0.25">
      <c r="A148" s="422">
        <v>5120</v>
      </c>
      <c r="B148" s="423">
        <v>823100</v>
      </c>
      <c r="C148" s="424" t="s">
        <v>143</v>
      </c>
      <c r="D148" s="424"/>
      <c r="E148" s="435"/>
      <c r="F148" s="435"/>
      <c r="G148" s="436">
        <f t="shared" si="34"/>
        <v>0</v>
      </c>
      <c r="H148" s="435"/>
      <c r="I148" s="435"/>
      <c r="J148" s="435"/>
      <c r="K148" s="435"/>
      <c r="L148" s="435"/>
      <c r="M148" s="437"/>
      <c r="N148" s="419" t="e">
        <f t="shared" si="43"/>
        <v>#DIV/0!</v>
      </c>
    </row>
    <row r="149" spans="1:14" ht="16.5" hidden="1" customHeight="1" x14ac:dyDescent="0.25">
      <c r="A149" s="505">
        <v>5121</v>
      </c>
      <c r="B149" s="506">
        <v>830000</v>
      </c>
      <c r="C149" s="416" t="s">
        <v>144</v>
      </c>
      <c r="D149" s="416"/>
      <c r="E149" s="417">
        <f>E150</f>
        <v>0</v>
      </c>
      <c r="F149" s="417">
        <f>F150</f>
        <v>0</v>
      </c>
      <c r="G149" s="417">
        <f t="shared" si="34"/>
        <v>0</v>
      </c>
      <c r="H149" s="417">
        <f t="shared" ref="H149:M150" si="49">H150</f>
        <v>0</v>
      </c>
      <c r="I149" s="417">
        <f t="shared" si="49"/>
        <v>0</v>
      </c>
      <c r="J149" s="417">
        <f t="shared" si="49"/>
        <v>0</v>
      </c>
      <c r="K149" s="417">
        <f t="shared" si="49"/>
        <v>0</v>
      </c>
      <c r="L149" s="417">
        <f t="shared" si="49"/>
        <v>0</v>
      </c>
      <c r="M149" s="418">
        <f t="shared" si="49"/>
        <v>0</v>
      </c>
      <c r="N149" s="419" t="e">
        <f t="shared" si="43"/>
        <v>#DIV/0!</v>
      </c>
    </row>
    <row r="150" spans="1:14" ht="16.5" hidden="1" customHeight="1" x14ac:dyDescent="0.25">
      <c r="A150" s="505">
        <v>5122</v>
      </c>
      <c r="B150" s="506">
        <v>831000</v>
      </c>
      <c r="C150" s="416" t="s">
        <v>145</v>
      </c>
      <c r="D150" s="416"/>
      <c r="E150" s="417">
        <f>E151</f>
        <v>0</v>
      </c>
      <c r="F150" s="417">
        <f>F151</f>
        <v>0</v>
      </c>
      <c r="G150" s="417">
        <f t="shared" si="34"/>
        <v>0</v>
      </c>
      <c r="H150" s="417">
        <f t="shared" si="49"/>
        <v>0</v>
      </c>
      <c r="I150" s="417">
        <f t="shared" si="49"/>
        <v>0</v>
      </c>
      <c r="J150" s="417">
        <f t="shared" si="49"/>
        <v>0</v>
      </c>
      <c r="K150" s="417">
        <f t="shared" si="49"/>
        <v>0</v>
      </c>
      <c r="L150" s="417">
        <f t="shared" si="49"/>
        <v>0</v>
      </c>
      <c r="M150" s="418">
        <f t="shared" si="49"/>
        <v>0</v>
      </c>
      <c r="N150" s="419" t="e">
        <f t="shared" si="43"/>
        <v>#DIV/0!</v>
      </c>
    </row>
    <row r="151" spans="1:14" ht="16.5" hidden="1" customHeight="1" x14ac:dyDescent="0.25">
      <c r="A151" s="422">
        <v>5123</v>
      </c>
      <c r="B151" s="423">
        <v>831100</v>
      </c>
      <c r="C151" s="424" t="s">
        <v>146</v>
      </c>
      <c r="D151" s="424"/>
      <c r="E151" s="435"/>
      <c r="F151" s="435"/>
      <c r="G151" s="436">
        <f t="shared" si="34"/>
        <v>0</v>
      </c>
      <c r="H151" s="435"/>
      <c r="I151" s="435"/>
      <c r="J151" s="435"/>
      <c r="K151" s="435"/>
      <c r="L151" s="435"/>
      <c r="M151" s="437"/>
      <c r="N151" s="419" t="e">
        <f t="shared" si="43"/>
        <v>#DIV/0!</v>
      </c>
    </row>
    <row r="152" spans="1:14" ht="16.5" hidden="1" customHeight="1" x14ac:dyDescent="0.25">
      <c r="A152" s="505">
        <v>5124</v>
      </c>
      <c r="B152" s="506">
        <v>840000</v>
      </c>
      <c r="C152" s="416" t="s">
        <v>147</v>
      </c>
      <c r="D152" s="416"/>
      <c r="E152" s="417">
        <f>E153+E155+E161</f>
        <v>0</v>
      </c>
      <c r="F152" s="417">
        <f>F153+F155+F161</f>
        <v>0</v>
      </c>
      <c r="G152" s="417">
        <f t="shared" si="34"/>
        <v>0</v>
      </c>
      <c r="H152" s="417">
        <f t="shared" ref="H152:M152" si="50">H153+H155+H161</f>
        <v>0</v>
      </c>
      <c r="I152" s="417">
        <f t="shared" si="50"/>
        <v>0</v>
      </c>
      <c r="J152" s="417">
        <f t="shared" si="50"/>
        <v>0</v>
      </c>
      <c r="K152" s="417">
        <f t="shared" si="50"/>
        <v>0</v>
      </c>
      <c r="L152" s="417">
        <f t="shared" si="50"/>
        <v>0</v>
      </c>
      <c r="M152" s="418">
        <f t="shared" si="50"/>
        <v>0</v>
      </c>
      <c r="N152" s="419" t="e">
        <f t="shared" si="43"/>
        <v>#DIV/0!</v>
      </c>
    </row>
    <row r="153" spans="1:14" ht="16.5" hidden="1" customHeight="1" x14ac:dyDescent="0.25">
      <c r="A153" s="505">
        <v>5125</v>
      </c>
      <c r="B153" s="506">
        <v>841000</v>
      </c>
      <c r="C153" s="416" t="s">
        <v>148</v>
      </c>
      <c r="D153" s="416"/>
      <c r="E153" s="417">
        <f>E154</f>
        <v>0</v>
      </c>
      <c r="F153" s="417">
        <f>F154</f>
        <v>0</v>
      </c>
      <c r="G153" s="417">
        <f t="shared" si="34"/>
        <v>0</v>
      </c>
      <c r="H153" s="417">
        <f t="shared" ref="H153:M153" si="51">H154</f>
        <v>0</v>
      </c>
      <c r="I153" s="417">
        <f t="shared" si="51"/>
        <v>0</v>
      </c>
      <c r="J153" s="417">
        <f t="shared" si="51"/>
        <v>0</v>
      </c>
      <c r="K153" s="417">
        <f t="shared" si="51"/>
        <v>0</v>
      </c>
      <c r="L153" s="417">
        <f t="shared" si="51"/>
        <v>0</v>
      </c>
      <c r="M153" s="418">
        <f t="shared" si="51"/>
        <v>0</v>
      </c>
      <c r="N153" s="419" t="e">
        <f t="shared" si="43"/>
        <v>#DIV/0!</v>
      </c>
    </row>
    <row r="154" spans="1:14" ht="16.5" hidden="1" customHeight="1" x14ac:dyDescent="0.25">
      <c r="A154" s="422">
        <v>5126</v>
      </c>
      <c r="B154" s="423">
        <v>841100</v>
      </c>
      <c r="C154" s="424" t="s">
        <v>149</v>
      </c>
      <c r="D154" s="424"/>
      <c r="E154" s="435"/>
      <c r="F154" s="435"/>
      <c r="G154" s="436">
        <f t="shared" si="34"/>
        <v>0</v>
      </c>
      <c r="H154" s="435"/>
      <c r="I154" s="435"/>
      <c r="J154" s="435"/>
      <c r="K154" s="435"/>
      <c r="L154" s="435"/>
      <c r="M154" s="437"/>
      <c r="N154" s="419" t="e">
        <f t="shared" si="43"/>
        <v>#DIV/0!</v>
      </c>
    </row>
    <row r="155" spans="1:14" ht="16.5" hidden="1" customHeight="1" x14ac:dyDescent="0.25">
      <c r="A155" s="505">
        <v>5127</v>
      </c>
      <c r="B155" s="506">
        <v>842000</v>
      </c>
      <c r="C155" s="416" t="s">
        <v>150</v>
      </c>
      <c r="D155" s="416"/>
      <c r="E155" s="417">
        <f>E160</f>
        <v>0</v>
      </c>
      <c r="F155" s="417">
        <f>F160</f>
        <v>0</v>
      </c>
      <c r="G155" s="417">
        <f t="shared" si="34"/>
        <v>0</v>
      </c>
      <c r="H155" s="417">
        <f t="shared" ref="H155:M155" si="52">H160</f>
        <v>0</v>
      </c>
      <c r="I155" s="417">
        <f t="shared" si="52"/>
        <v>0</v>
      </c>
      <c r="J155" s="417">
        <f t="shared" si="52"/>
        <v>0</v>
      </c>
      <c r="K155" s="417">
        <f t="shared" si="52"/>
        <v>0</v>
      </c>
      <c r="L155" s="417">
        <f t="shared" si="52"/>
        <v>0</v>
      </c>
      <c r="M155" s="418">
        <f t="shared" si="52"/>
        <v>0</v>
      </c>
      <c r="N155" s="419" t="e">
        <f t="shared" si="43"/>
        <v>#DIV/0!</v>
      </c>
    </row>
    <row r="156" spans="1:14" ht="16.5" hidden="1" customHeight="1" x14ac:dyDescent="0.25">
      <c r="A156" s="717" t="s">
        <v>0</v>
      </c>
      <c r="B156" s="718" t="s">
        <v>1</v>
      </c>
      <c r="C156" s="719" t="s">
        <v>2</v>
      </c>
      <c r="D156" s="508"/>
      <c r="E156" s="714" t="s">
        <v>3</v>
      </c>
      <c r="F156" s="509" t="s">
        <v>3</v>
      </c>
      <c r="G156" s="714" t="s">
        <v>4</v>
      </c>
      <c r="H156" s="714"/>
      <c r="I156" s="714"/>
      <c r="J156" s="714"/>
      <c r="K156" s="714"/>
      <c r="L156" s="714"/>
      <c r="M156" s="722"/>
      <c r="N156" s="419" t="e">
        <f t="shared" si="43"/>
        <v>#VALUE!</v>
      </c>
    </row>
    <row r="157" spans="1:14" ht="16.5" hidden="1" customHeight="1" x14ac:dyDescent="0.25">
      <c r="A157" s="717"/>
      <c r="B157" s="718"/>
      <c r="C157" s="719"/>
      <c r="D157" s="508"/>
      <c r="E157" s="714"/>
      <c r="F157" s="509"/>
      <c r="G157" s="729" t="s">
        <v>5</v>
      </c>
      <c r="H157" s="714" t="s">
        <v>6</v>
      </c>
      <c r="I157" s="714"/>
      <c r="J157" s="714"/>
      <c r="K157" s="714"/>
      <c r="L157" s="714" t="s">
        <v>7</v>
      </c>
      <c r="M157" s="722" t="s">
        <v>8</v>
      </c>
      <c r="N157" s="419" t="e">
        <f t="shared" si="43"/>
        <v>#VALUE!</v>
      </c>
    </row>
    <row r="158" spans="1:14" ht="16.5" hidden="1" customHeight="1" x14ac:dyDescent="0.25">
      <c r="A158" s="717"/>
      <c r="B158" s="718"/>
      <c r="C158" s="719"/>
      <c r="D158" s="508"/>
      <c r="E158" s="714"/>
      <c r="F158" s="509"/>
      <c r="G158" s="729"/>
      <c r="H158" s="509" t="s">
        <v>9</v>
      </c>
      <c r="I158" s="509" t="s">
        <v>10</v>
      </c>
      <c r="J158" s="509" t="s">
        <v>11</v>
      </c>
      <c r="K158" s="509" t="s">
        <v>12</v>
      </c>
      <c r="L158" s="714"/>
      <c r="M158" s="722"/>
      <c r="N158" s="419" t="e">
        <f t="shared" si="43"/>
        <v>#DIV/0!</v>
      </c>
    </row>
    <row r="159" spans="1:14" ht="16.5" hidden="1" customHeight="1" x14ac:dyDescent="0.25">
      <c r="A159" s="428" t="s">
        <v>18</v>
      </c>
      <c r="B159" s="507" t="s">
        <v>19</v>
      </c>
      <c r="C159" s="429" t="s">
        <v>20</v>
      </c>
      <c r="D159" s="429"/>
      <c r="E159" s="430" t="s">
        <v>21</v>
      </c>
      <c r="F159" s="430" t="s">
        <v>21</v>
      </c>
      <c r="G159" s="430" t="s">
        <v>22</v>
      </c>
      <c r="H159" s="430" t="s">
        <v>23</v>
      </c>
      <c r="I159" s="430" t="s">
        <v>24</v>
      </c>
      <c r="J159" s="430" t="s">
        <v>25</v>
      </c>
      <c r="K159" s="430" t="s">
        <v>26</v>
      </c>
      <c r="L159" s="430" t="s">
        <v>27</v>
      </c>
      <c r="M159" s="431" t="s">
        <v>28</v>
      </c>
      <c r="N159" s="419">
        <f t="shared" si="43"/>
        <v>1.25</v>
      </c>
    </row>
    <row r="160" spans="1:14" ht="16.5" hidden="1" customHeight="1" x14ac:dyDescent="0.25">
      <c r="A160" s="422">
        <v>5128</v>
      </c>
      <c r="B160" s="423">
        <v>842100</v>
      </c>
      <c r="C160" s="424" t="s">
        <v>151</v>
      </c>
      <c r="D160" s="424"/>
      <c r="E160" s="435"/>
      <c r="F160" s="435"/>
      <c r="G160" s="436">
        <f t="shared" si="34"/>
        <v>0</v>
      </c>
      <c r="H160" s="435"/>
      <c r="I160" s="435"/>
      <c r="J160" s="435"/>
      <c r="K160" s="435"/>
      <c r="L160" s="435"/>
      <c r="M160" s="437"/>
      <c r="N160" s="419" t="e">
        <f t="shared" si="43"/>
        <v>#DIV/0!</v>
      </c>
    </row>
    <row r="161" spans="1:14" ht="16.5" hidden="1" customHeight="1" x14ac:dyDescent="0.25">
      <c r="A161" s="505">
        <v>5129</v>
      </c>
      <c r="B161" s="506">
        <v>843000</v>
      </c>
      <c r="C161" s="416" t="s">
        <v>152</v>
      </c>
      <c r="D161" s="416"/>
      <c r="E161" s="417">
        <f>E162</f>
        <v>0</v>
      </c>
      <c r="F161" s="417">
        <f>F162</f>
        <v>0</v>
      </c>
      <c r="G161" s="417">
        <f t="shared" si="34"/>
        <v>0</v>
      </c>
      <c r="H161" s="417">
        <f t="shared" ref="H161:M161" si="53">H162</f>
        <v>0</v>
      </c>
      <c r="I161" s="417">
        <f t="shared" si="53"/>
        <v>0</v>
      </c>
      <c r="J161" s="417">
        <f t="shared" si="53"/>
        <v>0</v>
      </c>
      <c r="K161" s="417">
        <f t="shared" si="53"/>
        <v>0</v>
      </c>
      <c r="L161" s="417">
        <f t="shared" si="53"/>
        <v>0</v>
      </c>
      <c r="M161" s="418">
        <f t="shared" si="53"/>
        <v>0</v>
      </c>
      <c r="N161" s="419" t="e">
        <f t="shared" si="43"/>
        <v>#DIV/0!</v>
      </c>
    </row>
    <row r="162" spans="1:14" ht="16.5" hidden="1" customHeight="1" x14ac:dyDescent="0.25">
      <c r="A162" s="422">
        <v>5130</v>
      </c>
      <c r="B162" s="423">
        <v>843100</v>
      </c>
      <c r="C162" s="424" t="s">
        <v>153</v>
      </c>
      <c r="D162" s="424"/>
      <c r="E162" s="435"/>
      <c r="F162" s="435"/>
      <c r="G162" s="436">
        <f t="shared" si="34"/>
        <v>0</v>
      </c>
      <c r="H162" s="435"/>
      <c r="I162" s="435"/>
      <c r="J162" s="435"/>
      <c r="K162" s="435"/>
      <c r="L162" s="435"/>
      <c r="M162" s="437"/>
      <c r="N162" s="419" t="e">
        <f t="shared" si="43"/>
        <v>#DIV/0!</v>
      </c>
    </row>
    <row r="163" spans="1:14" ht="16.5" hidden="1" customHeight="1" x14ac:dyDescent="0.25">
      <c r="A163" s="505">
        <v>5131</v>
      </c>
      <c r="B163" s="506">
        <v>900000</v>
      </c>
      <c r="C163" s="416" t="s">
        <v>154</v>
      </c>
      <c r="D163" s="416"/>
      <c r="E163" s="417">
        <f>E164+E187</f>
        <v>0</v>
      </c>
      <c r="F163" s="417">
        <f>F164+F187</f>
        <v>0</v>
      </c>
      <c r="G163" s="417">
        <f t="shared" ref="G163:G198" si="54">SUM(H163:M163)</f>
        <v>0</v>
      </c>
      <c r="H163" s="417">
        <f t="shared" ref="H163:M163" si="55">H164+H187</f>
        <v>0</v>
      </c>
      <c r="I163" s="417">
        <f t="shared" si="55"/>
        <v>0</v>
      </c>
      <c r="J163" s="417">
        <f t="shared" si="55"/>
        <v>0</v>
      </c>
      <c r="K163" s="417">
        <f t="shared" si="55"/>
        <v>0</v>
      </c>
      <c r="L163" s="417">
        <f t="shared" si="55"/>
        <v>0</v>
      </c>
      <c r="M163" s="418">
        <f t="shared" si="55"/>
        <v>0</v>
      </c>
      <c r="N163" s="419" t="e">
        <f t="shared" si="43"/>
        <v>#DIV/0!</v>
      </c>
    </row>
    <row r="164" spans="1:14" ht="16.5" hidden="1" customHeight="1" x14ac:dyDescent="0.25">
      <c r="A164" s="505">
        <v>5132</v>
      </c>
      <c r="B164" s="506">
        <v>910000</v>
      </c>
      <c r="C164" s="416" t="s">
        <v>155</v>
      </c>
      <c r="D164" s="416"/>
      <c r="E164" s="417">
        <f>E165+E175</f>
        <v>0</v>
      </c>
      <c r="F164" s="417">
        <f>F165+F175</f>
        <v>0</v>
      </c>
      <c r="G164" s="417">
        <f t="shared" si="54"/>
        <v>0</v>
      </c>
      <c r="H164" s="417">
        <f t="shared" ref="H164:M164" si="56">H165+H175</f>
        <v>0</v>
      </c>
      <c r="I164" s="417">
        <f t="shared" si="56"/>
        <v>0</v>
      </c>
      <c r="J164" s="417">
        <f t="shared" si="56"/>
        <v>0</v>
      </c>
      <c r="K164" s="417">
        <f t="shared" si="56"/>
        <v>0</v>
      </c>
      <c r="L164" s="417">
        <f t="shared" si="56"/>
        <v>0</v>
      </c>
      <c r="M164" s="418">
        <f t="shared" si="56"/>
        <v>0</v>
      </c>
      <c r="N164" s="419" t="e">
        <f t="shared" si="43"/>
        <v>#DIV/0!</v>
      </c>
    </row>
    <row r="165" spans="1:14" ht="16.5" hidden="1" customHeight="1" x14ac:dyDescent="0.25">
      <c r="A165" s="505">
        <v>5133</v>
      </c>
      <c r="B165" s="506">
        <v>911000</v>
      </c>
      <c r="C165" s="416" t="s">
        <v>156</v>
      </c>
      <c r="D165" s="416"/>
      <c r="E165" s="417">
        <f>SUM(E166:E174)</f>
        <v>0</v>
      </c>
      <c r="F165" s="417">
        <f>SUM(F166:F174)</f>
        <v>0</v>
      </c>
      <c r="G165" s="417">
        <f t="shared" si="54"/>
        <v>0</v>
      </c>
      <c r="H165" s="417">
        <f t="shared" ref="H165:M165" si="57">SUM(H166:H174)</f>
        <v>0</v>
      </c>
      <c r="I165" s="417">
        <f t="shared" si="57"/>
        <v>0</v>
      </c>
      <c r="J165" s="417">
        <f t="shared" si="57"/>
        <v>0</v>
      </c>
      <c r="K165" s="417">
        <f t="shared" si="57"/>
        <v>0</v>
      </c>
      <c r="L165" s="417">
        <f t="shared" si="57"/>
        <v>0</v>
      </c>
      <c r="M165" s="418">
        <f t="shared" si="57"/>
        <v>0</v>
      </c>
      <c r="N165" s="419" t="e">
        <f t="shared" si="43"/>
        <v>#DIV/0!</v>
      </c>
    </row>
    <row r="166" spans="1:14" ht="16.5" hidden="1" customHeight="1" x14ac:dyDescent="0.25">
      <c r="A166" s="422">
        <v>5134</v>
      </c>
      <c r="B166" s="423">
        <v>911100</v>
      </c>
      <c r="C166" s="424" t="s">
        <v>157</v>
      </c>
      <c r="D166" s="424"/>
      <c r="E166" s="435"/>
      <c r="F166" s="435"/>
      <c r="G166" s="436">
        <f t="shared" si="54"/>
        <v>0</v>
      </c>
      <c r="H166" s="435"/>
      <c r="I166" s="435"/>
      <c r="J166" s="435"/>
      <c r="K166" s="435"/>
      <c r="L166" s="435"/>
      <c r="M166" s="437"/>
      <c r="N166" s="419" t="e">
        <f t="shared" si="43"/>
        <v>#DIV/0!</v>
      </c>
    </row>
    <row r="167" spans="1:14" ht="16.5" hidden="1" customHeight="1" x14ac:dyDescent="0.25">
      <c r="A167" s="422">
        <v>5135</v>
      </c>
      <c r="B167" s="423">
        <v>911200</v>
      </c>
      <c r="C167" s="424" t="s">
        <v>158</v>
      </c>
      <c r="D167" s="424"/>
      <c r="E167" s="435"/>
      <c r="F167" s="435"/>
      <c r="G167" s="436">
        <f t="shared" si="54"/>
        <v>0</v>
      </c>
      <c r="H167" s="435"/>
      <c r="I167" s="435"/>
      <c r="J167" s="435"/>
      <c r="K167" s="435"/>
      <c r="L167" s="435"/>
      <c r="M167" s="437"/>
      <c r="N167" s="419" t="e">
        <f t="shared" si="43"/>
        <v>#DIV/0!</v>
      </c>
    </row>
    <row r="168" spans="1:14" ht="16.5" hidden="1" customHeight="1" x14ac:dyDescent="0.25">
      <c r="A168" s="422">
        <v>5136</v>
      </c>
      <c r="B168" s="423">
        <v>911300</v>
      </c>
      <c r="C168" s="424" t="s">
        <v>159</v>
      </c>
      <c r="D168" s="424"/>
      <c r="E168" s="435"/>
      <c r="F168" s="435"/>
      <c r="G168" s="436">
        <f t="shared" si="54"/>
        <v>0</v>
      </c>
      <c r="H168" s="435"/>
      <c r="I168" s="435"/>
      <c r="J168" s="435"/>
      <c r="K168" s="435"/>
      <c r="L168" s="435"/>
      <c r="M168" s="437"/>
      <c r="N168" s="419" t="e">
        <f t="shared" si="43"/>
        <v>#DIV/0!</v>
      </c>
    </row>
    <row r="169" spans="1:14" ht="16.5" hidden="1" customHeight="1" x14ac:dyDescent="0.25">
      <c r="A169" s="422">
        <v>5137</v>
      </c>
      <c r="B169" s="423">
        <v>911400</v>
      </c>
      <c r="C169" s="424" t="s">
        <v>160</v>
      </c>
      <c r="D169" s="424"/>
      <c r="E169" s="435"/>
      <c r="F169" s="435"/>
      <c r="G169" s="436">
        <f t="shared" si="54"/>
        <v>0</v>
      </c>
      <c r="H169" s="435"/>
      <c r="I169" s="435"/>
      <c r="J169" s="435"/>
      <c r="K169" s="435"/>
      <c r="L169" s="435"/>
      <c r="M169" s="437"/>
      <c r="N169" s="419" t="e">
        <f t="shared" si="43"/>
        <v>#DIV/0!</v>
      </c>
    </row>
    <row r="170" spans="1:14" ht="16.5" hidden="1" customHeight="1" x14ac:dyDescent="0.25">
      <c r="A170" s="422">
        <v>5138</v>
      </c>
      <c r="B170" s="423">
        <v>911500</v>
      </c>
      <c r="C170" s="424" t="s">
        <v>161</v>
      </c>
      <c r="D170" s="424"/>
      <c r="E170" s="435"/>
      <c r="F170" s="435"/>
      <c r="G170" s="436">
        <f t="shared" si="54"/>
        <v>0</v>
      </c>
      <c r="H170" s="435"/>
      <c r="I170" s="435"/>
      <c r="J170" s="435"/>
      <c r="K170" s="435"/>
      <c r="L170" s="435"/>
      <c r="M170" s="437"/>
      <c r="N170" s="419" t="e">
        <f t="shared" si="43"/>
        <v>#DIV/0!</v>
      </c>
    </row>
    <row r="171" spans="1:14" ht="16.5" hidden="1" customHeight="1" x14ac:dyDescent="0.25">
      <c r="A171" s="422">
        <v>5139</v>
      </c>
      <c r="B171" s="423">
        <v>911600</v>
      </c>
      <c r="C171" s="424" t="s">
        <v>162</v>
      </c>
      <c r="D171" s="424"/>
      <c r="E171" s="435"/>
      <c r="F171" s="435"/>
      <c r="G171" s="436">
        <f t="shared" si="54"/>
        <v>0</v>
      </c>
      <c r="H171" s="435"/>
      <c r="I171" s="435"/>
      <c r="J171" s="435"/>
      <c r="K171" s="435"/>
      <c r="L171" s="435"/>
      <c r="M171" s="437"/>
      <c r="N171" s="419" t="e">
        <f t="shared" si="43"/>
        <v>#DIV/0!</v>
      </c>
    </row>
    <row r="172" spans="1:14" ht="16.5" hidden="1" customHeight="1" x14ac:dyDescent="0.25">
      <c r="A172" s="422">
        <v>5140</v>
      </c>
      <c r="B172" s="423">
        <v>911700</v>
      </c>
      <c r="C172" s="424" t="s">
        <v>163</v>
      </c>
      <c r="D172" s="424"/>
      <c r="E172" s="435"/>
      <c r="F172" s="435"/>
      <c r="G172" s="436">
        <f t="shared" si="54"/>
        <v>0</v>
      </c>
      <c r="H172" s="435"/>
      <c r="I172" s="435"/>
      <c r="J172" s="435"/>
      <c r="K172" s="435"/>
      <c r="L172" s="435"/>
      <c r="M172" s="437"/>
      <c r="N172" s="419" t="e">
        <f t="shared" si="43"/>
        <v>#DIV/0!</v>
      </c>
    </row>
    <row r="173" spans="1:14" ht="16.5" hidden="1" customHeight="1" x14ac:dyDescent="0.25">
      <c r="A173" s="422">
        <v>5141</v>
      </c>
      <c r="B173" s="423">
        <v>911800</v>
      </c>
      <c r="C173" s="424" t="s">
        <v>164</v>
      </c>
      <c r="D173" s="424"/>
      <c r="E173" s="435"/>
      <c r="F173" s="435"/>
      <c r="G173" s="436">
        <f t="shared" si="54"/>
        <v>0</v>
      </c>
      <c r="H173" s="435"/>
      <c r="I173" s="435"/>
      <c r="J173" s="435"/>
      <c r="K173" s="435"/>
      <c r="L173" s="435"/>
      <c r="M173" s="437"/>
      <c r="N173" s="419" t="e">
        <f t="shared" si="43"/>
        <v>#DIV/0!</v>
      </c>
    </row>
    <row r="174" spans="1:14" ht="16.5" hidden="1" customHeight="1" x14ac:dyDescent="0.25">
      <c r="A174" s="422">
        <v>5142</v>
      </c>
      <c r="B174" s="423">
        <v>911900</v>
      </c>
      <c r="C174" s="424" t="s">
        <v>165</v>
      </c>
      <c r="D174" s="424"/>
      <c r="E174" s="435"/>
      <c r="F174" s="435"/>
      <c r="G174" s="436">
        <f t="shared" si="54"/>
        <v>0</v>
      </c>
      <c r="H174" s="435"/>
      <c r="I174" s="435"/>
      <c r="J174" s="435"/>
      <c r="K174" s="435"/>
      <c r="L174" s="435"/>
      <c r="M174" s="437"/>
      <c r="N174" s="419" t="e">
        <f t="shared" si="43"/>
        <v>#DIV/0!</v>
      </c>
    </row>
    <row r="175" spans="1:14" ht="16.5" hidden="1" customHeight="1" x14ac:dyDescent="0.25">
      <c r="A175" s="505">
        <v>5143</v>
      </c>
      <c r="B175" s="506">
        <v>912000</v>
      </c>
      <c r="C175" s="416" t="s">
        <v>166</v>
      </c>
      <c r="D175" s="416"/>
      <c r="E175" s="417">
        <f>SUM(E176:E186)</f>
        <v>0</v>
      </c>
      <c r="F175" s="417">
        <f>SUM(F176:F186)</f>
        <v>0</v>
      </c>
      <c r="G175" s="417">
        <f t="shared" si="54"/>
        <v>0</v>
      </c>
      <c r="H175" s="417">
        <f t="shared" ref="H175:M175" si="58">SUM(H176:H186)</f>
        <v>0</v>
      </c>
      <c r="I175" s="417">
        <f t="shared" si="58"/>
        <v>0</v>
      </c>
      <c r="J175" s="417">
        <f t="shared" si="58"/>
        <v>0</v>
      </c>
      <c r="K175" s="417">
        <f t="shared" si="58"/>
        <v>0</v>
      </c>
      <c r="L175" s="417">
        <f t="shared" si="58"/>
        <v>0</v>
      </c>
      <c r="M175" s="418">
        <f t="shared" si="58"/>
        <v>0</v>
      </c>
      <c r="N175" s="419" t="e">
        <f t="shared" si="43"/>
        <v>#DIV/0!</v>
      </c>
    </row>
    <row r="176" spans="1:14" ht="16.5" hidden="1" customHeight="1" x14ac:dyDescent="0.25">
      <c r="A176" s="422">
        <v>5144</v>
      </c>
      <c r="B176" s="423">
        <v>912100</v>
      </c>
      <c r="C176" s="424" t="s">
        <v>167</v>
      </c>
      <c r="D176" s="424"/>
      <c r="E176" s="435"/>
      <c r="F176" s="435"/>
      <c r="G176" s="436">
        <f t="shared" si="54"/>
        <v>0</v>
      </c>
      <c r="H176" s="435"/>
      <c r="I176" s="435"/>
      <c r="J176" s="435"/>
      <c r="K176" s="435"/>
      <c r="L176" s="435"/>
      <c r="M176" s="437"/>
      <c r="N176" s="419" t="e">
        <f t="shared" si="43"/>
        <v>#DIV/0!</v>
      </c>
    </row>
    <row r="177" spans="1:14" ht="16.5" hidden="1" customHeight="1" x14ac:dyDescent="0.25">
      <c r="A177" s="422">
        <v>5145</v>
      </c>
      <c r="B177" s="423">
        <v>912200</v>
      </c>
      <c r="C177" s="424" t="s">
        <v>168</v>
      </c>
      <c r="D177" s="424"/>
      <c r="E177" s="435"/>
      <c r="F177" s="435"/>
      <c r="G177" s="436">
        <f t="shared" si="54"/>
        <v>0</v>
      </c>
      <c r="H177" s="435"/>
      <c r="I177" s="435"/>
      <c r="J177" s="435"/>
      <c r="K177" s="435"/>
      <c r="L177" s="435"/>
      <c r="M177" s="437"/>
      <c r="N177" s="419" t="e">
        <f t="shared" si="43"/>
        <v>#DIV/0!</v>
      </c>
    </row>
    <row r="178" spans="1:14" ht="16.5" hidden="1" customHeight="1" x14ac:dyDescent="0.25">
      <c r="A178" s="422">
        <v>5146</v>
      </c>
      <c r="B178" s="423">
        <v>912300</v>
      </c>
      <c r="C178" s="424" t="s">
        <v>169</v>
      </c>
      <c r="D178" s="424"/>
      <c r="E178" s="435"/>
      <c r="F178" s="435"/>
      <c r="G178" s="436">
        <f t="shared" si="54"/>
        <v>0</v>
      </c>
      <c r="H178" s="435"/>
      <c r="I178" s="435"/>
      <c r="J178" s="435"/>
      <c r="K178" s="435"/>
      <c r="L178" s="435"/>
      <c r="M178" s="437"/>
      <c r="N178" s="419" t="e">
        <f t="shared" si="43"/>
        <v>#DIV/0!</v>
      </c>
    </row>
    <row r="179" spans="1:14" ht="16.5" hidden="1" customHeight="1" x14ac:dyDescent="0.25">
      <c r="A179" s="422">
        <v>5147</v>
      </c>
      <c r="B179" s="423">
        <v>912400</v>
      </c>
      <c r="C179" s="424" t="s">
        <v>170</v>
      </c>
      <c r="D179" s="424"/>
      <c r="E179" s="435"/>
      <c r="F179" s="435"/>
      <c r="G179" s="436">
        <f t="shared" si="54"/>
        <v>0</v>
      </c>
      <c r="H179" s="435"/>
      <c r="I179" s="435"/>
      <c r="J179" s="435"/>
      <c r="K179" s="435"/>
      <c r="L179" s="435"/>
      <c r="M179" s="437"/>
      <c r="N179" s="419" t="e">
        <f t="shared" si="43"/>
        <v>#DIV/0!</v>
      </c>
    </row>
    <row r="180" spans="1:14" ht="16.5" hidden="1" customHeight="1" x14ac:dyDescent="0.25">
      <c r="A180" s="422">
        <v>5148</v>
      </c>
      <c r="B180" s="423">
        <v>912500</v>
      </c>
      <c r="C180" s="424" t="s">
        <v>171</v>
      </c>
      <c r="D180" s="424"/>
      <c r="E180" s="435"/>
      <c r="F180" s="435"/>
      <c r="G180" s="436">
        <f t="shared" si="54"/>
        <v>0</v>
      </c>
      <c r="H180" s="435"/>
      <c r="I180" s="435"/>
      <c r="J180" s="435"/>
      <c r="K180" s="435"/>
      <c r="L180" s="435"/>
      <c r="M180" s="437"/>
      <c r="N180" s="419" t="e">
        <f t="shared" si="43"/>
        <v>#DIV/0!</v>
      </c>
    </row>
    <row r="181" spans="1:14" ht="16.5" hidden="1" customHeight="1" x14ac:dyDescent="0.25">
      <c r="A181" s="422">
        <v>5149</v>
      </c>
      <c r="B181" s="423">
        <v>912600</v>
      </c>
      <c r="C181" s="424" t="s">
        <v>172</v>
      </c>
      <c r="D181" s="424"/>
      <c r="E181" s="435"/>
      <c r="F181" s="435"/>
      <c r="G181" s="436">
        <f t="shared" si="54"/>
        <v>0</v>
      </c>
      <c r="H181" s="435"/>
      <c r="I181" s="435"/>
      <c r="J181" s="435"/>
      <c r="K181" s="435"/>
      <c r="L181" s="435"/>
      <c r="M181" s="437"/>
      <c r="N181" s="419" t="e">
        <f t="shared" si="43"/>
        <v>#DIV/0!</v>
      </c>
    </row>
    <row r="182" spans="1:14" ht="16.5" hidden="1" customHeight="1" x14ac:dyDescent="0.25">
      <c r="A182" s="717" t="s">
        <v>0</v>
      </c>
      <c r="B182" s="718" t="s">
        <v>1</v>
      </c>
      <c r="C182" s="719" t="s">
        <v>2</v>
      </c>
      <c r="D182" s="508"/>
      <c r="E182" s="714" t="s">
        <v>3</v>
      </c>
      <c r="F182" s="509" t="s">
        <v>3</v>
      </c>
      <c r="G182" s="714" t="s">
        <v>4</v>
      </c>
      <c r="H182" s="714"/>
      <c r="I182" s="714"/>
      <c r="J182" s="714"/>
      <c r="K182" s="714"/>
      <c r="L182" s="714"/>
      <c r="M182" s="722"/>
      <c r="N182" s="419" t="e">
        <f t="shared" si="43"/>
        <v>#VALUE!</v>
      </c>
    </row>
    <row r="183" spans="1:14" ht="16.5" hidden="1" customHeight="1" x14ac:dyDescent="0.25">
      <c r="A183" s="717"/>
      <c r="B183" s="718"/>
      <c r="C183" s="719"/>
      <c r="D183" s="508"/>
      <c r="E183" s="714"/>
      <c r="F183" s="509"/>
      <c r="G183" s="729" t="s">
        <v>5</v>
      </c>
      <c r="H183" s="714" t="s">
        <v>6</v>
      </c>
      <c r="I183" s="714"/>
      <c r="J183" s="714"/>
      <c r="K183" s="714"/>
      <c r="L183" s="714" t="s">
        <v>7</v>
      </c>
      <c r="M183" s="722" t="s">
        <v>8</v>
      </c>
      <c r="N183" s="419" t="e">
        <f t="shared" si="43"/>
        <v>#VALUE!</v>
      </c>
    </row>
    <row r="184" spans="1:14" ht="16.5" hidden="1" customHeight="1" x14ac:dyDescent="0.25">
      <c r="A184" s="717"/>
      <c r="B184" s="718"/>
      <c r="C184" s="719"/>
      <c r="D184" s="508"/>
      <c r="E184" s="714"/>
      <c r="F184" s="509"/>
      <c r="G184" s="729"/>
      <c r="H184" s="509" t="s">
        <v>9</v>
      </c>
      <c r="I184" s="509" t="s">
        <v>10</v>
      </c>
      <c r="J184" s="509" t="s">
        <v>11</v>
      </c>
      <c r="K184" s="509" t="s">
        <v>12</v>
      </c>
      <c r="L184" s="714"/>
      <c r="M184" s="722"/>
      <c r="N184" s="419" t="e">
        <f t="shared" si="43"/>
        <v>#DIV/0!</v>
      </c>
    </row>
    <row r="185" spans="1:14" ht="16.5" hidden="1" customHeight="1" x14ac:dyDescent="0.25">
      <c r="A185" s="428" t="s">
        <v>18</v>
      </c>
      <c r="B185" s="507" t="s">
        <v>19</v>
      </c>
      <c r="C185" s="429" t="s">
        <v>20</v>
      </c>
      <c r="D185" s="429"/>
      <c r="E185" s="430" t="s">
        <v>21</v>
      </c>
      <c r="F185" s="430" t="s">
        <v>21</v>
      </c>
      <c r="G185" s="430" t="s">
        <v>22</v>
      </c>
      <c r="H185" s="430" t="s">
        <v>23</v>
      </c>
      <c r="I185" s="430" t="s">
        <v>24</v>
      </c>
      <c r="J185" s="430" t="s">
        <v>25</v>
      </c>
      <c r="K185" s="430" t="s">
        <v>26</v>
      </c>
      <c r="L185" s="430" t="s">
        <v>27</v>
      </c>
      <c r="M185" s="431" t="s">
        <v>28</v>
      </c>
      <c r="N185" s="419">
        <f t="shared" si="43"/>
        <v>1.25</v>
      </c>
    </row>
    <row r="186" spans="1:14" ht="16.5" hidden="1" customHeight="1" x14ac:dyDescent="0.25">
      <c r="A186" s="422">
        <v>5150</v>
      </c>
      <c r="B186" s="423">
        <v>912900</v>
      </c>
      <c r="C186" s="424" t="s">
        <v>173</v>
      </c>
      <c r="D186" s="424"/>
      <c r="E186" s="435"/>
      <c r="F186" s="435"/>
      <c r="G186" s="436">
        <f t="shared" si="54"/>
        <v>0</v>
      </c>
      <c r="H186" s="435"/>
      <c r="I186" s="435"/>
      <c r="J186" s="435"/>
      <c r="K186" s="435"/>
      <c r="L186" s="435"/>
      <c r="M186" s="437"/>
      <c r="N186" s="419" t="e">
        <f t="shared" si="43"/>
        <v>#DIV/0!</v>
      </c>
    </row>
    <row r="187" spans="1:14" ht="16.5" hidden="1" customHeight="1" x14ac:dyDescent="0.25">
      <c r="A187" s="505">
        <v>5151</v>
      </c>
      <c r="B187" s="506">
        <v>920000</v>
      </c>
      <c r="C187" s="416" t="s">
        <v>174</v>
      </c>
      <c r="D187" s="416"/>
      <c r="E187" s="417">
        <f>E188+E198</f>
        <v>0</v>
      </c>
      <c r="F187" s="417">
        <f>F188+F198</f>
        <v>0</v>
      </c>
      <c r="G187" s="417">
        <f t="shared" si="54"/>
        <v>0</v>
      </c>
      <c r="H187" s="417">
        <f t="shared" ref="H187:M187" si="59">H188+H198</f>
        <v>0</v>
      </c>
      <c r="I187" s="417">
        <f t="shared" si="59"/>
        <v>0</v>
      </c>
      <c r="J187" s="417">
        <f t="shared" si="59"/>
        <v>0</v>
      </c>
      <c r="K187" s="417">
        <f t="shared" si="59"/>
        <v>0</v>
      </c>
      <c r="L187" s="417">
        <f t="shared" si="59"/>
        <v>0</v>
      </c>
      <c r="M187" s="418">
        <f t="shared" si="59"/>
        <v>0</v>
      </c>
      <c r="N187" s="419" t="e">
        <f t="shared" si="43"/>
        <v>#DIV/0!</v>
      </c>
    </row>
    <row r="188" spans="1:14" ht="16.5" hidden="1" customHeight="1" x14ac:dyDescent="0.25">
      <c r="A188" s="505">
        <v>5152</v>
      </c>
      <c r="B188" s="506">
        <v>921000</v>
      </c>
      <c r="C188" s="416" t="s">
        <v>175</v>
      </c>
      <c r="D188" s="416"/>
      <c r="E188" s="417">
        <f>SUM(E189:E197)</f>
        <v>0</v>
      </c>
      <c r="F188" s="417">
        <f>SUM(F189:F197)</f>
        <v>0</v>
      </c>
      <c r="G188" s="417">
        <f t="shared" si="54"/>
        <v>0</v>
      </c>
      <c r="H188" s="417">
        <f t="shared" ref="H188:M188" si="60">SUM(H189:H197)</f>
        <v>0</v>
      </c>
      <c r="I188" s="417">
        <f t="shared" si="60"/>
        <v>0</v>
      </c>
      <c r="J188" s="417">
        <f t="shared" si="60"/>
        <v>0</v>
      </c>
      <c r="K188" s="417">
        <f t="shared" si="60"/>
        <v>0</v>
      </c>
      <c r="L188" s="417">
        <f t="shared" si="60"/>
        <v>0</v>
      </c>
      <c r="M188" s="418">
        <f t="shared" si="60"/>
        <v>0</v>
      </c>
      <c r="N188" s="419" t="e">
        <f t="shared" si="43"/>
        <v>#DIV/0!</v>
      </c>
    </row>
    <row r="189" spans="1:14" ht="16.5" hidden="1" customHeight="1" x14ac:dyDescent="0.25">
      <c r="A189" s="422">
        <v>5153</v>
      </c>
      <c r="B189" s="423">
        <v>921100</v>
      </c>
      <c r="C189" s="424" t="s">
        <v>176</v>
      </c>
      <c r="D189" s="424"/>
      <c r="E189" s="435"/>
      <c r="F189" s="435"/>
      <c r="G189" s="436">
        <f t="shared" si="54"/>
        <v>0</v>
      </c>
      <c r="H189" s="435"/>
      <c r="I189" s="435"/>
      <c r="J189" s="435"/>
      <c r="K189" s="435"/>
      <c r="L189" s="435"/>
      <c r="M189" s="437"/>
      <c r="N189" s="419" t="e">
        <f t="shared" si="43"/>
        <v>#DIV/0!</v>
      </c>
    </row>
    <row r="190" spans="1:14" ht="16.5" hidden="1" customHeight="1" x14ac:dyDescent="0.25">
      <c r="A190" s="422">
        <v>5154</v>
      </c>
      <c r="B190" s="423">
        <v>921200</v>
      </c>
      <c r="C190" s="424" t="s">
        <v>177</v>
      </c>
      <c r="D190" s="424"/>
      <c r="E190" s="435"/>
      <c r="F190" s="435"/>
      <c r="G190" s="436">
        <f t="shared" si="54"/>
        <v>0</v>
      </c>
      <c r="H190" s="435"/>
      <c r="I190" s="435"/>
      <c r="J190" s="435"/>
      <c r="K190" s="435"/>
      <c r="L190" s="435"/>
      <c r="M190" s="437"/>
      <c r="N190" s="419" t="e">
        <f t="shared" si="43"/>
        <v>#DIV/0!</v>
      </c>
    </row>
    <row r="191" spans="1:14" ht="16.5" hidden="1" customHeight="1" x14ac:dyDescent="0.25">
      <c r="A191" s="422">
        <v>5155</v>
      </c>
      <c r="B191" s="423">
        <v>921300</v>
      </c>
      <c r="C191" s="424" t="s">
        <v>178</v>
      </c>
      <c r="D191" s="424"/>
      <c r="E191" s="435"/>
      <c r="F191" s="435"/>
      <c r="G191" s="436">
        <f t="shared" si="54"/>
        <v>0</v>
      </c>
      <c r="H191" s="435"/>
      <c r="I191" s="435"/>
      <c r="J191" s="435"/>
      <c r="K191" s="435"/>
      <c r="L191" s="435"/>
      <c r="M191" s="437"/>
      <c r="N191" s="419" t="e">
        <f t="shared" si="43"/>
        <v>#DIV/0!</v>
      </c>
    </row>
    <row r="192" spans="1:14" ht="16.5" hidden="1" customHeight="1" x14ac:dyDescent="0.25">
      <c r="A192" s="422">
        <v>5156</v>
      </c>
      <c r="B192" s="423">
        <v>921400</v>
      </c>
      <c r="C192" s="424" t="s">
        <v>179</v>
      </c>
      <c r="D192" s="424"/>
      <c r="E192" s="435"/>
      <c r="F192" s="435"/>
      <c r="G192" s="436">
        <f t="shared" si="54"/>
        <v>0</v>
      </c>
      <c r="H192" s="435"/>
      <c r="I192" s="435"/>
      <c r="J192" s="435"/>
      <c r="K192" s="435"/>
      <c r="L192" s="435"/>
      <c r="M192" s="437"/>
      <c r="N192" s="419" t="e">
        <f t="shared" si="43"/>
        <v>#DIV/0!</v>
      </c>
    </row>
    <row r="193" spans="1:14" ht="16.5" hidden="1" customHeight="1" x14ac:dyDescent="0.25">
      <c r="A193" s="422">
        <v>5157</v>
      </c>
      <c r="B193" s="423">
        <v>921500</v>
      </c>
      <c r="C193" s="424" t="s">
        <v>180</v>
      </c>
      <c r="D193" s="424"/>
      <c r="E193" s="435"/>
      <c r="F193" s="435"/>
      <c r="G193" s="436">
        <f t="shared" si="54"/>
        <v>0</v>
      </c>
      <c r="H193" s="435"/>
      <c r="I193" s="435"/>
      <c r="J193" s="435"/>
      <c r="K193" s="435"/>
      <c r="L193" s="435"/>
      <c r="M193" s="437"/>
      <c r="N193" s="419" t="e">
        <f t="shared" si="43"/>
        <v>#DIV/0!</v>
      </c>
    </row>
    <row r="194" spans="1:14" ht="16.5" hidden="1" customHeight="1" x14ac:dyDescent="0.25">
      <c r="A194" s="422">
        <v>5158</v>
      </c>
      <c r="B194" s="423">
        <v>921600</v>
      </c>
      <c r="C194" s="424" t="s">
        <v>181</v>
      </c>
      <c r="D194" s="424"/>
      <c r="E194" s="435"/>
      <c r="F194" s="435"/>
      <c r="G194" s="436">
        <f t="shared" si="54"/>
        <v>0</v>
      </c>
      <c r="H194" s="435"/>
      <c r="I194" s="435"/>
      <c r="J194" s="435"/>
      <c r="K194" s="435"/>
      <c r="L194" s="435"/>
      <c r="M194" s="437"/>
      <c r="N194" s="419" t="e">
        <f t="shared" si="43"/>
        <v>#DIV/0!</v>
      </c>
    </row>
    <row r="195" spans="1:14" ht="16.5" hidden="1" customHeight="1" x14ac:dyDescent="0.25">
      <c r="A195" s="422">
        <v>5159</v>
      </c>
      <c r="B195" s="423">
        <v>921700</v>
      </c>
      <c r="C195" s="424" t="s">
        <v>182</v>
      </c>
      <c r="D195" s="424"/>
      <c r="E195" s="435"/>
      <c r="F195" s="435"/>
      <c r="G195" s="436">
        <f t="shared" si="54"/>
        <v>0</v>
      </c>
      <c r="H195" s="435"/>
      <c r="I195" s="435"/>
      <c r="J195" s="435"/>
      <c r="K195" s="435"/>
      <c r="L195" s="435"/>
      <c r="M195" s="437"/>
      <c r="N195" s="419" t="e">
        <f t="shared" si="43"/>
        <v>#DIV/0!</v>
      </c>
    </row>
    <row r="196" spans="1:14" ht="16.5" hidden="1" customHeight="1" x14ac:dyDescent="0.25">
      <c r="A196" s="422">
        <v>5160</v>
      </c>
      <c r="B196" s="423">
        <v>921800</v>
      </c>
      <c r="C196" s="424" t="s">
        <v>183</v>
      </c>
      <c r="D196" s="424"/>
      <c r="E196" s="435"/>
      <c r="F196" s="435"/>
      <c r="G196" s="436">
        <f t="shared" si="54"/>
        <v>0</v>
      </c>
      <c r="H196" s="435"/>
      <c r="I196" s="435"/>
      <c r="J196" s="435"/>
      <c r="K196" s="435"/>
      <c r="L196" s="435"/>
      <c r="M196" s="437"/>
      <c r="N196" s="419" t="e">
        <f t="shared" si="43"/>
        <v>#DIV/0!</v>
      </c>
    </row>
    <row r="197" spans="1:14" ht="16.5" hidden="1" customHeight="1" x14ac:dyDescent="0.25">
      <c r="A197" s="422">
        <v>5161</v>
      </c>
      <c r="B197" s="423">
        <v>921900</v>
      </c>
      <c r="C197" s="424" t="s">
        <v>184</v>
      </c>
      <c r="D197" s="424"/>
      <c r="E197" s="435"/>
      <c r="F197" s="435"/>
      <c r="G197" s="436">
        <f t="shared" si="54"/>
        <v>0</v>
      </c>
      <c r="H197" s="435"/>
      <c r="I197" s="435"/>
      <c r="J197" s="435"/>
      <c r="K197" s="435"/>
      <c r="L197" s="435"/>
      <c r="M197" s="437"/>
      <c r="N197" s="419" t="e">
        <f t="shared" si="43"/>
        <v>#DIV/0!</v>
      </c>
    </row>
    <row r="198" spans="1:14" ht="16.5" hidden="1" customHeight="1" x14ac:dyDescent="0.25">
      <c r="A198" s="505">
        <v>5162</v>
      </c>
      <c r="B198" s="506">
        <v>922000</v>
      </c>
      <c r="C198" s="416" t="s">
        <v>185</v>
      </c>
      <c r="D198" s="416"/>
      <c r="E198" s="417">
        <f>SUM(E199:E210)</f>
        <v>0</v>
      </c>
      <c r="F198" s="417">
        <f>SUM(F199:F210)</f>
        <v>0</v>
      </c>
      <c r="G198" s="417">
        <f t="shared" si="54"/>
        <v>0</v>
      </c>
      <c r="H198" s="417">
        <f t="shared" ref="H198:M198" si="61">SUM(H199:H210)</f>
        <v>0</v>
      </c>
      <c r="I198" s="417">
        <f t="shared" si="61"/>
        <v>0</v>
      </c>
      <c r="J198" s="417">
        <f t="shared" si="61"/>
        <v>0</v>
      </c>
      <c r="K198" s="417">
        <f t="shared" si="61"/>
        <v>0</v>
      </c>
      <c r="L198" s="417">
        <f t="shared" si="61"/>
        <v>0</v>
      </c>
      <c r="M198" s="418">
        <f t="shared" si="61"/>
        <v>0</v>
      </c>
      <c r="N198" s="419" t="e">
        <f t="shared" si="43"/>
        <v>#DIV/0!</v>
      </c>
    </row>
    <row r="199" spans="1:14" ht="16.5" hidden="1" customHeight="1" x14ac:dyDescent="0.25">
      <c r="A199" s="422">
        <v>5163</v>
      </c>
      <c r="B199" s="423">
        <v>922100</v>
      </c>
      <c r="C199" s="424" t="s">
        <v>186</v>
      </c>
      <c r="D199" s="424"/>
      <c r="E199" s="435"/>
      <c r="F199" s="435"/>
      <c r="G199" s="436">
        <f t="shared" ref="G199:G210" si="62">SUM(H199:M199)</f>
        <v>0</v>
      </c>
      <c r="H199" s="435"/>
      <c r="I199" s="435"/>
      <c r="J199" s="435"/>
      <c r="K199" s="435"/>
      <c r="L199" s="435"/>
      <c r="M199" s="437"/>
      <c r="N199" s="419" t="e">
        <f t="shared" si="43"/>
        <v>#DIV/0!</v>
      </c>
    </row>
    <row r="200" spans="1:14" ht="16.5" hidden="1" customHeight="1" x14ac:dyDescent="0.25">
      <c r="A200" s="422">
        <v>5164</v>
      </c>
      <c r="B200" s="423">
        <v>922200</v>
      </c>
      <c r="C200" s="424" t="s">
        <v>187</v>
      </c>
      <c r="D200" s="424"/>
      <c r="E200" s="435"/>
      <c r="F200" s="435"/>
      <c r="G200" s="436">
        <f t="shared" si="62"/>
        <v>0</v>
      </c>
      <c r="H200" s="435"/>
      <c r="I200" s="435"/>
      <c r="J200" s="435"/>
      <c r="K200" s="435"/>
      <c r="L200" s="435"/>
      <c r="M200" s="437"/>
      <c r="N200" s="419" t="e">
        <f t="shared" si="43"/>
        <v>#DIV/0!</v>
      </c>
    </row>
    <row r="201" spans="1:14" ht="16.5" hidden="1" customHeight="1" x14ac:dyDescent="0.25">
      <c r="A201" s="422">
        <v>5165</v>
      </c>
      <c r="B201" s="423">
        <v>922300</v>
      </c>
      <c r="C201" s="424" t="s">
        <v>188</v>
      </c>
      <c r="D201" s="424"/>
      <c r="E201" s="435"/>
      <c r="F201" s="435"/>
      <c r="G201" s="436">
        <f t="shared" si="62"/>
        <v>0</v>
      </c>
      <c r="H201" s="435"/>
      <c r="I201" s="435"/>
      <c r="J201" s="435"/>
      <c r="K201" s="435"/>
      <c r="L201" s="435"/>
      <c r="M201" s="437"/>
      <c r="N201" s="419" t="e">
        <f t="shared" si="43"/>
        <v>#DIV/0!</v>
      </c>
    </row>
    <row r="202" spans="1:14" ht="16.5" hidden="1" customHeight="1" x14ac:dyDescent="0.25">
      <c r="A202" s="422">
        <v>5166</v>
      </c>
      <c r="B202" s="423">
        <v>922400</v>
      </c>
      <c r="C202" s="424" t="s">
        <v>189</v>
      </c>
      <c r="D202" s="424"/>
      <c r="E202" s="435"/>
      <c r="F202" s="435"/>
      <c r="G202" s="436">
        <f t="shared" si="62"/>
        <v>0</v>
      </c>
      <c r="H202" s="435"/>
      <c r="I202" s="435"/>
      <c r="J202" s="435"/>
      <c r="K202" s="435"/>
      <c r="L202" s="435"/>
      <c r="M202" s="437"/>
      <c r="N202" s="419" t="e">
        <f t="shared" ref="N202:N211" si="63">G202/F202</f>
        <v>#DIV/0!</v>
      </c>
    </row>
    <row r="203" spans="1:14" ht="16.5" hidden="1" customHeight="1" x14ac:dyDescent="0.25">
      <c r="A203" s="422">
        <v>5167</v>
      </c>
      <c r="B203" s="423">
        <v>922500</v>
      </c>
      <c r="C203" s="424" t="s">
        <v>190</v>
      </c>
      <c r="D203" s="424"/>
      <c r="E203" s="435"/>
      <c r="F203" s="435"/>
      <c r="G203" s="436">
        <f t="shared" si="62"/>
        <v>0</v>
      </c>
      <c r="H203" s="435"/>
      <c r="I203" s="435"/>
      <c r="J203" s="435"/>
      <c r="K203" s="435"/>
      <c r="L203" s="435"/>
      <c r="M203" s="437"/>
      <c r="N203" s="419" t="e">
        <f t="shared" si="63"/>
        <v>#DIV/0!</v>
      </c>
    </row>
    <row r="204" spans="1:14" ht="16.5" hidden="1" customHeight="1" x14ac:dyDescent="0.25">
      <c r="A204" s="717" t="s">
        <v>0</v>
      </c>
      <c r="B204" s="718" t="s">
        <v>1</v>
      </c>
      <c r="C204" s="719" t="s">
        <v>2</v>
      </c>
      <c r="D204" s="508"/>
      <c r="E204" s="714" t="s">
        <v>3</v>
      </c>
      <c r="F204" s="509" t="s">
        <v>3</v>
      </c>
      <c r="G204" s="714" t="s">
        <v>4</v>
      </c>
      <c r="H204" s="714"/>
      <c r="I204" s="714"/>
      <c r="J204" s="714"/>
      <c r="K204" s="714"/>
      <c r="L204" s="714"/>
      <c r="M204" s="722"/>
      <c r="N204" s="419" t="e">
        <f t="shared" si="63"/>
        <v>#VALUE!</v>
      </c>
    </row>
    <row r="205" spans="1:14" ht="16.5" hidden="1" customHeight="1" x14ac:dyDescent="0.25">
      <c r="A205" s="717"/>
      <c r="B205" s="718"/>
      <c r="C205" s="719"/>
      <c r="D205" s="508"/>
      <c r="E205" s="714"/>
      <c r="F205" s="509"/>
      <c r="G205" s="729" t="s">
        <v>5</v>
      </c>
      <c r="H205" s="714" t="s">
        <v>6</v>
      </c>
      <c r="I205" s="714"/>
      <c r="J205" s="714"/>
      <c r="K205" s="714"/>
      <c r="L205" s="714" t="s">
        <v>7</v>
      </c>
      <c r="M205" s="722" t="s">
        <v>8</v>
      </c>
      <c r="N205" s="419" t="e">
        <f t="shared" si="63"/>
        <v>#VALUE!</v>
      </c>
    </row>
    <row r="206" spans="1:14" ht="16.5" hidden="1" customHeight="1" x14ac:dyDescent="0.25">
      <c r="A206" s="717"/>
      <c r="B206" s="718"/>
      <c r="C206" s="719"/>
      <c r="D206" s="508"/>
      <c r="E206" s="714"/>
      <c r="F206" s="509"/>
      <c r="G206" s="729"/>
      <c r="H206" s="509" t="s">
        <v>9</v>
      </c>
      <c r="I206" s="509" t="s">
        <v>10</v>
      </c>
      <c r="J206" s="509" t="s">
        <v>11</v>
      </c>
      <c r="K206" s="509" t="s">
        <v>12</v>
      </c>
      <c r="L206" s="714"/>
      <c r="M206" s="722"/>
      <c r="N206" s="419" t="e">
        <f t="shared" si="63"/>
        <v>#DIV/0!</v>
      </c>
    </row>
    <row r="207" spans="1:14" ht="16.5" hidden="1" customHeight="1" x14ac:dyDescent="0.25">
      <c r="A207" s="428" t="s">
        <v>18</v>
      </c>
      <c r="B207" s="507" t="s">
        <v>19</v>
      </c>
      <c r="C207" s="429" t="s">
        <v>20</v>
      </c>
      <c r="D207" s="429"/>
      <c r="E207" s="430" t="s">
        <v>21</v>
      </c>
      <c r="F207" s="430" t="s">
        <v>21</v>
      </c>
      <c r="G207" s="430" t="s">
        <v>22</v>
      </c>
      <c r="H207" s="430" t="s">
        <v>23</v>
      </c>
      <c r="I207" s="430" t="s">
        <v>24</v>
      </c>
      <c r="J207" s="430" t="s">
        <v>25</v>
      </c>
      <c r="K207" s="430" t="s">
        <v>26</v>
      </c>
      <c r="L207" s="430" t="s">
        <v>27</v>
      </c>
      <c r="M207" s="431" t="s">
        <v>28</v>
      </c>
      <c r="N207" s="419">
        <f t="shared" si="63"/>
        <v>1.25</v>
      </c>
    </row>
    <row r="208" spans="1:14" ht="16.5" hidden="1" customHeight="1" x14ac:dyDescent="0.25">
      <c r="A208" s="422">
        <v>5168</v>
      </c>
      <c r="B208" s="423">
        <v>922600</v>
      </c>
      <c r="C208" s="424" t="s">
        <v>191</v>
      </c>
      <c r="D208" s="424"/>
      <c r="E208" s="435"/>
      <c r="F208" s="435"/>
      <c r="G208" s="436">
        <f t="shared" si="62"/>
        <v>0</v>
      </c>
      <c r="H208" s="435"/>
      <c r="I208" s="435"/>
      <c r="J208" s="435"/>
      <c r="K208" s="435"/>
      <c r="L208" s="435"/>
      <c r="M208" s="437"/>
      <c r="N208" s="419" t="e">
        <f t="shared" si="63"/>
        <v>#DIV/0!</v>
      </c>
    </row>
    <row r="209" spans="1:14" ht="16.5" hidden="1" customHeight="1" x14ac:dyDescent="0.25">
      <c r="A209" s="422">
        <v>5169</v>
      </c>
      <c r="B209" s="423">
        <v>922700</v>
      </c>
      <c r="C209" s="424" t="s">
        <v>192</v>
      </c>
      <c r="D209" s="424"/>
      <c r="E209" s="435"/>
      <c r="F209" s="435"/>
      <c r="G209" s="436">
        <f t="shared" si="62"/>
        <v>0</v>
      </c>
      <c r="H209" s="435"/>
      <c r="I209" s="435"/>
      <c r="J209" s="435"/>
      <c r="K209" s="435"/>
      <c r="L209" s="435"/>
      <c r="M209" s="437"/>
      <c r="N209" s="419" t="e">
        <f t="shared" si="63"/>
        <v>#DIV/0!</v>
      </c>
    </row>
    <row r="210" spans="1:14" ht="16.5" hidden="1" customHeight="1" x14ac:dyDescent="0.25">
      <c r="A210" s="422">
        <v>5170</v>
      </c>
      <c r="B210" s="423">
        <v>922800</v>
      </c>
      <c r="C210" s="424" t="s">
        <v>193</v>
      </c>
      <c r="D210" s="424"/>
      <c r="E210" s="435"/>
      <c r="F210" s="435"/>
      <c r="G210" s="436">
        <f t="shared" si="62"/>
        <v>0</v>
      </c>
      <c r="H210" s="435"/>
      <c r="I210" s="435"/>
      <c r="J210" s="435"/>
      <c r="K210" s="435"/>
      <c r="L210" s="435"/>
      <c r="M210" s="437"/>
      <c r="N210" s="419" t="e">
        <f t="shared" si="63"/>
        <v>#DIV/0!</v>
      </c>
    </row>
    <row r="211" spans="1:14" ht="12.75" customHeight="1" thickBot="1" x14ac:dyDescent="0.3">
      <c r="A211" s="442">
        <v>5171</v>
      </c>
      <c r="B211" s="443"/>
      <c r="C211" s="444" t="s">
        <v>536</v>
      </c>
      <c r="D211" s="445">
        <f>D9+D163</f>
        <v>63655</v>
      </c>
      <c r="E211" s="445">
        <f>E9+E163</f>
        <v>1652212</v>
      </c>
      <c r="F211" s="445">
        <f>F9+F163</f>
        <v>1715867</v>
      </c>
      <c r="G211" s="445">
        <f>SUM(H211:M211)</f>
        <v>1215103</v>
      </c>
      <c r="H211" s="445">
        <f t="shared" ref="H211:L211" si="64">H9+H163</f>
        <v>2482</v>
      </c>
      <c r="I211" s="445">
        <f t="shared" si="64"/>
        <v>0</v>
      </c>
      <c r="J211" s="445">
        <f t="shared" si="64"/>
        <v>0</v>
      </c>
      <c r="K211" s="445">
        <f t="shared" si="64"/>
        <v>1202204</v>
      </c>
      <c r="L211" s="445">
        <f t="shared" si="64"/>
        <v>0</v>
      </c>
      <c r="M211" s="446">
        <f>M9+M163</f>
        <v>10417</v>
      </c>
      <c r="N211" s="447">
        <f t="shared" si="63"/>
        <v>0.70815686763601138</v>
      </c>
    </row>
    <row r="212" spans="1:14" ht="12.75" customHeight="1" x14ac:dyDescent="0.25">
      <c r="A212" s="448"/>
      <c r="B212" s="449"/>
      <c r="C212" s="449"/>
      <c r="D212" s="449"/>
      <c r="E212" s="449"/>
      <c r="F212" s="449"/>
      <c r="G212" s="449"/>
      <c r="H212" s="449"/>
      <c r="I212" s="449"/>
      <c r="J212" s="449"/>
      <c r="K212" s="449"/>
      <c r="L212" s="449"/>
      <c r="M212" s="449"/>
    </row>
    <row r="213" spans="1:14" ht="6" customHeight="1" x14ac:dyDescent="0.25">
      <c r="A213" s="448"/>
      <c r="B213" s="449"/>
      <c r="C213" s="449"/>
      <c r="D213" s="449"/>
      <c r="E213" s="449"/>
      <c r="F213" s="449"/>
      <c r="G213" s="449"/>
      <c r="H213" s="449"/>
      <c r="I213" s="449"/>
      <c r="J213" s="449"/>
      <c r="K213" s="449"/>
      <c r="L213" s="449"/>
      <c r="M213" s="449"/>
    </row>
    <row r="214" spans="1:14" ht="12.75" customHeight="1" x14ac:dyDescent="0.25">
      <c r="A214" s="414" t="s">
        <v>195</v>
      </c>
      <c r="B214" s="449"/>
      <c r="C214" s="449"/>
      <c r="D214" s="449"/>
      <c r="E214" s="449"/>
      <c r="F214" s="449"/>
      <c r="G214" s="449"/>
      <c r="H214" s="449"/>
      <c r="I214" s="449"/>
      <c r="J214" s="449"/>
      <c r="K214" s="449"/>
      <c r="L214" s="449"/>
      <c r="M214" s="449"/>
    </row>
    <row r="215" spans="1:14" ht="12.75" customHeight="1" thickBot="1" x14ac:dyDescent="0.3">
      <c r="A215" s="448"/>
      <c r="B215" s="449"/>
      <c r="C215" s="449"/>
      <c r="D215" s="449"/>
      <c r="E215" s="449"/>
      <c r="F215" s="449"/>
      <c r="G215" s="449"/>
      <c r="H215" s="449"/>
      <c r="I215" s="449"/>
      <c r="J215" s="449"/>
      <c r="K215" s="449"/>
      <c r="L215" s="449" t="s">
        <v>196</v>
      </c>
      <c r="M215" s="449"/>
    </row>
    <row r="216" spans="1:14" ht="12.75" customHeight="1" thickBot="1" x14ac:dyDescent="0.3">
      <c r="A216" s="709" t="s">
        <v>0</v>
      </c>
      <c r="B216" s="711" t="s">
        <v>1</v>
      </c>
      <c r="C216" s="713" t="s">
        <v>2</v>
      </c>
      <c r="D216" s="715" t="s">
        <v>560</v>
      </c>
      <c r="E216" s="715" t="s">
        <v>558</v>
      </c>
      <c r="F216" s="715" t="s">
        <v>547</v>
      </c>
      <c r="G216" s="713" t="s">
        <v>198</v>
      </c>
      <c r="H216" s="723"/>
      <c r="I216" s="723"/>
      <c r="J216" s="723"/>
      <c r="K216" s="723"/>
      <c r="L216" s="723"/>
      <c r="M216" s="724"/>
      <c r="N216" s="725" t="s">
        <v>548</v>
      </c>
    </row>
    <row r="217" spans="1:14" ht="12.75" customHeight="1" thickBot="1" x14ac:dyDescent="0.3">
      <c r="A217" s="727"/>
      <c r="B217" s="728"/>
      <c r="C217" s="720"/>
      <c r="D217" s="716"/>
      <c r="E217" s="716"/>
      <c r="F217" s="716"/>
      <c r="G217" s="714" t="s">
        <v>199</v>
      </c>
      <c r="H217" s="714" t="s">
        <v>200</v>
      </c>
      <c r="I217" s="720"/>
      <c r="J217" s="720"/>
      <c r="K217" s="720"/>
      <c r="L217" s="714" t="s">
        <v>7</v>
      </c>
      <c r="M217" s="722" t="s">
        <v>8</v>
      </c>
      <c r="N217" s="726"/>
    </row>
    <row r="218" spans="1:14" ht="27.75" customHeight="1" x14ac:dyDescent="0.25">
      <c r="A218" s="727"/>
      <c r="B218" s="728"/>
      <c r="C218" s="720"/>
      <c r="D218" s="716"/>
      <c r="E218" s="716"/>
      <c r="F218" s="716"/>
      <c r="G218" s="720"/>
      <c r="H218" s="509" t="s">
        <v>201</v>
      </c>
      <c r="I218" s="509" t="s">
        <v>10</v>
      </c>
      <c r="J218" s="509" t="s">
        <v>559</v>
      </c>
      <c r="K218" s="509" t="s">
        <v>12</v>
      </c>
      <c r="L218" s="720"/>
      <c r="M218" s="721"/>
      <c r="N218" s="726"/>
    </row>
    <row r="219" spans="1:14" ht="12.75" customHeight="1" x14ac:dyDescent="0.25">
      <c r="A219" s="505">
        <v>1</v>
      </c>
      <c r="B219" s="506">
        <v>2</v>
      </c>
      <c r="C219" s="509">
        <v>3</v>
      </c>
      <c r="D219" s="503">
        <v>4</v>
      </c>
      <c r="E219" s="503">
        <v>5</v>
      </c>
      <c r="F219" s="503" t="s">
        <v>551</v>
      </c>
      <c r="G219" s="503">
        <v>7</v>
      </c>
      <c r="H219" s="503">
        <v>8</v>
      </c>
      <c r="I219" s="503">
        <v>7</v>
      </c>
      <c r="J219" s="503">
        <v>9</v>
      </c>
      <c r="K219" s="503">
        <v>10</v>
      </c>
      <c r="L219" s="503">
        <v>10</v>
      </c>
      <c r="M219" s="504">
        <v>11</v>
      </c>
      <c r="N219" s="511" t="s">
        <v>552</v>
      </c>
    </row>
    <row r="220" spans="1:14" ht="12.75" customHeight="1" x14ac:dyDescent="0.25">
      <c r="A220" s="450">
        <v>5172</v>
      </c>
      <c r="B220" s="506"/>
      <c r="C220" s="416" t="s">
        <v>202</v>
      </c>
      <c r="D220" s="441">
        <f>D221+D417</f>
        <v>69812</v>
      </c>
      <c r="E220" s="417">
        <f>E221+E417</f>
        <v>1652217</v>
      </c>
      <c r="F220" s="417">
        <f>F221+F417</f>
        <v>1722029</v>
      </c>
      <c r="G220" s="417">
        <f t="shared" ref="G220:G291" si="65">SUM(H220:M220)</f>
        <v>1222111</v>
      </c>
      <c r="H220" s="417">
        <f t="shared" ref="H220:M220" si="66">H221+H417</f>
        <v>3148</v>
      </c>
      <c r="I220" s="417">
        <f t="shared" si="66"/>
        <v>0</v>
      </c>
      <c r="J220" s="417">
        <f t="shared" si="66"/>
        <v>5865</v>
      </c>
      <c r="K220" s="417">
        <f t="shared" si="66"/>
        <v>1203879</v>
      </c>
      <c r="L220" s="417">
        <f t="shared" si="66"/>
        <v>0</v>
      </c>
      <c r="M220" s="418">
        <f t="shared" si="66"/>
        <v>9219</v>
      </c>
      <c r="N220" s="419">
        <f>G220/F220</f>
        <v>0.70969246162521071</v>
      </c>
    </row>
    <row r="221" spans="1:14" ht="12.75" customHeight="1" x14ac:dyDescent="0.25">
      <c r="A221" s="450">
        <v>5173</v>
      </c>
      <c r="B221" s="506">
        <v>400000</v>
      </c>
      <c r="C221" s="416" t="s">
        <v>203</v>
      </c>
      <c r="D221" s="441">
        <f>D222+D248+D297+D316+D344+D357+D377+D396</f>
        <v>68852</v>
      </c>
      <c r="E221" s="417">
        <f>E222+E248+E297+E316+E344+E357+E377+E396</f>
        <v>1620316</v>
      </c>
      <c r="F221" s="417">
        <f>F222+F248+F297+F316+F344+F357+F377+F396</f>
        <v>1689168</v>
      </c>
      <c r="G221" s="417">
        <f t="shared" si="65"/>
        <v>1217938</v>
      </c>
      <c r="H221" s="417">
        <f t="shared" ref="H221:M221" si="67">H222+H248+H297+H316+H344+H357+H377+H396</f>
        <v>856</v>
      </c>
      <c r="I221" s="417">
        <f t="shared" si="67"/>
        <v>0</v>
      </c>
      <c r="J221" s="417">
        <f t="shared" si="67"/>
        <v>5380</v>
      </c>
      <c r="K221" s="417">
        <f t="shared" si="67"/>
        <v>1203879</v>
      </c>
      <c r="L221" s="417">
        <f t="shared" si="67"/>
        <v>0</v>
      </c>
      <c r="M221" s="418">
        <f t="shared" si="67"/>
        <v>7823</v>
      </c>
      <c r="N221" s="419">
        <f t="shared" ref="N221:N284" si="68">G221/F221</f>
        <v>0.72102834057950427</v>
      </c>
    </row>
    <row r="222" spans="1:14" ht="12.75" customHeight="1" x14ac:dyDescent="0.25">
      <c r="A222" s="450">
        <v>5174</v>
      </c>
      <c r="B222" s="506">
        <v>410000</v>
      </c>
      <c r="C222" s="416" t="s">
        <v>204</v>
      </c>
      <c r="D222" s="441">
        <f>D223+D225+D229+D231+D240+D242+D244+D246</f>
        <v>46451</v>
      </c>
      <c r="E222" s="417">
        <f>E223+E225+E229+E231+E240+E242+E244+E246</f>
        <v>1216506</v>
      </c>
      <c r="F222" s="417">
        <f>F223+F225+F229+F231+F240+F242+F244+F246</f>
        <v>1262957</v>
      </c>
      <c r="G222" s="417">
        <f t="shared" si="65"/>
        <v>900700</v>
      </c>
      <c r="H222" s="417">
        <f t="shared" ref="H222:M222" si="69">H223+H225+H229+H231+H240+H242+H244+H246</f>
        <v>0</v>
      </c>
      <c r="I222" s="417">
        <f t="shared" si="69"/>
        <v>0</v>
      </c>
      <c r="J222" s="417">
        <f t="shared" si="69"/>
        <v>0</v>
      </c>
      <c r="K222" s="417">
        <f t="shared" si="69"/>
        <v>898677</v>
      </c>
      <c r="L222" s="417">
        <f t="shared" si="69"/>
        <v>0</v>
      </c>
      <c r="M222" s="418">
        <f t="shared" si="69"/>
        <v>2023</v>
      </c>
      <c r="N222" s="419">
        <f t="shared" si="68"/>
        <v>0.71316759002879748</v>
      </c>
    </row>
    <row r="223" spans="1:14" ht="12.75" customHeight="1" x14ac:dyDescent="0.25">
      <c r="A223" s="450">
        <v>5175</v>
      </c>
      <c r="B223" s="506">
        <v>411000</v>
      </c>
      <c r="C223" s="416" t="s">
        <v>205</v>
      </c>
      <c r="D223" s="441">
        <f>D224</f>
        <v>38644.85578992682</v>
      </c>
      <c r="E223" s="417">
        <f>E224</f>
        <v>1010985</v>
      </c>
      <c r="F223" s="417">
        <f>F224</f>
        <v>1049629.8557899268</v>
      </c>
      <c r="G223" s="417">
        <f t="shared" si="65"/>
        <v>747824</v>
      </c>
      <c r="H223" s="417">
        <f t="shared" ref="H223:M223" si="70">H224</f>
        <v>0</v>
      </c>
      <c r="I223" s="417">
        <f t="shared" si="70"/>
        <v>0</v>
      </c>
      <c r="J223" s="417">
        <f t="shared" si="70"/>
        <v>0</v>
      </c>
      <c r="K223" s="417">
        <f>K224</f>
        <v>746251</v>
      </c>
      <c r="L223" s="417">
        <f t="shared" si="70"/>
        <v>0</v>
      </c>
      <c r="M223" s="418">
        <f t="shared" si="70"/>
        <v>1573</v>
      </c>
      <c r="N223" s="419">
        <f t="shared" si="68"/>
        <v>0.712464490100851</v>
      </c>
    </row>
    <row r="224" spans="1:14" ht="12.75" customHeight="1" x14ac:dyDescent="0.25">
      <c r="A224" s="451">
        <v>5176</v>
      </c>
      <c r="B224" s="423">
        <v>411100</v>
      </c>
      <c r="C224" s="424" t="s">
        <v>206</v>
      </c>
      <c r="D224" s="452">
        <f>(44825+61)/1.1615</f>
        <v>38644.85578992682</v>
      </c>
      <c r="E224" s="435">
        <v>1010985</v>
      </c>
      <c r="F224" s="435">
        <f>D224+E224</f>
        <v>1049629.8557899268</v>
      </c>
      <c r="G224" s="453">
        <f t="shared" si="65"/>
        <v>747824</v>
      </c>
      <c r="H224" s="435"/>
      <c r="I224" s="435"/>
      <c r="J224" s="435"/>
      <c r="K224" s="435">
        <v>746251</v>
      </c>
      <c r="L224" s="435"/>
      <c r="M224" s="437">
        <v>1573</v>
      </c>
      <c r="N224" s="419">
        <f t="shared" si="68"/>
        <v>0.712464490100851</v>
      </c>
    </row>
    <row r="225" spans="1:14" ht="12.75" customHeight="1" x14ac:dyDescent="0.25">
      <c r="A225" s="450">
        <v>5177</v>
      </c>
      <c r="B225" s="506">
        <v>412000</v>
      </c>
      <c r="C225" s="416" t="s">
        <v>207</v>
      </c>
      <c r="D225" s="441">
        <f>SUM(D226:D228)</f>
        <v>6241.144210073182</v>
      </c>
      <c r="E225" s="417">
        <f>SUM(E226:E228)</f>
        <v>153194</v>
      </c>
      <c r="F225" s="417">
        <f>SUM(F226:F228)</f>
        <v>159435.14421007319</v>
      </c>
      <c r="G225" s="417">
        <f t="shared" si="65"/>
        <v>113287</v>
      </c>
      <c r="H225" s="417">
        <f t="shared" ref="H225:M225" si="71">SUM(H226:H228)</f>
        <v>0</v>
      </c>
      <c r="I225" s="417">
        <f t="shared" si="71"/>
        <v>0</v>
      </c>
      <c r="J225" s="417">
        <f t="shared" si="71"/>
        <v>0</v>
      </c>
      <c r="K225" s="417">
        <f t="shared" si="71"/>
        <v>113050</v>
      </c>
      <c r="L225" s="417">
        <f t="shared" si="71"/>
        <v>0</v>
      </c>
      <c r="M225" s="418">
        <f t="shared" si="71"/>
        <v>237</v>
      </c>
      <c r="N225" s="419">
        <f t="shared" si="68"/>
        <v>0.71055224719295274</v>
      </c>
    </row>
    <row r="226" spans="1:14" ht="12.75" customHeight="1" x14ac:dyDescent="0.25">
      <c r="A226" s="451">
        <v>5178</v>
      </c>
      <c r="B226" s="423">
        <v>412100</v>
      </c>
      <c r="C226" s="424" t="s">
        <v>208</v>
      </c>
      <c r="D226" s="452">
        <f>D224*0.11</f>
        <v>4250.9341368919504</v>
      </c>
      <c r="E226" s="435">
        <v>101128</v>
      </c>
      <c r="F226" s="435">
        <f>D226+E226</f>
        <v>105378.93413689196</v>
      </c>
      <c r="G226" s="453">
        <f t="shared" si="65"/>
        <v>74777</v>
      </c>
      <c r="H226" s="435"/>
      <c r="I226" s="435"/>
      <c r="J226" s="435"/>
      <c r="K226" s="435">
        <v>74620</v>
      </c>
      <c r="L226" s="435"/>
      <c r="M226" s="437">
        <v>157</v>
      </c>
      <c r="N226" s="419">
        <f t="shared" si="68"/>
        <v>0.70960102806564096</v>
      </c>
    </row>
    <row r="227" spans="1:14" ht="12.75" customHeight="1" x14ac:dyDescent="0.25">
      <c r="A227" s="451">
        <v>5179</v>
      </c>
      <c r="B227" s="423">
        <v>412200</v>
      </c>
      <c r="C227" s="424" t="s">
        <v>209</v>
      </c>
      <c r="D227" s="452">
        <f>D224*0.0515</f>
        <v>1990.2100731812311</v>
      </c>
      <c r="E227" s="435">
        <v>52066</v>
      </c>
      <c r="F227" s="435">
        <f t="shared" ref="F227:F230" si="72">D227+E227</f>
        <v>54056.210073181232</v>
      </c>
      <c r="G227" s="453">
        <f t="shared" si="65"/>
        <v>38510</v>
      </c>
      <c r="H227" s="435"/>
      <c r="I227" s="435"/>
      <c r="J227" s="435"/>
      <c r="K227" s="435">
        <v>38430</v>
      </c>
      <c r="L227" s="435"/>
      <c r="M227" s="437">
        <v>80</v>
      </c>
      <c r="N227" s="419">
        <f t="shared" si="68"/>
        <v>0.71240658469887563</v>
      </c>
    </row>
    <row r="228" spans="1:14" ht="12.75" hidden="1" customHeight="1" x14ac:dyDescent="0.25">
      <c r="A228" s="451">
        <v>5180</v>
      </c>
      <c r="B228" s="423">
        <v>412300</v>
      </c>
      <c r="C228" s="424" t="s">
        <v>210</v>
      </c>
      <c r="D228" s="452"/>
      <c r="E228" s="435"/>
      <c r="F228" s="435">
        <f t="shared" si="72"/>
        <v>0</v>
      </c>
      <c r="G228" s="436">
        <f t="shared" si="65"/>
        <v>0</v>
      </c>
      <c r="H228" s="435"/>
      <c r="I228" s="435"/>
      <c r="J228" s="435"/>
      <c r="K228" s="435"/>
      <c r="L228" s="435"/>
      <c r="M228" s="437"/>
      <c r="N228" s="419" t="e">
        <f t="shared" si="68"/>
        <v>#DIV/0!</v>
      </c>
    </row>
    <row r="229" spans="1:14" ht="12.75" hidden="1" customHeight="1" x14ac:dyDescent="0.25">
      <c r="A229" s="450">
        <v>5181</v>
      </c>
      <c r="B229" s="506">
        <v>413000</v>
      </c>
      <c r="C229" s="416" t="s">
        <v>211</v>
      </c>
      <c r="D229" s="441"/>
      <c r="E229" s="417">
        <f>E230</f>
        <v>0</v>
      </c>
      <c r="F229" s="435">
        <f t="shared" si="72"/>
        <v>0</v>
      </c>
      <c r="G229" s="417">
        <f t="shared" si="65"/>
        <v>0</v>
      </c>
      <c r="H229" s="417">
        <f t="shared" ref="H229:M229" si="73">H230</f>
        <v>0</v>
      </c>
      <c r="I229" s="417">
        <f t="shared" si="73"/>
        <v>0</v>
      </c>
      <c r="J229" s="417">
        <f t="shared" si="73"/>
        <v>0</v>
      </c>
      <c r="K229" s="417">
        <f t="shared" si="73"/>
        <v>0</v>
      </c>
      <c r="L229" s="417">
        <f t="shared" si="73"/>
        <v>0</v>
      </c>
      <c r="M229" s="418">
        <f t="shared" si="73"/>
        <v>0</v>
      </c>
      <c r="N229" s="419" t="e">
        <f t="shared" si="68"/>
        <v>#DIV/0!</v>
      </c>
    </row>
    <row r="230" spans="1:14" ht="12.75" hidden="1" customHeight="1" x14ac:dyDescent="0.25">
      <c r="A230" s="451">
        <v>5182</v>
      </c>
      <c r="B230" s="423">
        <v>413100</v>
      </c>
      <c r="C230" s="424" t="s">
        <v>212</v>
      </c>
      <c r="D230" s="452"/>
      <c r="E230" s="435"/>
      <c r="F230" s="435">
        <f t="shared" si="72"/>
        <v>0</v>
      </c>
      <c r="G230" s="436">
        <f t="shared" si="65"/>
        <v>0</v>
      </c>
      <c r="H230" s="435"/>
      <c r="I230" s="435"/>
      <c r="J230" s="435"/>
      <c r="K230" s="435"/>
      <c r="L230" s="435"/>
      <c r="M230" s="437"/>
      <c r="N230" s="419" t="e">
        <f t="shared" si="68"/>
        <v>#DIV/0!</v>
      </c>
    </row>
    <row r="231" spans="1:14" ht="12.75" customHeight="1" x14ac:dyDescent="0.25">
      <c r="A231" s="450">
        <v>5183</v>
      </c>
      <c r="B231" s="506">
        <v>414000</v>
      </c>
      <c r="C231" s="416" t="s">
        <v>213</v>
      </c>
      <c r="D231" s="454">
        <f>SUM(D232:D239)</f>
        <v>338</v>
      </c>
      <c r="E231" s="417">
        <f>SUM(E232:E239)</f>
        <v>9632</v>
      </c>
      <c r="F231" s="417">
        <f>SUM(F232:F239)</f>
        <v>9970</v>
      </c>
      <c r="G231" s="417">
        <f t="shared" si="65"/>
        <v>8456</v>
      </c>
      <c r="H231" s="417">
        <f t="shared" ref="H231:M231" si="74">SUM(H232:H239)</f>
        <v>0</v>
      </c>
      <c r="I231" s="417">
        <f t="shared" si="74"/>
        <v>0</v>
      </c>
      <c r="J231" s="417">
        <f t="shared" si="74"/>
        <v>0</v>
      </c>
      <c r="K231" s="417">
        <f t="shared" si="74"/>
        <v>8243</v>
      </c>
      <c r="L231" s="417">
        <f t="shared" si="74"/>
        <v>0</v>
      </c>
      <c r="M231" s="418">
        <f t="shared" si="74"/>
        <v>213</v>
      </c>
      <c r="N231" s="419">
        <f t="shared" si="68"/>
        <v>0.84814443329989975</v>
      </c>
    </row>
    <row r="232" spans="1:14" ht="12.75" hidden="1" customHeight="1" x14ac:dyDescent="0.25">
      <c r="A232" s="451">
        <v>5184</v>
      </c>
      <c r="B232" s="423">
        <v>414100</v>
      </c>
      <c r="C232" s="424" t="s">
        <v>214</v>
      </c>
      <c r="D232" s="452"/>
      <c r="E232" s="435"/>
      <c r="F232" s="435"/>
      <c r="G232" s="436">
        <f t="shared" si="65"/>
        <v>0</v>
      </c>
      <c r="H232" s="435"/>
      <c r="I232" s="435"/>
      <c r="J232" s="435"/>
      <c r="K232" s="435"/>
      <c r="L232" s="435"/>
      <c r="M232" s="437"/>
      <c r="N232" s="419" t="e">
        <f t="shared" si="68"/>
        <v>#DIV/0!</v>
      </c>
    </row>
    <row r="233" spans="1:14" ht="12.75" hidden="1" customHeight="1" x14ac:dyDescent="0.25">
      <c r="A233" s="451">
        <v>5185</v>
      </c>
      <c r="B233" s="423">
        <v>414200</v>
      </c>
      <c r="C233" s="424" t="s">
        <v>215</v>
      </c>
      <c r="D233" s="452"/>
      <c r="E233" s="435"/>
      <c r="F233" s="435"/>
      <c r="G233" s="436">
        <f t="shared" si="65"/>
        <v>0</v>
      </c>
      <c r="H233" s="435"/>
      <c r="I233" s="435"/>
      <c r="J233" s="435"/>
      <c r="K233" s="435"/>
      <c r="L233" s="435"/>
      <c r="M233" s="437"/>
      <c r="N233" s="419" t="e">
        <f t="shared" si="68"/>
        <v>#DIV/0!</v>
      </c>
    </row>
    <row r="234" spans="1:14" ht="12.75" customHeight="1" x14ac:dyDescent="0.25">
      <c r="A234" s="451">
        <v>5186</v>
      </c>
      <c r="B234" s="423">
        <v>414300</v>
      </c>
      <c r="C234" s="424" t="s">
        <v>216</v>
      </c>
      <c r="D234" s="452">
        <v>338</v>
      </c>
      <c r="E234" s="435">
        <v>8432</v>
      </c>
      <c r="F234" s="435">
        <f>D234+E234</f>
        <v>8770</v>
      </c>
      <c r="G234" s="436">
        <f>K234+M234</f>
        <v>7234</v>
      </c>
      <c r="H234" s="435"/>
      <c r="I234" s="435"/>
      <c r="J234" s="435"/>
      <c r="K234" s="435">
        <v>7026</v>
      </c>
      <c r="L234" s="435"/>
      <c r="M234" s="437">
        <v>208</v>
      </c>
      <c r="N234" s="419">
        <f t="shared" si="68"/>
        <v>0.8248574686431015</v>
      </c>
    </row>
    <row r="235" spans="1:14" ht="12.75" hidden="1" customHeight="1" x14ac:dyDescent="0.25">
      <c r="A235" s="717" t="s">
        <v>0</v>
      </c>
      <c r="B235" s="718" t="s">
        <v>1</v>
      </c>
      <c r="C235" s="719" t="s">
        <v>2</v>
      </c>
      <c r="D235" s="455"/>
      <c r="E235" s="719"/>
      <c r="F235" s="435">
        <f t="shared" ref="F235:F239" si="75">D235+E235</f>
        <v>0</v>
      </c>
      <c r="G235" s="714"/>
      <c r="H235" s="720"/>
      <c r="I235" s="720"/>
      <c r="J235" s="720"/>
      <c r="K235" s="720"/>
      <c r="L235" s="720"/>
      <c r="M235" s="721"/>
      <c r="N235" s="419" t="e">
        <f t="shared" si="68"/>
        <v>#DIV/0!</v>
      </c>
    </row>
    <row r="236" spans="1:14" ht="12.75" hidden="1" customHeight="1" x14ac:dyDescent="0.25">
      <c r="A236" s="717"/>
      <c r="B236" s="718"/>
      <c r="C236" s="719"/>
      <c r="D236" s="455"/>
      <c r="E236" s="719"/>
      <c r="F236" s="435">
        <f t="shared" si="75"/>
        <v>0</v>
      </c>
      <c r="G236" s="714"/>
      <c r="H236" s="714"/>
      <c r="I236" s="720"/>
      <c r="J236" s="720"/>
      <c r="K236" s="720"/>
      <c r="L236" s="714"/>
      <c r="M236" s="722"/>
      <c r="N236" s="419" t="e">
        <f t="shared" si="68"/>
        <v>#DIV/0!</v>
      </c>
    </row>
    <row r="237" spans="1:14" ht="12.75" hidden="1" customHeight="1" x14ac:dyDescent="0.25">
      <c r="A237" s="717"/>
      <c r="B237" s="718"/>
      <c r="C237" s="719"/>
      <c r="D237" s="455"/>
      <c r="E237" s="719"/>
      <c r="F237" s="435">
        <f t="shared" si="75"/>
        <v>0</v>
      </c>
      <c r="G237" s="720"/>
      <c r="H237" s="509"/>
      <c r="I237" s="509"/>
      <c r="J237" s="509"/>
      <c r="K237" s="509"/>
      <c r="L237" s="720"/>
      <c r="M237" s="721"/>
      <c r="N237" s="419" t="e">
        <f t="shared" si="68"/>
        <v>#DIV/0!</v>
      </c>
    </row>
    <row r="238" spans="1:14" ht="12.75" hidden="1" customHeight="1" x14ac:dyDescent="0.25">
      <c r="A238" s="456" t="s">
        <v>18</v>
      </c>
      <c r="B238" s="507" t="s">
        <v>19</v>
      </c>
      <c r="C238" s="429" t="s">
        <v>20</v>
      </c>
      <c r="D238" s="455"/>
      <c r="E238" s="429"/>
      <c r="F238" s="435">
        <f t="shared" si="75"/>
        <v>0</v>
      </c>
      <c r="G238" s="429"/>
      <c r="H238" s="429"/>
      <c r="I238" s="429"/>
      <c r="J238" s="429"/>
      <c r="K238" s="429"/>
      <c r="L238" s="429"/>
      <c r="M238" s="434"/>
      <c r="N238" s="419" t="e">
        <f t="shared" si="68"/>
        <v>#DIV/0!</v>
      </c>
    </row>
    <row r="239" spans="1:14" ht="25.5" customHeight="1" x14ac:dyDescent="0.25">
      <c r="A239" s="451">
        <v>5187</v>
      </c>
      <c r="B239" s="423">
        <v>414400</v>
      </c>
      <c r="C239" s="424" t="s">
        <v>218</v>
      </c>
      <c r="D239" s="452">
        <v>0</v>
      </c>
      <c r="E239" s="435">
        <v>1200</v>
      </c>
      <c r="F239" s="435">
        <f t="shared" si="75"/>
        <v>1200</v>
      </c>
      <c r="G239" s="436">
        <f>K239+M239</f>
        <v>1222</v>
      </c>
      <c r="H239" s="435"/>
      <c r="I239" s="435"/>
      <c r="J239" s="435"/>
      <c r="K239" s="435">
        <v>1217</v>
      </c>
      <c r="L239" s="435"/>
      <c r="M239" s="437">
        <v>5</v>
      </c>
      <c r="N239" s="419">
        <f t="shared" si="68"/>
        <v>1.0183333333333333</v>
      </c>
    </row>
    <row r="240" spans="1:14" ht="12.75" customHeight="1" x14ac:dyDescent="0.25">
      <c r="A240" s="450">
        <v>5188</v>
      </c>
      <c r="B240" s="506">
        <v>415000</v>
      </c>
      <c r="C240" s="416" t="s">
        <v>219</v>
      </c>
      <c r="D240" s="441">
        <f>D241</f>
        <v>0</v>
      </c>
      <c r="E240" s="417">
        <f>E241</f>
        <v>28788</v>
      </c>
      <c r="F240" s="417">
        <f>F241</f>
        <v>28788</v>
      </c>
      <c r="G240" s="417">
        <f t="shared" si="65"/>
        <v>19934</v>
      </c>
      <c r="H240" s="417">
        <f t="shared" ref="H240:M240" si="76">H241</f>
        <v>0</v>
      </c>
      <c r="I240" s="417">
        <f t="shared" si="76"/>
        <v>0</v>
      </c>
      <c r="J240" s="417">
        <f t="shared" si="76"/>
        <v>0</v>
      </c>
      <c r="K240" s="417">
        <f t="shared" si="76"/>
        <v>19934</v>
      </c>
      <c r="L240" s="417">
        <f t="shared" si="76"/>
        <v>0</v>
      </c>
      <c r="M240" s="418">
        <f t="shared" si="76"/>
        <v>0</v>
      </c>
      <c r="N240" s="419">
        <f t="shared" si="68"/>
        <v>0.69244129498402107</v>
      </c>
    </row>
    <row r="241" spans="1:14" ht="12.75" customHeight="1" x14ac:dyDescent="0.25">
      <c r="A241" s="451">
        <v>5189</v>
      </c>
      <c r="B241" s="423">
        <v>415100</v>
      </c>
      <c r="C241" s="424" t="s">
        <v>220</v>
      </c>
      <c r="D241" s="452">
        <v>0</v>
      </c>
      <c r="E241" s="435">
        <v>28788</v>
      </c>
      <c r="F241" s="435">
        <f>D241+E241</f>
        <v>28788</v>
      </c>
      <c r="G241" s="436">
        <f t="shared" si="65"/>
        <v>19934</v>
      </c>
      <c r="H241" s="435"/>
      <c r="I241" s="435"/>
      <c r="J241" s="435"/>
      <c r="K241" s="435">
        <v>19934</v>
      </c>
      <c r="L241" s="435"/>
      <c r="M241" s="437"/>
      <c r="N241" s="419">
        <f t="shared" si="68"/>
        <v>0.69244129498402107</v>
      </c>
    </row>
    <row r="242" spans="1:14" ht="12.75" customHeight="1" x14ac:dyDescent="0.25">
      <c r="A242" s="450">
        <v>5190</v>
      </c>
      <c r="B242" s="506">
        <v>416000</v>
      </c>
      <c r="C242" s="416" t="s">
        <v>221</v>
      </c>
      <c r="D242" s="441">
        <f>D243</f>
        <v>1227</v>
      </c>
      <c r="E242" s="417">
        <f>E243</f>
        <v>13907</v>
      </c>
      <c r="F242" s="457">
        <f>F243</f>
        <v>15134</v>
      </c>
      <c r="G242" s="457">
        <f t="shared" si="65"/>
        <v>11199</v>
      </c>
      <c r="H242" s="457">
        <f t="shared" ref="H242:M242" si="77">H243</f>
        <v>0</v>
      </c>
      <c r="I242" s="457">
        <f t="shared" si="77"/>
        <v>0</v>
      </c>
      <c r="J242" s="457">
        <f t="shared" si="77"/>
        <v>0</v>
      </c>
      <c r="K242" s="457">
        <f t="shared" si="77"/>
        <v>11199</v>
      </c>
      <c r="L242" s="457">
        <f t="shared" si="77"/>
        <v>0</v>
      </c>
      <c r="M242" s="458">
        <f t="shared" si="77"/>
        <v>0</v>
      </c>
      <c r="N242" s="419">
        <f t="shared" si="68"/>
        <v>0.73998942777851195</v>
      </c>
    </row>
    <row r="243" spans="1:14" ht="12.75" customHeight="1" x14ac:dyDescent="0.25">
      <c r="A243" s="451">
        <v>5191</v>
      </c>
      <c r="B243" s="423">
        <v>416100</v>
      </c>
      <c r="C243" s="424" t="s">
        <v>222</v>
      </c>
      <c r="D243" s="452">
        <v>1227</v>
      </c>
      <c r="E243" s="435">
        <v>13907</v>
      </c>
      <c r="F243" s="435">
        <f>D243+E243</f>
        <v>15134</v>
      </c>
      <c r="G243" s="436">
        <f t="shared" si="65"/>
        <v>11199</v>
      </c>
      <c r="H243" s="435"/>
      <c r="I243" s="435"/>
      <c r="J243" s="435"/>
      <c r="K243" s="435">
        <v>11199</v>
      </c>
      <c r="L243" s="435"/>
      <c r="M243" s="437"/>
      <c r="N243" s="419">
        <f t="shared" si="68"/>
        <v>0.73998942777851195</v>
      </c>
    </row>
    <row r="244" spans="1:14" ht="12.75" hidden="1" customHeight="1" x14ac:dyDescent="0.25">
      <c r="A244" s="450">
        <v>5192</v>
      </c>
      <c r="B244" s="506">
        <v>417000</v>
      </c>
      <c r="C244" s="416" t="s">
        <v>223</v>
      </c>
      <c r="D244" s="441"/>
      <c r="E244" s="417">
        <f>E245</f>
        <v>0</v>
      </c>
      <c r="F244" s="417">
        <f>F245</f>
        <v>0</v>
      </c>
      <c r="G244" s="417">
        <f t="shared" si="65"/>
        <v>0</v>
      </c>
      <c r="H244" s="417">
        <f t="shared" ref="H244:M244" si="78">H245</f>
        <v>0</v>
      </c>
      <c r="I244" s="417">
        <f t="shared" si="78"/>
        <v>0</v>
      </c>
      <c r="J244" s="417">
        <f t="shared" si="78"/>
        <v>0</v>
      </c>
      <c r="K244" s="417">
        <f t="shared" si="78"/>
        <v>0</v>
      </c>
      <c r="L244" s="417">
        <f t="shared" si="78"/>
        <v>0</v>
      </c>
      <c r="M244" s="418">
        <f t="shared" si="78"/>
        <v>0</v>
      </c>
      <c r="N244" s="419" t="e">
        <f t="shared" si="68"/>
        <v>#DIV/0!</v>
      </c>
    </row>
    <row r="245" spans="1:14" ht="12.75" hidden="1" customHeight="1" x14ac:dyDescent="0.25">
      <c r="A245" s="451">
        <v>5193</v>
      </c>
      <c r="B245" s="423">
        <v>417100</v>
      </c>
      <c r="C245" s="424" t="s">
        <v>224</v>
      </c>
      <c r="D245" s="452"/>
      <c r="E245" s="435"/>
      <c r="F245" s="435"/>
      <c r="G245" s="436">
        <f t="shared" si="65"/>
        <v>0</v>
      </c>
      <c r="H245" s="435"/>
      <c r="I245" s="435"/>
      <c r="J245" s="435"/>
      <c r="K245" s="435"/>
      <c r="L245" s="435"/>
      <c r="M245" s="437"/>
      <c r="N245" s="419" t="e">
        <f t="shared" si="68"/>
        <v>#DIV/0!</v>
      </c>
    </row>
    <row r="246" spans="1:14" ht="12.75" hidden="1" customHeight="1" x14ac:dyDescent="0.25">
      <c r="A246" s="450">
        <v>5194</v>
      </c>
      <c r="B246" s="506">
        <v>418000</v>
      </c>
      <c r="C246" s="416" t="s">
        <v>225</v>
      </c>
      <c r="D246" s="441"/>
      <c r="E246" s="417">
        <f>E247</f>
        <v>0</v>
      </c>
      <c r="F246" s="417">
        <f>F247</f>
        <v>0</v>
      </c>
      <c r="G246" s="417">
        <f t="shared" si="65"/>
        <v>0</v>
      </c>
      <c r="H246" s="417">
        <f t="shared" ref="H246:M246" si="79">H247</f>
        <v>0</v>
      </c>
      <c r="I246" s="417">
        <f t="shared" si="79"/>
        <v>0</v>
      </c>
      <c r="J246" s="417">
        <f t="shared" si="79"/>
        <v>0</v>
      </c>
      <c r="K246" s="417">
        <f t="shared" si="79"/>
        <v>0</v>
      </c>
      <c r="L246" s="417">
        <f t="shared" si="79"/>
        <v>0</v>
      </c>
      <c r="M246" s="418">
        <f t="shared" si="79"/>
        <v>0</v>
      </c>
      <c r="N246" s="419" t="e">
        <f t="shared" si="68"/>
        <v>#DIV/0!</v>
      </c>
    </row>
    <row r="247" spans="1:14" ht="12.75" hidden="1" customHeight="1" x14ac:dyDescent="0.25">
      <c r="A247" s="451">
        <v>5195</v>
      </c>
      <c r="B247" s="423">
        <v>418100</v>
      </c>
      <c r="C247" s="424" t="s">
        <v>226</v>
      </c>
      <c r="D247" s="452"/>
      <c r="E247" s="435"/>
      <c r="F247" s="435"/>
      <c r="G247" s="436">
        <f t="shared" si="65"/>
        <v>0</v>
      </c>
      <c r="H247" s="435"/>
      <c r="I247" s="435"/>
      <c r="J247" s="435"/>
      <c r="K247" s="435"/>
      <c r="L247" s="435"/>
      <c r="M247" s="437"/>
      <c r="N247" s="419" t="e">
        <f t="shared" si="68"/>
        <v>#DIV/0!</v>
      </c>
    </row>
    <row r="248" spans="1:14" ht="12.75" customHeight="1" x14ac:dyDescent="0.25">
      <c r="A248" s="450">
        <v>5196</v>
      </c>
      <c r="B248" s="506">
        <v>420000</v>
      </c>
      <c r="C248" s="416" t="s">
        <v>227</v>
      </c>
      <c r="D248" s="441">
        <f>D249+D257+D263+D276+D284+D287</f>
        <v>22401</v>
      </c>
      <c r="E248" s="417">
        <f>E249+E257+E263+E276+E284+E287</f>
        <v>392830</v>
      </c>
      <c r="F248" s="417">
        <f>F249+F257+F263+F276+F284+F287</f>
        <v>415231</v>
      </c>
      <c r="G248" s="417">
        <f t="shared" si="65"/>
        <v>309616</v>
      </c>
      <c r="H248" s="417">
        <f t="shared" ref="H248:M248" si="80">H249+H257+H263+H276+H284+H287</f>
        <v>856</v>
      </c>
      <c r="I248" s="417">
        <f t="shared" si="80"/>
        <v>0</v>
      </c>
      <c r="J248" s="417">
        <f t="shared" si="80"/>
        <v>5380</v>
      </c>
      <c r="K248" s="417">
        <f t="shared" si="80"/>
        <v>297911</v>
      </c>
      <c r="L248" s="417">
        <f t="shared" si="80"/>
        <v>0</v>
      </c>
      <c r="M248" s="418">
        <f t="shared" si="80"/>
        <v>5469</v>
      </c>
      <c r="N248" s="419">
        <f t="shared" si="68"/>
        <v>0.74564760338221381</v>
      </c>
    </row>
    <row r="249" spans="1:14" ht="12.75" customHeight="1" x14ac:dyDescent="0.25">
      <c r="A249" s="450">
        <v>5197</v>
      </c>
      <c r="B249" s="506">
        <v>421000</v>
      </c>
      <c r="C249" s="416" t="s">
        <v>228</v>
      </c>
      <c r="D249" s="441">
        <f>SUM(D250:D256)</f>
        <v>-1960</v>
      </c>
      <c r="E249" s="417">
        <f>SUM(E250:E256)</f>
        <v>116727</v>
      </c>
      <c r="F249" s="417">
        <f>SUM(F250:F256)</f>
        <v>114767</v>
      </c>
      <c r="G249" s="417">
        <f t="shared" si="65"/>
        <v>58888</v>
      </c>
      <c r="H249" s="417">
        <f t="shared" ref="H249:M249" si="81">SUM(H250:H256)</f>
        <v>0</v>
      </c>
      <c r="I249" s="417">
        <f t="shared" si="81"/>
        <v>0</v>
      </c>
      <c r="J249" s="417">
        <f t="shared" si="81"/>
        <v>0</v>
      </c>
      <c r="K249" s="417">
        <f t="shared" si="81"/>
        <v>57787</v>
      </c>
      <c r="L249" s="417">
        <f t="shared" si="81"/>
        <v>0</v>
      </c>
      <c r="M249" s="418">
        <f t="shared" si="81"/>
        <v>1101</v>
      </c>
      <c r="N249" s="419">
        <f t="shared" si="68"/>
        <v>0.51310916901199821</v>
      </c>
    </row>
    <row r="250" spans="1:14" ht="12.75" customHeight="1" x14ac:dyDescent="0.25">
      <c r="A250" s="451">
        <v>5198</v>
      </c>
      <c r="B250" s="423">
        <v>421100</v>
      </c>
      <c r="C250" s="424" t="s">
        <v>229</v>
      </c>
      <c r="D250" s="452">
        <v>0</v>
      </c>
      <c r="E250" s="435">
        <v>1580</v>
      </c>
      <c r="F250" s="435">
        <f>D250+E250</f>
        <v>1580</v>
      </c>
      <c r="G250" s="436">
        <f t="shared" si="65"/>
        <v>785</v>
      </c>
      <c r="H250" s="435"/>
      <c r="I250" s="435"/>
      <c r="J250" s="435"/>
      <c r="K250" s="435">
        <v>737</v>
      </c>
      <c r="L250" s="435"/>
      <c r="M250" s="437">
        <v>48</v>
      </c>
      <c r="N250" s="419">
        <f t="shared" si="68"/>
        <v>0.49683544303797467</v>
      </c>
    </row>
    <row r="251" spans="1:14" ht="12.75" customHeight="1" x14ac:dyDescent="0.25">
      <c r="A251" s="451">
        <v>5199</v>
      </c>
      <c r="B251" s="423">
        <v>421200</v>
      </c>
      <c r="C251" s="424" t="s">
        <v>230</v>
      </c>
      <c r="D251" s="452">
        <v>-1660</v>
      </c>
      <c r="E251" s="435">
        <f>98556</f>
        <v>98556</v>
      </c>
      <c r="F251" s="435">
        <f t="shared" ref="F251:F256" si="82">D251+E251</f>
        <v>96896</v>
      </c>
      <c r="G251" s="436">
        <f t="shared" si="65"/>
        <v>45555</v>
      </c>
      <c r="H251" s="435"/>
      <c r="I251" s="435"/>
      <c r="J251" s="435"/>
      <c r="K251" s="435">
        <v>45255</v>
      </c>
      <c r="L251" s="435"/>
      <c r="M251" s="437">
        <v>300</v>
      </c>
      <c r="N251" s="419">
        <f t="shared" si="68"/>
        <v>0.47014324636723909</v>
      </c>
    </row>
    <row r="252" spans="1:14" ht="12.75" customHeight="1" x14ac:dyDescent="0.25">
      <c r="A252" s="451">
        <v>5200</v>
      </c>
      <c r="B252" s="423">
        <v>421300</v>
      </c>
      <c r="C252" s="424" t="s">
        <v>231</v>
      </c>
      <c r="D252" s="452">
        <v>-200</v>
      </c>
      <c r="E252" s="435">
        <v>11326</v>
      </c>
      <c r="F252" s="435">
        <f t="shared" si="82"/>
        <v>11126</v>
      </c>
      <c r="G252" s="436">
        <f t="shared" si="65"/>
        <v>8640</v>
      </c>
      <c r="H252" s="435"/>
      <c r="I252" s="435"/>
      <c r="J252" s="435"/>
      <c r="K252" s="435">
        <v>8066</v>
      </c>
      <c r="L252" s="435"/>
      <c r="M252" s="437">
        <v>574</v>
      </c>
      <c r="N252" s="419">
        <f t="shared" si="68"/>
        <v>0.77655941039007725</v>
      </c>
    </row>
    <row r="253" spans="1:14" ht="12.75" customHeight="1" x14ac:dyDescent="0.25">
      <c r="A253" s="451">
        <v>5201</v>
      </c>
      <c r="B253" s="423">
        <v>421400</v>
      </c>
      <c r="C253" s="424" t="s">
        <v>232</v>
      </c>
      <c r="D253" s="452">
        <v>0</v>
      </c>
      <c r="E253" s="435">
        <v>2040</v>
      </c>
      <c r="F253" s="435">
        <f t="shared" si="82"/>
        <v>2040</v>
      </c>
      <c r="G253" s="436">
        <f t="shared" si="65"/>
        <v>1768</v>
      </c>
      <c r="H253" s="435"/>
      <c r="I253" s="435"/>
      <c r="J253" s="435"/>
      <c r="K253" s="435">
        <v>1768</v>
      </c>
      <c r="L253" s="435"/>
      <c r="M253" s="437"/>
      <c r="N253" s="419">
        <f t="shared" si="68"/>
        <v>0.8666666666666667</v>
      </c>
    </row>
    <row r="254" spans="1:14" ht="12.75" customHeight="1" x14ac:dyDescent="0.25">
      <c r="A254" s="451">
        <v>5202</v>
      </c>
      <c r="B254" s="423">
        <v>421500</v>
      </c>
      <c r="C254" s="424" t="s">
        <v>233</v>
      </c>
      <c r="D254" s="452">
        <v>-100</v>
      </c>
      <c r="E254" s="435">
        <v>3225</v>
      </c>
      <c r="F254" s="435">
        <f t="shared" si="82"/>
        <v>3125</v>
      </c>
      <c r="G254" s="436">
        <f t="shared" si="65"/>
        <v>2140</v>
      </c>
      <c r="H254" s="435"/>
      <c r="I254" s="435"/>
      <c r="J254" s="435"/>
      <c r="K254" s="435">
        <v>1961</v>
      </c>
      <c r="L254" s="435"/>
      <c r="M254" s="437">
        <v>179</v>
      </c>
      <c r="N254" s="419">
        <f t="shared" si="68"/>
        <v>0.68479999999999996</v>
      </c>
    </row>
    <row r="255" spans="1:14" ht="12.75" hidden="1" customHeight="1" x14ac:dyDescent="0.25">
      <c r="A255" s="451">
        <v>5203</v>
      </c>
      <c r="B255" s="423">
        <v>421600</v>
      </c>
      <c r="C255" s="424" t="s">
        <v>234</v>
      </c>
      <c r="D255" s="452"/>
      <c r="E255" s="435"/>
      <c r="F255" s="435">
        <f t="shared" si="82"/>
        <v>0</v>
      </c>
      <c r="G255" s="436">
        <f t="shared" si="65"/>
        <v>0</v>
      </c>
      <c r="H255" s="435"/>
      <c r="I255" s="435"/>
      <c r="J255" s="435"/>
      <c r="K255" s="435"/>
      <c r="L255" s="435"/>
      <c r="M255" s="437"/>
      <c r="N255" s="419" t="e">
        <f t="shared" si="68"/>
        <v>#DIV/0!</v>
      </c>
    </row>
    <row r="256" spans="1:14" ht="12.75" hidden="1" customHeight="1" x14ac:dyDescent="0.25">
      <c r="A256" s="451">
        <v>5204</v>
      </c>
      <c r="B256" s="423">
        <v>421900</v>
      </c>
      <c r="C256" s="424" t="s">
        <v>235</v>
      </c>
      <c r="D256" s="452"/>
      <c r="E256" s="435"/>
      <c r="F256" s="435">
        <f t="shared" si="82"/>
        <v>0</v>
      </c>
      <c r="G256" s="436">
        <f t="shared" si="65"/>
        <v>0</v>
      </c>
      <c r="H256" s="435"/>
      <c r="I256" s="435"/>
      <c r="J256" s="435"/>
      <c r="K256" s="435"/>
      <c r="L256" s="435"/>
      <c r="M256" s="437"/>
      <c r="N256" s="419" t="e">
        <f t="shared" si="68"/>
        <v>#DIV/0!</v>
      </c>
    </row>
    <row r="257" spans="1:14" ht="12.75" customHeight="1" x14ac:dyDescent="0.25">
      <c r="A257" s="450">
        <v>5205</v>
      </c>
      <c r="B257" s="506">
        <v>422000</v>
      </c>
      <c r="C257" s="416" t="s">
        <v>236</v>
      </c>
      <c r="D257" s="441">
        <f>SUM(D258:D262)</f>
        <v>-100</v>
      </c>
      <c r="E257" s="417">
        <f>SUM(E258:E262)</f>
        <v>624</v>
      </c>
      <c r="F257" s="417">
        <f>SUM(F258:F262)</f>
        <v>524</v>
      </c>
      <c r="G257" s="417">
        <f t="shared" si="65"/>
        <v>353</v>
      </c>
      <c r="H257" s="417">
        <f t="shared" ref="H257:M257" si="83">SUM(H258:H262)</f>
        <v>0</v>
      </c>
      <c r="I257" s="417">
        <f t="shared" si="83"/>
        <v>0</v>
      </c>
      <c r="J257" s="417">
        <f t="shared" si="83"/>
        <v>0</v>
      </c>
      <c r="K257" s="417">
        <f t="shared" si="83"/>
        <v>77</v>
      </c>
      <c r="L257" s="417">
        <f t="shared" si="83"/>
        <v>0</v>
      </c>
      <c r="M257" s="418">
        <f t="shared" si="83"/>
        <v>276</v>
      </c>
      <c r="N257" s="419">
        <f t="shared" si="68"/>
        <v>0.67366412213740456</v>
      </c>
    </row>
    <row r="258" spans="1:14" ht="12.75" customHeight="1" x14ac:dyDescent="0.25">
      <c r="A258" s="451">
        <v>5206</v>
      </c>
      <c r="B258" s="423">
        <v>422100</v>
      </c>
      <c r="C258" s="424" t="s">
        <v>237</v>
      </c>
      <c r="D258" s="452">
        <v>-100</v>
      </c>
      <c r="E258" s="435">
        <v>624</v>
      </c>
      <c r="F258" s="435">
        <f>D258+E258</f>
        <v>524</v>
      </c>
      <c r="G258" s="436">
        <f t="shared" si="65"/>
        <v>353</v>
      </c>
      <c r="H258" s="435"/>
      <c r="I258" s="435"/>
      <c r="J258" s="435"/>
      <c r="K258" s="435">
        <v>77</v>
      </c>
      <c r="L258" s="435"/>
      <c r="M258" s="437">
        <v>276</v>
      </c>
      <c r="N258" s="419">
        <f t="shared" si="68"/>
        <v>0.67366412213740456</v>
      </c>
    </row>
    <row r="259" spans="1:14" ht="12.75" hidden="1" customHeight="1" x14ac:dyDescent="0.25">
      <c r="A259" s="451">
        <v>5207</v>
      </c>
      <c r="B259" s="423">
        <v>422200</v>
      </c>
      <c r="C259" s="424" t="s">
        <v>238</v>
      </c>
      <c r="D259" s="452"/>
      <c r="E259" s="435"/>
      <c r="F259" s="435"/>
      <c r="G259" s="436">
        <f t="shared" si="65"/>
        <v>0</v>
      </c>
      <c r="H259" s="435"/>
      <c r="I259" s="435"/>
      <c r="J259" s="435"/>
      <c r="K259" s="435"/>
      <c r="L259" s="435"/>
      <c r="M259" s="437"/>
      <c r="N259" s="419" t="e">
        <f t="shared" si="68"/>
        <v>#DIV/0!</v>
      </c>
    </row>
    <row r="260" spans="1:14" ht="12.75" hidden="1" customHeight="1" x14ac:dyDescent="0.25">
      <c r="A260" s="451">
        <v>5208</v>
      </c>
      <c r="B260" s="423">
        <v>422300</v>
      </c>
      <c r="C260" s="424" t="s">
        <v>239</v>
      </c>
      <c r="D260" s="452"/>
      <c r="E260" s="435"/>
      <c r="F260" s="435"/>
      <c r="G260" s="436">
        <f t="shared" si="65"/>
        <v>0</v>
      </c>
      <c r="H260" s="435"/>
      <c r="I260" s="435"/>
      <c r="J260" s="435"/>
      <c r="K260" s="435"/>
      <c r="L260" s="435"/>
      <c r="M260" s="437"/>
      <c r="N260" s="419" t="e">
        <f t="shared" si="68"/>
        <v>#DIV/0!</v>
      </c>
    </row>
    <row r="261" spans="1:14" ht="12.75" hidden="1" customHeight="1" x14ac:dyDescent="0.25">
      <c r="A261" s="451">
        <v>5209</v>
      </c>
      <c r="B261" s="423">
        <v>422400</v>
      </c>
      <c r="C261" s="424" t="s">
        <v>240</v>
      </c>
      <c r="D261" s="452"/>
      <c r="E261" s="435"/>
      <c r="F261" s="435"/>
      <c r="G261" s="436">
        <f t="shared" si="65"/>
        <v>0</v>
      </c>
      <c r="H261" s="435"/>
      <c r="I261" s="435"/>
      <c r="J261" s="435"/>
      <c r="K261" s="435"/>
      <c r="L261" s="435"/>
      <c r="M261" s="437"/>
      <c r="N261" s="419" t="e">
        <f t="shared" si="68"/>
        <v>#DIV/0!</v>
      </c>
    </row>
    <row r="262" spans="1:14" ht="12.75" hidden="1" customHeight="1" x14ac:dyDescent="0.25">
      <c r="A262" s="451">
        <v>5210</v>
      </c>
      <c r="B262" s="423">
        <v>422900</v>
      </c>
      <c r="C262" s="424" t="s">
        <v>241</v>
      </c>
      <c r="D262" s="452"/>
      <c r="E262" s="435"/>
      <c r="F262" s="435"/>
      <c r="G262" s="436">
        <f t="shared" si="65"/>
        <v>0</v>
      </c>
      <c r="H262" s="435"/>
      <c r="I262" s="435"/>
      <c r="J262" s="435"/>
      <c r="K262" s="435"/>
      <c r="L262" s="435"/>
      <c r="M262" s="437"/>
      <c r="N262" s="419" t="e">
        <f t="shared" si="68"/>
        <v>#DIV/0!</v>
      </c>
    </row>
    <row r="263" spans="1:14" ht="12.75" customHeight="1" x14ac:dyDescent="0.25">
      <c r="A263" s="450">
        <v>5211</v>
      </c>
      <c r="B263" s="506">
        <v>423000</v>
      </c>
      <c r="C263" s="416" t="s">
        <v>242</v>
      </c>
      <c r="D263" s="441">
        <f>SUM(D264:D275)</f>
        <v>0</v>
      </c>
      <c r="E263" s="417">
        <f>SUM(E264:E275)</f>
        <v>9869</v>
      </c>
      <c r="F263" s="417">
        <f>SUM(F264:F275)</f>
        <v>9869</v>
      </c>
      <c r="G263" s="417">
        <f t="shared" si="65"/>
        <v>7329</v>
      </c>
      <c r="H263" s="417">
        <f t="shared" ref="H263:M263" si="84">SUM(H264:H275)</f>
        <v>0</v>
      </c>
      <c r="I263" s="417">
        <f t="shared" si="84"/>
        <v>0</v>
      </c>
      <c r="J263" s="417">
        <f t="shared" si="84"/>
        <v>0</v>
      </c>
      <c r="K263" s="417">
        <f t="shared" si="84"/>
        <v>5556</v>
      </c>
      <c r="L263" s="417">
        <f t="shared" si="84"/>
        <v>0</v>
      </c>
      <c r="M263" s="418">
        <f t="shared" si="84"/>
        <v>1773</v>
      </c>
      <c r="N263" s="419">
        <f t="shared" si="68"/>
        <v>0.74262843246529542</v>
      </c>
    </row>
    <row r="264" spans="1:14" ht="12.75" hidden="1" customHeight="1" x14ac:dyDescent="0.25">
      <c r="A264" s="451">
        <v>5212</v>
      </c>
      <c r="B264" s="423">
        <v>423100</v>
      </c>
      <c r="C264" s="424" t="s">
        <v>243</v>
      </c>
      <c r="D264" s="452"/>
      <c r="E264" s="435"/>
      <c r="F264" s="435"/>
      <c r="G264" s="436">
        <f t="shared" si="65"/>
        <v>0</v>
      </c>
      <c r="H264" s="435"/>
      <c r="I264" s="435"/>
      <c r="J264" s="435"/>
      <c r="K264" s="435"/>
      <c r="L264" s="435"/>
      <c r="M264" s="437"/>
      <c r="N264" s="419" t="e">
        <f t="shared" si="68"/>
        <v>#DIV/0!</v>
      </c>
    </row>
    <row r="265" spans="1:14" ht="12.75" customHeight="1" x14ac:dyDescent="0.25">
      <c r="A265" s="451">
        <v>5213</v>
      </c>
      <c r="B265" s="423">
        <v>423200</v>
      </c>
      <c r="C265" s="424" t="s">
        <v>244</v>
      </c>
      <c r="D265" s="452">
        <v>0</v>
      </c>
      <c r="E265" s="435">
        <v>3852</v>
      </c>
      <c r="F265" s="435">
        <f>D265+E265</f>
        <v>3852</v>
      </c>
      <c r="G265" s="436">
        <f t="shared" si="65"/>
        <v>2683</v>
      </c>
      <c r="H265" s="435"/>
      <c r="I265" s="435"/>
      <c r="J265" s="435"/>
      <c r="K265" s="435">
        <v>2683</v>
      </c>
      <c r="L265" s="435"/>
      <c r="M265" s="437"/>
      <c r="N265" s="419">
        <f t="shared" si="68"/>
        <v>0.69652128764278298</v>
      </c>
    </row>
    <row r="266" spans="1:14" ht="12.75" customHeight="1" x14ac:dyDescent="0.25">
      <c r="A266" s="451">
        <v>5214</v>
      </c>
      <c r="B266" s="423">
        <v>423300</v>
      </c>
      <c r="C266" s="424" t="s">
        <v>245</v>
      </c>
      <c r="D266" s="452">
        <v>0</v>
      </c>
      <c r="E266" s="435">
        <v>3772</v>
      </c>
      <c r="F266" s="435">
        <f t="shared" ref="F266:F275" si="85">D266+E266</f>
        <v>3772</v>
      </c>
      <c r="G266" s="436">
        <f t="shared" si="65"/>
        <v>3067</v>
      </c>
      <c r="H266" s="435"/>
      <c r="I266" s="435"/>
      <c r="J266" s="435"/>
      <c r="K266" s="435">
        <v>2699</v>
      </c>
      <c r="L266" s="435"/>
      <c r="M266" s="437">
        <v>368</v>
      </c>
      <c r="N266" s="419">
        <f t="shared" si="68"/>
        <v>0.81309650053022264</v>
      </c>
    </row>
    <row r="267" spans="1:14" ht="12.75" customHeight="1" x14ac:dyDescent="0.25">
      <c r="A267" s="451">
        <v>5215</v>
      </c>
      <c r="B267" s="423">
        <v>423400</v>
      </c>
      <c r="C267" s="424" t="s">
        <v>246</v>
      </c>
      <c r="D267" s="452">
        <v>0</v>
      </c>
      <c r="E267" s="435">
        <v>100</v>
      </c>
      <c r="F267" s="435">
        <f t="shared" si="85"/>
        <v>100</v>
      </c>
      <c r="G267" s="436">
        <f t="shared" si="65"/>
        <v>174</v>
      </c>
      <c r="H267" s="435"/>
      <c r="I267" s="435"/>
      <c r="J267" s="435"/>
      <c r="K267" s="435">
        <v>174</v>
      </c>
      <c r="L267" s="435"/>
      <c r="M267" s="437"/>
      <c r="N267" s="419">
        <f t="shared" si="68"/>
        <v>1.74</v>
      </c>
    </row>
    <row r="268" spans="1:14" ht="12.75" customHeight="1" x14ac:dyDescent="0.25">
      <c r="A268" s="451">
        <v>5216</v>
      </c>
      <c r="B268" s="423">
        <v>423500</v>
      </c>
      <c r="C268" s="424" t="s">
        <v>247</v>
      </c>
      <c r="D268" s="452">
        <v>0</v>
      </c>
      <c r="E268" s="435">
        <v>1667</v>
      </c>
      <c r="F268" s="435">
        <f t="shared" si="85"/>
        <v>1667</v>
      </c>
      <c r="G268" s="436">
        <f t="shared" si="65"/>
        <v>1155</v>
      </c>
      <c r="H268" s="435"/>
      <c r="I268" s="435"/>
      <c r="J268" s="435"/>
      <c r="K268" s="435"/>
      <c r="L268" s="435"/>
      <c r="M268" s="437">
        <v>1155</v>
      </c>
      <c r="N268" s="419">
        <f t="shared" si="68"/>
        <v>0.69286142771445713</v>
      </c>
    </row>
    <row r="269" spans="1:14" ht="12.75" hidden="1" customHeight="1" x14ac:dyDescent="0.25">
      <c r="A269" s="451">
        <v>5217</v>
      </c>
      <c r="B269" s="423">
        <v>423600</v>
      </c>
      <c r="C269" s="424" t="s">
        <v>248</v>
      </c>
      <c r="D269" s="452">
        <v>0</v>
      </c>
      <c r="E269" s="435"/>
      <c r="F269" s="435">
        <f t="shared" si="85"/>
        <v>0</v>
      </c>
      <c r="G269" s="436">
        <f t="shared" si="65"/>
        <v>0</v>
      </c>
      <c r="H269" s="435"/>
      <c r="I269" s="435"/>
      <c r="J269" s="435"/>
      <c r="K269" s="435"/>
      <c r="L269" s="435"/>
      <c r="M269" s="437"/>
      <c r="N269" s="419" t="e">
        <f t="shared" si="68"/>
        <v>#DIV/0!</v>
      </c>
    </row>
    <row r="270" spans="1:14" ht="12.75" customHeight="1" x14ac:dyDescent="0.25">
      <c r="A270" s="451">
        <v>5218</v>
      </c>
      <c r="B270" s="423">
        <v>423700</v>
      </c>
      <c r="C270" s="424" t="s">
        <v>249</v>
      </c>
      <c r="D270" s="452">
        <v>0</v>
      </c>
      <c r="E270" s="435">
        <v>200</v>
      </c>
      <c r="F270" s="435">
        <f t="shared" si="85"/>
        <v>200</v>
      </c>
      <c r="G270" s="436">
        <f t="shared" si="65"/>
        <v>39</v>
      </c>
      <c r="H270" s="435"/>
      <c r="I270" s="435"/>
      <c r="J270" s="435"/>
      <c r="K270" s="435"/>
      <c r="L270" s="435"/>
      <c r="M270" s="437">
        <v>39</v>
      </c>
      <c r="N270" s="419">
        <f t="shared" si="68"/>
        <v>0.19500000000000001</v>
      </c>
    </row>
    <row r="271" spans="1:14" ht="12.75" hidden="1" customHeight="1" x14ac:dyDescent="0.25">
      <c r="A271" s="717" t="s">
        <v>0</v>
      </c>
      <c r="B271" s="718" t="s">
        <v>1</v>
      </c>
      <c r="C271" s="719" t="s">
        <v>2</v>
      </c>
      <c r="D271" s="452">
        <v>0</v>
      </c>
      <c r="E271" s="719"/>
      <c r="F271" s="435">
        <f t="shared" si="85"/>
        <v>0</v>
      </c>
      <c r="G271" s="714" t="s">
        <v>198</v>
      </c>
      <c r="H271" s="720"/>
      <c r="I271" s="720"/>
      <c r="J271" s="720"/>
      <c r="K271" s="720"/>
      <c r="L271" s="720"/>
      <c r="M271" s="721"/>
      <c r="N271" s="419" t="e">
        <f t="shared" si="68"/>
        <v>#VALUE!</v>
      </c>
    </row>
    <row r="272" spans="1:14" ht="12.75" hidden="1" customHeight="1" x14ac:dyDescent="0.25">
      <c r="A272" s="717"/>
      <c r="B272" s="718"/>
      <c r="C272" s="719"/>
      <c r="D272" s="452">
        <v>0</v>
      </c>
      <c r="E272" s="719"/>
      <c r="F272" s="435">
        <f t="shared" si="85"/>
        <v>0</v>
      </c>
      <c r="G272" s="714" t="s">
        <v>199</v>
      </c>
      <c r="H272" s="714" t="s">
        <v>200</v>
      </c>
      <c r="I272" s="720"/>
      <c r="J272" s="720"/>
      <c r="K272" s="720"/>
      <c r="L272" s="714" t="s">
        <v>7</v>
      </c>
      <c r="M272" s="722" t="s">
        <v>8</v>
      </c>
      <c r="N272" s="419" t="e">
        <f t="shared" si="68"/>
        <v>#VALUE!</v>
      </c>
    </row>
    <row r="273" spans="1:14" ht="12.75" hidden="1" customHeight="1" x14ac:dyDescent="0.25">
      <c r="A273" s="717"/>
      <c r="B273" s="718"/>
      <c r="C273" s="719"/>
      <c r="D273" s="452">
        <v>0</v>
      </c>
      <c r="E273" s="719"/>
      <c r="F273" s="435">
        <f t="shared" si="85"/>
        <v>0</v>
      </c>
      <c r="G273" s="720"/>
      <c r="H273" s="509" t="s">
        <v>201</v>
      </c>
      <c r="I273" s="509" t="s">
        <v>10</v>
      </c>
      <c r="J273" s="509" t="s">
        <v>11</v>
      </c>
      <c r="K273" s="509" t="s">
        <v>12</v>
      </c>
      <c r="L273" s="720"/>
      <c r="M273" s="721"/>
      <c r="N273" s="419" t="e">
        <f t="shared" si="68"/>
        <v>#DIV/0!</v>
      </c>
    </row>
    <row r="274" spans="1:14" ht="12.75" hidden="1" customHeight="1" x14ac:dyDescent="0.25">
      <c r="A274" s="456" t="s">
        <v>18</v>
      </c>
      <c r="B274" s="507" t="s">
        <v>19</v>
      </c>
      <c r="C274" s="429" t="s">
        <v>20</v>
      </c>
      <c r="D274" s="452">
        <v>0</v>
      </c>
      <c r="E274" s="429"/>
      <c r="F274" s="435">
        <f t="shared" si="85"/>
        <v>0</v>
      </c>
      <c r="G274" s="429" t="s">
        <v>22</v>
      </c>
      <c r="H274" s="429" t="s">
        <v>23</v>
      </c>
      <c r="I274" s="429" t="s">
        <v>24</v>
      </c>
      <c r="J274" s="429" t="s">
        <v>25</v>
      </c>
      <c r="K274" s="429" t="s">
        <v>26</v>
      </c>
      <c r="L274" s="429" t="s">
        <v>27</v>
      </c>
      <c r="M274" s="434" t="s">
        <v>28</v>
      </c>
      <c r="N274" s="419" t="e">
        <f t="shared" si="68"/>
        <v>#DIV/0!</v>
      </c>
    </row>
    <row r="275" spans="1:14" ht="12.75" customHeight="1" x14ac:dyDescent="0.25">
      <c r="A275" s="451">
        <v>5219</v>
      </c>
      <c r="B275" s="423">
        <v>423900</v>
      </c>
      <c r="C275" s="424" t="s">
        <v>250</v>
      </c>
      <c r="D275" s="452">
        <v>0</v>
      </c>
      <c r="E275" s="435">
        <v>278</v>
      </c>
      <c r="F275" s="435">
        <f t="shared" si="85"/>
        <v>278</v>
      </c>
      <c r="G275" s="436">
        <f t="shared" si="65"/>
        <v>211</v>
      </c>
      <c r="H275" s="435"/>
      <c r="I275" s="435"/>
      <c r="J275" s="435"/>
      <c r="K275" s="435"/>
      <c r="L275" s="435"/>
      <c r="M275" s="437">
        <f>257-46</f>
        <v>211</v>
      </c>
      <c r="N275" s="419">
        <f t="shared" si="68"/>
        <v>0.75899280575539574</v>
      </c>
    </row>
    <row r="276" spans="1:14" ht="12.75" customHeight="1" x14ac:dyDescent="0.25">
      <c r="A276" s="450">
        <v>5220</v>
      </c>
      <c r="B276" s="506">
        <v>424000</v>
      </c>
      <c r="C276" s="416" t="s">
        <v>251</v>
      </c>
      <c r="D276" s="441">
        <f>SUM(D277:D283)</f>
        <v>0</v>
      </c>
      <c r="E276" s="417">
        <f>SUM(E277:E283)</f>
        <v>2831</v>
      </c>
      <c r="F276" s="417">
        <f>SUM(F277:F283)</f>
        <v>2831</v>
      </c>
      <c r="G276" s="417">
        <f t="shared" si="65"/>
        <v>2176</v>
      </c>
      <c r="H276" s="417">
        <f t="shared" ref="H276:M276" si="86">SUM(H277:H283)</f>
        <v>51</v>
      </c>
      <c r="I276" s="417">
        <f t="shared" si="86"/>
        <v>0</v>
      </c>
      <c r="J276" s="417">
        <f t="shared" si="86"/>
        <v>0</v>
      </c>
      <c r="K276" s="417">
        <f t="shared" si="86"/>
        <v>1322</v>
      </c>
      <c r="L276" s="417">
        <f t="shared" si="86"/>
        <v>0</v>
      </c>
      <c r="M276" s="418">
        <f t="shared" si="86"/>
        <v>803</v>
      </c>
      <c r="N276" s="419">
        <f t="shared" si="68"/>
        <v>0.76863299187566236</v>
      </c>
    </row>
    <row r="277" spans="1:14" ht="12.75" hidden="1" customHeight="1" x14ac:dyDescent="0.25">
      <c r="A277" s="451">
        <v>5221</v>
      </c>
      <c r="B277" s="423">
        <v>424100</v>
      </c>
      <c r="C277" s="424" t="s">
        <v>252</v>
      </c>
      <c r="D277" s="452"/>
      <c r="E277" s="435"/>
      <c r="F277" s="435"/>
      <c r="G277" s="436">
        <f t="shared" si="65"/>
        <v>0</v>
      </c>
      <c r="H277" s="435"/>
      <c r="I277" s="435"/>
      <c r="J277" s="435"/>
      <c r="K277" s="435"/>
      <c r="L277" s="435"/>
      <c r="M277" s="437"/>
      <c r="N277" s="419" t="e">
        <f t="shared" si="68"/>
        <v>#DIV/0!</v>
      </c>
    </row>
    <row r="278" spans="1:14" ht="12.75" hidden="1" customHeight="1" x14ac:dyDescent="0.25">
      <c r="A278" s="451">
        <v>5222</v>
      </c>
      <c r="B278" s="423">
        <v>424200</v>
      </c>
      <c r="C278" s="424" t="s">
        <v>253</v>
      </c>
      <c r="D278" s="452"/>
      <c r="E278" s="435"/>
      <c r="F278" s="435"/>
      <c r="G278" s="436">
        <f t="shared" si="65"/>
        <v>0</v>
      </c>
      <c r="H278" s="435"/>
      <c r="I278" s="435"/>
      <c r="J278" s="435"/>
      <c r="K278" s="435"/>
      <c r="L278" s="435"/>
      <c r="M278" s="437"/>
      <c r="N278" s="419" t="e">
        <f t="shared" si="68"/>
        <v>#DIV/0!</v>
      </c>
    </row>
    <row r="279" spans="1:14" ht="12.75" customHeight="1" x14ac:dyDescent="0.25">
      <c r="A279" s="451">
        <v>5223</v>
      </c>
      <c r="B279" s="423">
        <v>424300</v>
      </c>
      <c r="C279" s="424" t="s">
        <v>254</v>
      </c>
      <c r="D279" s="452">
        <v>0</v>
      </c>
      <c r="E279" s="435">
        <v>1136</v>
      </c>
      <c r="F279" s="435">
        <f>D279+E279</f>
        <v>1136</v>
      </c>
      <c r="G279" s="436">
        <f t="shared" si="65"/>
        <v>1325</v>
      </c>
      <c r="H279" s="435"/>
      <c r="I279" s="435"/>
      <c r="J279" s="435"/>
      <c r="K279" s="435">
        <f>1081+198</f>
        <v>1279</v>
      </c>
      <c r="L279" s="435"/>
      <c r="M279" s="437">
        <v>46</v>
      </c>
      <c r="N279" s="419">
        <f t="shared" si="68"/>
        <v>1.1663732394366197</v>
      </c>
    </row>
    <row r="280" spans="1:14" ht="12.75" hidden="1" customHeight="1" x14ac:dyDescent="0.25">
      <c r="A280" s="451">
        <v>5224</v>
      </c>
      <c r="B280" s="423">
        <v>424400</v>
      </c>
      <c r="C280" s="424" t="s">
        <v>255</v>
      </c>
      <c r="D280" s="452"/>
      <c r="E280" s="435"/>
      <c r="F280" s="435">
        <f t="shared" ref="F280:F283" si="87">D280+E280</f>
        <v>0</v>
      </c>
      <c r="G280" s="436">
        <f t="shared" si="65"/>
        <v>0</v>
      </c>
      <c r="H280" s="435"/>
      <c r="I280" s="435"/>
      <c r="J280" s="435"/>
      <c r="K280" s="435"/>
      <c r="L280" s="435"/>
      <c r="M280" s="437"/>
      <c r="N280" s="419" t="e">
        <f t="shared" si="68"/>
        <v>#DIV/0!</v>
      </c>
    </row>
    <row r="281" spans="1:14" ht="12.75" hidden="1" customHeight="1" x14ac:dyDescent="0.25">
      <c r="A281" s="451">
        <v>5225</v>
      </c>
      <c r="B281" s="423">
        <v>424500</v>
      </c>
      <c r="C281" s="424" t="s">
        <v>256</v>
      </c>
      <c r="D281" s="452"/>
      <c r="E281" s="435"/>
      <c r="F281" s="435">
        <f t="shared" si="87"/>
        <v>0</v>
      </c>
      <c r="G281" s="436">
        <f t="shared" si="65"/>
        <v>0</v>
      </c>
      <c r="H281" s="435"/>
      <c r="I281" s="435"/>
      <c r="J281" s="435"/>
      <c r="K281" s="435"/>
      <c r="L281" s="435"/>
      <c r="M281" s="437"/>
      <c r="N281" s="419" t="e">
        <f t="shared" si="68"/>
        <v>#DIV/0!</v>
      </c>
    </row>
    <row r="282" spans="1:14" ht="12.75" customHeight="1" x14ac:dyDescent="0.25">
      <c r="A282" s="451">
        <v>5226</v>
      </c>
      <c r="B282" s="423">
        <v>424600</v>
      </c>
      <c r="C282" s="424" t="s">
        <v>257</v>
      </c>
      <c r="D282" s="452">
        <v>0</v>
      </c>
      <c r="E282" s="435">
        <v>330</v>
      </c>
      <c r="F282" s="435">
        <f t="shared" si="87"/>
        <v>330</v>
      </c>
      <c r="G282" s="436">
        <f t="shared" si="65"/>
        <v>50</v>
      </c>
      <c r="H282" s="435"/>
      <c r="I282" s="435"/>
      <c r="J282" s="435"/>
      <c r="K282" s="435">
        <v>17</v>
      </c>
      <c r="L282" s="435"/>
      <c r="M282" s="437">
        <v>33</v>
      </c>
      <c r="N282" s="419">
        <f t="shared" si="68"/>
        <v>0.15151515151515152</v>
      </c>
    </row>
    <row r="283" spans="1:14" ht="12.75" customHeight="1" x14ac:dyDescent="0.25">
      <c r="A283" s="451">
        <v>5227</v>
      </c>
      <c r="B283" s="423">
        <v>424900</v>
      </c>
      <c r="C283" s="424" t="s">
        <v>258</v>
      </c>
      <c r="D283" s="452">
        <v>0</v>
      </c>
      <c r="E283" s="435">
        <v>1365</v>
      </c>
      <c r="F283" s="435">
        <f t="shared" si="87"/>
        <v>1365</v>
      </c>
      <c r="G283" s="436">
        <f t="shared" si="65"/>
        <v>801</v>
      </c>
      <c r="H283" s="435">
        <v>51</v>
      </c>
      <c r="I283" s="435"/>
      <c r="J283" s="435"/>
      <c r="K283" s="435">
        <v>26</v>
      </c>
      <c r="L283" s="435"/>
      <c r="M283" s="437">
        <v>724</v>
      </c>
      <c r="N283" s="419">
        <f t="shared" si="68"/>
        <v>0.58681318681318684</v>
      </c>
    </row>
    <row r="284" spans="1:14" ht="12.75" customHeight="1" x14ac:dyDescent="0.25">
      <c r="A284" s="450">
        <v>5228</v>
      </c>
      <c r="B284" s="506">
        <v>425000</v>
      </c>
      <c r="C284" s="416" t="s">
        <v>259</v>
      </c>
      <c r="D284" s="441">
        <f>D285+D286</f>
        <v>-187</v>
      </c>
      <c r="E284" s="417">
        <f>E285+E286</f>
        <v>15236</v>
      </c>
      <c r="F284" s="417">
        <f>F285+F286</f>
        <v>15049</v>
      </c>
      <c r="G284" s="417">
        <f t="shared" si="65"/>
        <v>12843</v>
      </c>
      <c r="H284" s="417">
        <f t="shared" ref="H284:M284" si="88">H285+H286</f>
        <v>0</v>
      </c>
      <c r="I284" s="417">
        <f t="shared" si="88"/>
        <v>0</v>
      </c>
      <c r="J284" s="417">
        <f t="shared" si="88"/>
        <v>0</v>
      </c>
      <c r="K284" s="417">
        <f t="shared" si="88"/>
        <v>12783</v>
      </c>
      <c r="L284" s="417">
        <f t="shared" si="88"/>
        <v>0</v>
      </c>
      <c r="M284" s="418">
        <f t="shared" si="88"/>
        <v>60</v>
      </c>
      <c r="N284" s="419">
        <f t="shared" si="68"/>
        <v>0.85341218685626952</v>
      </c>
    </row>
    <row r="285" spans="1:14" ht="12.75" customHeight="1" x14ac:dyDescent="0.25">
      <c r="A285" s="451">
        <v>5229</v>
      </c>
      <c r="B285" s="423">
        <v>425100</v>
      </c>
      <c r="C285" s="424" t="s">
        <v>260</v>
      </c>
      <c r="D285" s="452">
        <v>-187</v>
      </c>
      <c r="E285" s="435">
        <v>5600</v>
      </c>
      <c r="F285" s="435">
        <f>D285+E285</f>
        <v>5413</v>
      </c>
      <c r="G285" s="436">
        <f t="shared" si="65"/>
        <v>2892</v>
      </c>
      <c r="H285" s="435"/>
      <c r="I285" s="435"/>
      <c r="J285" s="435"/>
      <c r="K285" s="435">
        <v>2892</v>
      </c>
      <c r="L285" s="435"/>
      <c r="M285" s="437"/>
      <c r="N285" s="419">
        <f t="shared" ref="N285:N348" si="89">G285/F285</f>
        <v>0.5342693515610567</v>
      </c>
    </row>
    <row r="286" spans="1:14" ht="12.75" customHeight="1" x14ac:dyDescent="0.25">
      <c r="A286" s="451">
        <v>5230</v>
      </c>
      <c r="B286" s="423">
        <v>425200</v>
      </c>
      <c r="C286" s="424" t="s">
        <v>261</v>
      </c>
      <c r="D286" s="452">
        <v>0</v>
      </c>
      <c r="E286" s="435">
        <v>9636</v>
      </c>
      <c r="F286" s="435">
        <f>D286+E286</f>
        <v>9636</v>
      </c>
      <c r="G286" s="436">
        <f t="shared" si="65"/>
        <v>9951</v>
      </c>
      <c r="H286" s="435"/>
      <c r="I286" s="435"/>
      <c r="J286" s="435"/>
      <c r="K286" s="435">
        <v>9891</v>
      </c>
      <c r="L286" s="435"/>
      <c r="M286" s="437">
        <v>60</v>
      </c>
      <c r="N286" s="419">
        <f t="shared" si="89"/>
        <v>1.0326899128268991</v>
      </c>
    </row>
    <row r="287" spans="1:14" ht="12.75" customHeight="1" x14ac:dyDescent="0.25">
      <c r="A287" s="450">
        <v>5231</v>
      </c>
      <c r="B287" s="506">
        <v>426000</v>
      </c>
      <c r="C287" s="416" t="s">
        <v>262</v>
      </c>
      <c r="D287" s="441">
        <f>SUM(D288:D296)</f>
        <v>24648</v>
      </c>
      <c r="E287" s="417">
        <f>SUM(E288:E296)</f>
        <v>247543</v>
      </c>
      <c r="F287" s="417">
        <f>SUM(F288:F296)</f>
        <v>272191</v>
      </c>
      <c r="G287" s="417">
        <f t="shared" si="65"/>
        <v>228027</v>
      </c>
      <c r="H287" s="417">
        <f t="shared" ref="H287:M287" si="90">SUM(H288:H296)</f>
        <v>805</v>
      </c>
      <c r="I287" s="417">
        <f t="shared" si="90"/>
        <v>0</v>
      </c>
      <c r="J287" s="417">
        <f t="shared" si="90"/>
        <v>5380</v>
      </c>
      <c r="K287" s="417">
        <f>SUM(K288:K296)</f>
        <v>220386</v>
      </c>
      <c r="L287" s="417">
        <f t="shared" si="90"/>
        <v>0</v>
      </c>
      <c r="M287" s="418">
        <f t="shared" si="90"/>
        <v>1456</v>
      </c>
      <c r="N287" s="419">
        <f t="shared" si="89"/>
        <v>0.83774628845185917</v>
      </c>
    </row>
    <row r="288" spans="1:14" ht="12.75" customHeight="1" x14ac:dyDescent="0.25">
      <c r="A288" s="451">
        <v>5232</v>
      </c>
      <c r="B288" s="423">
        <v>426100</v>
      </c>
      <c r="C288" s="424" t="s">
        <v>263</v>
      </c>
      <c r="D288" s="452">
        <v>0</v>
      </c>
      <c r="E288" s="435">
        <v>4287</v>
      </c>
      <c r="F288" s="435">
        <f>D288+E288</f>
        <v>4287</v>
      </c>
      <c r="G288" s="436">
        <f t="shared" si="65"/>
        <v>4211</v>
      </c>
      <c r="H288" s="435"/>
      <c r="I288" s="435"/>
      <c r="J288" s="435"/>
      <c r="K288" s="435">
        <v>3892</v>
      </c>
      <c r="L288" s="435"/>
      <c r="M288" s="437">
        <v>319</v>
      </c>
      <c r="N288" s="419">
        <f t="shared" si="89"/>
        <v>0.98227198507114533</v>
      </c>
    </row>
    <row r="289" spans="1:14" ht="12.75" hidden="1" customHeight="1" x14ac:dyDescent="0.25">
      <c r="A289" s="451">
        <v>5233</v>
      </c>
      <c r="B289" s="423">
        <v>426200</v>
      </c>
      <c r="C289" s="424" t="s">
        <v>264</v>
      </c>
      <c r="D289" s="452"/>
      <c r="E289" s="435"/>
      <c r="F289" s="435">
        <f t="shared" ref="F289:F296" si="91">D289+E289</f>
        <v>0</v>
      </c>
      <c r="G289" s="436">
        <f t="shared" si="65"/>
        <v>0</v>
      </c>
      <c r="H289" s="435"/>
      <c r="I289" s="435"/>
      <c r="J289" s="435"/>
      <c r="K289" s="435"/>
      <c r="L289" s="435"/>
      <c r="M289" s="437"/>
      <c r="N289" s="419" t="e">
        <f t="shared" si="89"/>
        <v>#DIV/0!</v>
      </c>
    </row>
    <row r="290" spans="1:14" ht="12.75" customHeight="1" x14ac:dyDescent="0.25">
      <c r="A290" s="451">
        <v>5234</v>
      </c>
      <c r="B290" s="423">
        <v>426300</v>
      </c>
      <c r="C290" s="424" t="s">
        <v>265</v>
      </c>
      <c r="D290" s="452">
        <v>0</v>
      </c>
      <c r="E290" s="435">
        <v>122</v>
      </c>
      <c r="F290" s="435">
        <f t="shared" si="91"/>
        <v>122</v>
      </c>
      <c r="G290" s="436">
        <f t="shared" si="65"/>
        <v>46</v>
      </c>
      <c r="H290" s="435"/>
      <c r="I290" s="435"/>
      <c r="J290" s="435"/>
      <c r="K290" s="435"/>
      <c r="L290" s="435"/>
      <c r="M290" s="437">
        <v>46</v>
      </c>
      <c r="N290" s="419">
        <f t="shared" si="89"/>
        <v>0.37704918032786883</v>
      </c>
    </row>
    <row r="291" spans="1:14" ht="12.75" customHeight="1" x14ac:dyDescent="0.25">
      <c r="A291" s="451">
        <v>5235</v>
      </c>
      <c r="B291" s="423">
        <v>426400</v>
      </c>
      <c r="C291" s="424" t="s">
        <v>266</v>
      </c>
      <c r="D291" s="452">
        <v>0</v>
      </c>
      <c r="E291" s="435">
        <v>2040</v>
      </c>
      <c r="F291" s="435">
        <f t="shared" si="91"/>
        <v>2040</v>
      </c>
      <c r="G291" s="436">
        <f t="shared" si="65"/>
        <v>1208</v>
      </c>
      <c r="H291" s="351"/>
      <c r="I291" s="351"/>
      <c r="J291" s="351"/>
      <c r="K291" s="351">
        <v>1208</v>
      </c>
      <c r="L291" s="351"/>
      <c r="M291" s="438"/>
      <c r="N291" s="419">
        <f t="shared" si="89"/>
        <v>0.59215686274509804</v>
      </c>
    </row>
    <row r="292" spans="1:14" ht="12.75" hidden="1" customHeight="1" x14ac:dyDescent="0.25">
      <c r="A292" s="451">
        <v>5236</v>
      </c>
      <c r="B292" s="423">
        <v>426500</v>
      </c>
      <c r="C292" s="424" t="s">
        <v>267</v>
      </c>
      <c r="D292" s="452"/>
      <c r="E292" s="435"/>
      <c r="F292" s="435">
        <f t="shared" si="91"/>
        <v>0</v>
      </c>
      <c r="G292" s="436">
        <f t="shared" ref="G292:G367" si="92">SUM(H292:M292)</f>
        <v>0</v>
      </c>
      <c r="H292" s="435"/>
      <c r="I292" s="435"/>
      <c r="J292" s="435"/>
      <c r="K292" s="435"/>
      <c r="L292" s="435"/>
      <c r="M292" s="437"/>
      <c r="N292" s="419" t="e">
        <f t="shared" si="89"/>
        <v>#DIV/0!</v>
      </c>
    </row>
    <row r="293" spans="1:14" ht="12.75" hidden="1" customHeight="1" x14ac:dyDescent="0.25">
      <c r="A293" s="451">
        <v>5237</v>
      </c>
      <c r="B293" s="423">
        <v>426600</v>
      </c>
      <c r="C293" s="424" t="s">
        <v>268</v>
      </c>
      <c r="D293" s="452"/>
      <c r="E293" s="435"/>
      <c r="F293" s="435">
        <f t="shared" si="91"/>
        <v>0</v>
      </c>
      <c r="G293" s="436">
        <f t="shared" si="92"/>
        <v>0</v>
      </c>
      <c r="H293" s="435"/>
      <c r="I293" s="435"/>
      <c r="J293" s="435"/>
      <c r="K293" s="435"/>
      <c r="L293" s="435"/>
      <c r="M293" s="437"/>
      <c r="N293" s="419" t="e">
        <f t="shared" si="89"/>
        <v>#DIV/0!</v>
      </c>
    </row>
    <row r="294" spans="1:14" ht="12.75" customHeight="1" x14ac:dyDescent="0.25">
      <c r="A294" s="451">
        <v>5238</v>
      </c>
      <c r="B294" s="423">
        <v>426700</v>
      </c>
      <c r="C294" s="424" t="s">
        <v>269</v>
      </c>
      <c r="D294" s="452">
        <f>7844+2067+600+5116+7526+4581-7084-1083-2505+1158</f>
        <v>18220</v>
      </c>
      <c r="E294" s="435">
        <v>218484</v>
      </c>
      <c r="F294" s="435">
        <f t="shared" si="91"/>
        <v>236704</v>
      </c>
      <c r="G294" s="436">
        <f t="shared" si="92"/>
        <v>196518</v>
      </c>
      <c r="H294" s="435"/>
      <c r="I294" s="435"/>
      <c r="J294" s="435"/>
      <c r="K294" s="435">
        <v>196074</v>
      </c>
      <c r="L294" s="435"/>
      <c r="M294" s="437">
        <v>444</v>
      </c>
      <c r="N294" s="419">
        <f t="shared" si="89"/>
        <v>0.83022678112748416</v>
      </c>
    </row>
    <row r="295" spans="1:14" ht="12.75" customHeight="1" x14ac:dyDescent="0.25">
      <c r="A295" s="451">
        <v>5239</v>
      </c>
      <c r="B295" s="423">
        <v>426800</v>
      </c>
      <c r="C295" s="424" t="s">
        <v>515</v>
      </c>
      <c r="D295" s="452">
        <v>1047</v>
      </c>
      <c r="E295" s="435">
        <f>12200+4753</f>
        <v>16953</v>
      </c>
      <c r="F295" s="435">
        <f t="shared" si="91"/>
        <v>18000</v>
      </c>
      <c r="G295" s="436">
        <f t="shared" si="92"/>
        <v>14443</v>
      </c>
      <c r="H295" s="435"/>
      <c r="I295" s="435"/>
      <c r="J295" s="435"/>
      <c r="K295" s="435">
        <v>14344</v>
      </c>
      <c r="L295" s="435"/>
      <c r="M295" s="437">
        <v>99</v>
      </c>
      <c r="N295" s="419">
        <f t="shared" si="89"/>
        <v>0.80238888888888893</v>
      </c>
    </row>
    <row r="296" spans="1:14" ht="12.75" customHeight="1" x14ac:dyDescent="0.25">
      <c r="A296" s="451">
        <v>5240</v>
      </c>
      <c r="B296" s="423">
        <v>426900</v>
      </c>
      <c r="C296" s="424" t="s">
        <v>270</v>
      </c>
      <c r="D296" s="452">
        <v>5381</v>
      </c>
      <c r="E296" s="435">
        <v>5657</v>
      </c>
      <c r="F296" s="435">
        <f t="shared" si="91"/>
        <v>11038</v>
      </c>
      <c r="G296" s="436">
        <f t="shared" si="92"/>
        <v>11601</v>
      </c>
      <c r="H296" s="436">
        <v>805</v>
      </c>
      <c r="I296" s="435"/>
      <c r="J296" s="435">
        <v>5380</v>
      </c>
      <c r="K296" s="435">
        <v>4868</v>
      </c>
      <c r="L296" s="435"/>
      <c r="M296" s="437">
        <v>548</v>
      </c>
      <c r="N296" s="419">
        <f t="shared" si="89"/>
        <v>1.051005616959594</v>
      </c>
    </row>
    <row r="297" spans="1:14" ht="12.75" hidden="1" customHeight="1" x14ac:dyDescent="0.25">
      <c r="A297" s="450">
        <v>5241</v>
      </c>
      <c r="B297" s="506">
        <v>430000</v>
      </c>
      <c r="C297" s="416" t="s">
        <v>271</v>
      </c>
      <c r="D297" s="441"/>
      <c r="E297" s="417">
        <f>E298+E306+E308+E310+E314</f>
        <v>0</v>
      </c>
      <c r="F297" s="417">
        <f>F298+F306+F308+F310+F314</f>
        <v>0</v>
      </c>
      <c r="G297" s="417">
        <f t="shared" si="92"/>
        <v>0</v>
      </c>
      <c r="H297" s="417">
        <f t="shared" ref="H297:M297" si="93">H298+H306+H308+H310+H314</f>
        <v>0</v>
      </c>
      <c r="I297" s="417">
        <f t="shared" si="93"/>
        <v>0</v>
      </c>
      <c r="J297" s="417">
        <f t="shared" si="93"/>
        <v>0</v>
      </c>
      <c r="K297" s="417">
        <f t="shared" si="93"/>
        <v>0</v>
      </c>
      <c r="L297" s="417">
        <f t="shared" si="93"/>
        <v>0</v>
      </c>
      <c r="M297" s="418">
        <f t="shared" si="93"/>
        <v>0</v>
      </c>
      <c r="N297" s="419" t="e">
        <f t="shared" si="89"/>
        <v>#DIV/0!</v>
      </c>
    </row>
    <row r="298" spans="1:14" ht="12.75" hidden="1" customHeight="1" x14ac:dyDescent="0.25">
      <c r="A298" s="450">
        <v>5242</v>
      </c>
      <c r="B298" s="506">
        <v>431000</v>
      </c>
      <c r="C298" s="416" t="s">
        <v>272</v>
      </c>
      <c r="D298" s="441"/>
      <c r="E298" s="417">
        <f>SUM(E299:E301)</f>
        <v>0</v>
      </c>
      <c r="F298" s="417">
        <f>SUM(F299:F301)</f>
        <v>0</v>
      </c>
      <c r="G298" s="417">
        <f t="shared" si="92"/>
        <v>0</v>
      </c>
      <c r="H298" s="417">
        <f t="shared" ref="H298:M298" si="94">SUM(H299:H301)</f>
        <v>0</v>
      </c>
      <c r="I298" s="417">
        <f t="shared" si="94"/>
        <v>0</v>
      </c>
      <c r="J298" s="417">
        <f t="shared" si="94"/>
        <v>0</v>
      </c>
      <c r="K298" s="417">
        <f t="shared" si="94"/>
        <v>0</v>
      </c>
      <c r="L298" s="417">
        <f t="shared" si="94"/>
        <v>0</v>
      </c>
      <c r="M298" s="418">
        <f t="shared" si="94"/>
        <v>0</v>
      </c>
      <c r="N298" s="419" t="e">
        <f t="shared" si="89"/>
        <v>#DIV/0!</v>
      </c>
    </row>
    <row r="299" spans="1:14" ht="12.75" hidden="1" customHeight="1" x14ac:dyDescent="0.25">
      <c r="A299" s="451">
        <v>5243</v>
      </c>
      <c r="B299" s="423">
        <v>431100</v>
      </c>
      <c r="C299" s="424" t="s">
        <v>273</v>
      </c>
      <c r="D299" s="452"/>
      <c r="E299" s="435"/>
      <c r="F299" s="435"/>
      <c r="G299" s="436">
        <f t="shared" si="92"/>
        <v>0</v>
      </c>
      <c r="H299" s="435"/>
      <c r="I299" s="435"/>
      <c r="J299" s="435"/>
      <c r="K299" s="435"/>
      <c r="L299" s="435"/>
      <c r="M299" s="437"/>
      <c r="N299" s="419" t="e">
        <f t="shared" si="89"/>
        <v>#DIV/0!</v>
      </c>
    </row>
    <row r="300" spans="1:14" ht="12.75" hidden="1" customHeight="1" x14ac:dyDescent="0.25">
      <c r="A300" s="451">
        <v>5244</v>
      </c>
      <c r="B300" s="423">
        <v>431200</v>
      </c>
      <c r="C300" s="424" t="s">
        <v>274</v>
      </c>
      <c r="D300" s="452"/>
      <c r="E300" s="435"/>
      <c r="F300" s="435"/>
      <c r="G300" s="436">
        <f t="shared" si="92"/>
        <v>0</v>
      </c>
      <c r="H300" s="435"/>
      <c r="I300" s="435"/>
      <c r="J300" s="435"/>
      <c r="K300" s="435"/>
      <c r="L300" s="435"/>
      <c r="M300" s="437"/>
      <c r="N300" s="419" t="e">
        <f t="shared" si="89"/>
        <v>#DIV/0!</v>
      </c>
    </row>
    <row r="301" spans="1:14" ht="12.75" hidden="1" customHeight="1" x14ac:dyDescent="0.25">
      <c r="A301" s="451">
        <v>5245</v>
      </c>
      <c r="B301" s="423">
        <v>431300</v>
      </c>
      <c r="C301" s="424" t="s">
        <v>275</v>
      </c>
      <c r="D301" s="452"/>
      <c r="E301" s="435"/>
      <c r="F301" s="435"/>
      <c r="G301" s="436">
        <f t="shared" si="92"/>
        <v>0</v>
      </c>
      <c r="H301" s="435"/>
      <c r="I301" s="435"/>
      <c r="J301" s="435"/>
      <c r="K301" s="435"/>
      <c r="L301" s="435"/>
      <c r="M301" s="437"/>
      <c r="N301" s="419" t="e">
        <f t="shared" si="89"/>
        <v>#DIV/0!</v>
      </c>
    </row>
    <row r="302" spans="1:14" ht="12.75" hidden="1" customHeight="1" x14ac:dyDescent="0.25">
      <c r="A302" s="717" t="s">
        <v>0</v>
      </c>
      <c r="B302" s="718" t="s">
        <v>1</v>
      </c>
      <c r="C302" s="719" t="s">
        <v>2</v>
      </c>
      <c r="D302" s="455"/>
      <c r="E302" s="719" t="s">
        <v>217</v>
      </c>
      <c r="F302" s="508" t="s">
        <v>217</v>
      </c>
      <c r="G302" s="714" t="s">
        <v>198</v>
      </c>
      <c r="H302" s="720"/>
      <c r="I302" s="720"/>
      <c r="J302" s="720"/>
      <c r="K302" s="720"/>
      <c r="L302" s="720"/>
      <c r="M302" s="721"/>
      <c r="N302" s="419" t="e">
        <f t="shared" si="89"/>
        <v>#VALUE!</v>
      </c>
    </row>
    <row r="303" spans="1:14" ht="12.75" hidden="1" customHeight="1" x14ac:dyDescent="0.25">
      <c r="A303" s="717"/>
      <c r="B303" s="718"/>
      <c r="C303" s="719"/>
      <c r="D303" s="455"/>
      <c r="E303" s="719"/>
      <c r="F303" s="508"/>
      <c r="G303" s="714" t="s">
        <v>199</v>
      </c>
      <c r="H303" s="714" t="s">
        <v>200</v>
      </c>
      <c r="I303" s="720"/>
      <c r="J303" s="720"/>
      <c r="K303" s="720"/>
      <c r="L303" s="714" t="s">
        <v>7</v>
      </c>
      <c r="M303" s="722" t="s">
        <v>8</v>
      </c>
      <c r="N303" s="419" t="e">
        <f t="shared" si="89"/>
        <v>#VALUE!</v>
      </c>
    </row>
    <row r="304" spans="1:14" ht="12.75" hidden="1" customHeight="1" x14ac:dyDescent="0.25">
      <c r="A304" s="717"/>
      <c r="B304" s="718"/>
      <c r="C304" s="719"/>
      <c r="D304" s="455"/>
      <c r="E304" s="719"/>
      <c r="F304" s="508"/>
      <c r="G304" s="720"/>
      <c r="H304" s="509" t="s">
        <v>201</v>
      </c>
      <c r="I304" s="509" t="s">
        <v>10</v>
      </c>
      <c r="J304" s="509" t="s">
        <v>11</v>
      </c>
      <c r="K304" s="509" t="s">
        <v>12</v>
      </c>
      <c r="L304" s="720"/>
      <c r="M304" s="721"/>
      <c r="N304" s="419" t="e">
        <f t="shared" si="89"/>
        <v>#DIV/0!</v>
      </c>
    </row>
    <row r="305" spans="1:14" ht="12.75" hidden="1" customHeight="1" x14ac:dyDescent="0.25">
      <c r="A305" s="456" t="s">
        <v>18</v>
      </c>
      <c r="B305" s="507" t="s">
        <v>19</v>
      </c>
      <c r="C305" s="429" t="s">
        <v>20</v>
      </c>
      <c r="D305" s="455"/>
      <c r="E305" s="429" t="s">
        <v>21</v>
      </c>
      <c r="F305" s="429" t="s">
        <v>21</v>
      </c>
      <c r="G305" s="429" t="s">
        <v>22</v>
      </c>
      <c r="H305" s="429" t="s">
        <v>23</v>
      </c>
      <c r="I305" s="429" t="s">
        <v>24</v>
      </c>
      <c r="J305" s="429" t="s">
        <v>25</v>
      </c>
      <c r="K305" s="429" t="s">
        <v>26</v>
      </c>
      <c r="L305" s="429" t="s">
        <v>27</v>
      </c>
      <c r="M305" s="434" t="s">
        <v>28</v>
      </c>
      <c r="N305" s="419">
        <f t="shared" si="89"/>
        <v>1.25</v>
      </c>
    </row>
    <row r="306" spans="1:14" ht="12.75" hidden="1" customHeight="1" x14ac:dyDescent="0.25">
      <c r="A306" s="450">
        <v>5246</v>
      </c>
      <c r="B306" s="506">
        <v>432000</v>
      </c>
      <c r="C306" s="416" t="s">
        <v>276</v>
      </c>
      <c r="D306" s="441"/>
      <c r="E306" s="417">
        <f>E307</f>
        <v>0</v>
      </c>
      <c r="F306" s="417">
        <f>F307</f>
        <v>0</v>
      </c>
      <c r="G306" s="417">
        <f t="shared" si="92"/>
        <v>0</v>
      </c>
      <c r="H306" s="417">
        <f t="shared" ref="H306:M306" si="95">H307</f>
        <v>0</v>
      </c>
      <c r="I306" s="417">
        <f t="shared" si="95"/>
        <v>0</v>
      </c>
      <c r="J306" s="417">
        <f t="shared" si="95"/>
        <v>0</v>
      </c>
      <c r="K306" s="417">
        <f t="shared" si="95"/>
        <v>0</v>
      </c>
      <c r="L306" s="417">
        <f t="shared" si="95"/>
        <v>0</v>
      </c>
      <c r="M306" s="418">
        <f t="shared" si="95"/>
        <v>0</v>
      </c>
      <c r="N306" s="419" t="e">
        <f t="shared" si="89"/>
        <v>#DIV/0!</v>
      </c>
    </row>
    <row r="307" spans="1:14" ht="12.75" hidden="1" customHeight="1" x14ac:dyDescent="0.25">
      <c r="A307" s="451">
        <v>5247</v>
      </c>
      <c r="B307" s="423">
        <v>432100</v>
      </c>
      <c r="C307" s="424" t="s">
        <v>277</v>
      </c>
      <c r="D307" s="452"/>
      <c r="E307" s="435"/>
      <c r="F307" s="435"/>
      <c r="G307" s="436">
        <f t="shared" si="92"/>
        <v>0</v>
      </c>
      <c r="H307" s="435"/>
      <c r="I307" s="435"/>
      <c r="J307" s="435"/>
      <c r="K307" s="435"/>
      <c r="L307" s="435"/>
      <c r="M307" s="437"/>
      <c r="N307" s="419" t="e">
        <f t="shared" si="89"/>
        <v>#DIV/0!</v>
      </c>
    </row>
    <row r="308" spans="1:14" ht="12.75" hidden="1" customHeight="1" x14ac:dyDescent="0.25">
      <c r="A308" s="450">
        <v>5248</v>
      </c>
      <c r="B308" s="506">
        <v>433000</v>
      </c>
      <c r="C308" s="416" t="s">
        <v>278</v>
      </c>
      <c r="D308" s="441"/>
      <c r="E308" s="417">
        <f>E309</f>
        <v>0</v>
      </c>
      <c r="F308" s="417">
        <f>F309</f>
        <v>0</v>
      </c>
      <c r="G308" s="417">
        <f t="shared" si="92"/>
        <v>0</v>
      </c>
      <c r="H308" s="417">
        <f t="shared" ref="H308:M308" si="96">H309</f>
        <v>0</v>
      </c>
      <c r="I308" s="417">
        <f t="shared" si="96"/>
        <v>0</v>
      </c>
      <c r="J308" s="417">
        <f t="shared" si="96"/>
        <v>0</v>
      </c>
      <c r="K308" s="417">
        <f t="shared" si="96"/>
        <v>0</v>
      </c>
      <c r="L308" s="417">
        <f t="shared" si="96"/>
        <v>0</v>
      </c>
      <c r="M308" s="418">
        <f t="shared" si="96"/>
        <v>0</v>
      </c>
      <c r="N308" s="419" t="e">
        <f t="shared" si="89"/>
        <v>#DIV/0!</v>
      </c>
    </row>
    <row r="309" spans="1:14" ht="12.75" hidden="1" customHeight="1" x14ac:dyDescent="0.25">
      <c r="A309" s="451">
        <v>5249</v>
      </c>
      <c r="B309" s="423">
        <v>433100</v>
      </c>
      <c r="C309" s="424" t="s">
        <v>279</v>
      </c>
      <c r="D309" s="452"/>
      <c r="E309" s="435"/>
      <c r="F309" s="435"/>
      <c r="G309" s="436">
        <f t="shared" si="92"/>
        <v>0</v>
      </c>
      <c r="H309" s="435"/>
      <c r="I309" s="435"/>
      <c r="J309" s="435"/>
      <c r="K309" s="435"/>
      <c r="L309" s="435"/>
      <c r="M309" s="437"/>
      <c r="N309" s="419" t="e">
        <f t="shared" si="89"/>
        <v>#DIV/0!</v>
      </c>
    </row>
    <row r="310" spans="1:14" ht="12.75" hidden="1" customHeight="1" x14ac:dyDescent="0.25">
      <c r="A310" s="450">
        <v>5250</v>
      </c>
      <c r="B310" s="506">
        <v>434000</v>
      </c>
      <c r="C310" s="416" t="s">
        <v>280</v>
      </c>
      <c r="D310" s="441"/>
      <c r="E310" s="417">
        <f>SUM(E311:E313)</f>
        <v>0</v>
      </c>
      <c r="F310" s="417">
        <f>SUM(F311:F313)</f>
        <v>0</v>
      </c>
      <c r="G310" s="417">
        <f t="shared" si="92"/>
        <v>0</v>
      </c>
      <c r="H310" s="417">
        <f t="shared" ref="H310:M310" si="97">SUM(H311:H313)</f>
        <v>0</v>
      </c>
      <c r="I310" s="417">
        <f t="shared" si="97"/>
        <v>0</v>
      </c>
      <c r="J310" s="417">
        <f t="shared" si="97"/>
        <v>0</v>
      </c>
      <c r="K310" s="417">
        <f t="shared" si="97"/>
        <v>0</v>
      </c>
      <c r="L310" s="417">
        <f t="shared" si="97"/>
        <v>0</v>
      </c>
      <c r="M310" s="418">
        <f t="shared" si="97"/>
        <v>0</v>
      </c>
      <c r="N310" s="419" t="e">
        <f t="shared" si="89"/>
        <v>#DIV/0!</v>
      </c>
    </row>
    <row r="311" spans="1:14" ht="12.75" hidden="1" customHeight="1" x14ac:dyDescent="0.25">
      <c r="A311" s="451">
        <v>5251</v>
      </c>
      <c r="B311" s="423">
        <v>434100</v>
      </c>
      <c r="C311" s="424" t="s">
        <v>281</v>
      </c>
      <c r="D311" s="452"/>
      <c r="E311" s="435"/>
      <c r="F311" s="435"/>
      <c r="G311" s="436">
        <f t="shared" si="92"/>
        <v>0</v>
      </c>
      <c r="H311" s="435"/>
      <c r="I311" s="435"/>
      <c r="J311" s="435"/>
      <c r="K311" s="435"/>
      <c r="L311" s="435"/>
      <c r="M311" s="437"/>
      <c r="N311" s="419" t="e">
        <f t="shared" si="89"/>
        <v>#DIV/0!</v>
      </c>
    </row>
    <row r="312" spans="1:14" ht="12.75" hidden="1" customHeight="1" x14ac:dyDescent="0.25">
      <c r="A312" s="451">
        <v>5252</v>
      </c>
      <c r="B312" s="423">
        <v>434200</v>
      </c>
      <c r="C312" s="424" t="s">
        <v>282</v>
      </c>
      <c r="D312" s="452"/>
      <c r="E312" s="435"/>
      <c r="F312" s="435"/>
      <c r="G312" s="436">
        <f t="shared" si="92"/>
        <v>0</v>
      </c>
      <c r="H312" s="435"/>
      <c r="I312" s="435"/>
      <c r="J312" s="435"/>
      <c r="K312" s="435"/>
      <c r="L312" s="435"/>
      <c r="M312" s="437"/>
      <c r="N312" s="419" t="e">
        <f t="shared" si="89"/>
        <v>#DIV/0!</v>
      </c>
    </row>
    <row r="313" spans="1:14" ht="12.75" hidden="1" customHeight="1" x14ac:dyDescent="0.25">
      <c r="A313" s="451">
        <v>5253</v>
      </c>
      <c r="B313" s="423">
        <v>434300</v>
      </c>
      <c r="C313" s="424" t="s">
        <v>283</v>
      </c>
      <c r="D313" s="452"/>
      <c r="E313" s="435"/>
      <c r="F313" s="435"/>
      <c r="G313" s="436">
        <f t="shared" si="92"/>
        <v>0</v>
      </c>
      <c r="H313" s="435"/>
      <c r="I313" s="435"/>
      <c r="J313" s="435"/>
      <c r="K313" s="435"/>
      <c r="L313" s="435"/>
      <c r="M313" s="437"/>
      <c r="N313" s="419" t="e">
        <f t="shared" si="89"/>
        <v>#DIV/0!</v>
      </c>
    </row>
    <row r="314" spans="1:14" ht="12.75" hidden="1" customHeight="1" x14ac:dyDescent="0.25">
      <c r="A314" s="450">
        <v>5254</v>
      </c>
      <c r="B314" s="506">
        <v>435000</v>
      </c>
      <c r="C314" s="416" t="s">
        <v>284</v>
      </c>
      <c r="D314" s="441"/>
      <c r="E314" s="417">
        <f>E315</f>
        <v>0</v>
      </c>
      <c r="F314" s="417">
        <f>F315</f>
        <v>0</v>
      </c>
      <c r="G314" s="417">
        <f t="shared" si="92"/>
        <v>0</v>
      </c>
      <c r="H314" s="417">
        <f t="shared" ref="H314:M314" si="98">H315</f>
        <v>0</v>
      </c>
      <c r="I314" s="417">
        <f t="shared" si="98"/>
        <v>0</v>
      </c>
      <c r="J314" s="417">
        <f t="shared" si="98"/>
        <v>0</v>
      </c>
      <c r="K314" s="417">
        <f t="shared" si="98"/>
        <v>0</v>
      </c>
      <c r="L314" s="417">
        <f t="shared" si="98"/>
        <v>0</v>
      </c>
      <c r="M314" s="418">
        <f t="shared" si="98"/>
        <v>0</v>
      </c>
      <c r="N314" s="419" t="e">
        <f t="shared" si="89"/>
        <v>#DIV/0!</v>
      </c>
    </row>
    <row r="315" spans="1:14" ht="12.75" hidden="1" customHeight="1" x14ac:dyDescent="0.25">
      <c r="A315" s="451">
        <v>5255</v>
      </c>
      <c r="B315" s="423">
        <v>435100</v>
      </c>
      <c r="C315" s="424" t="s">
        <v>285</v>
      </c>
      <c r="D315" s="452"/>
      <c r="E315" s="435"/>
      <c r="F315" s="435"/>
      <c r="G315" s="436">
        <f t="shared" si="92"/>
        <v>0</v>
      </c>
      <c r="H315" s="435"/>
      <c r="I315" s="435"/>
      <c r="J315" s="435"/>
      <c r="K315" s="435"/>
      <c r="L315" s="435"/>
      <c r="M315" s="437"/>
      <c r="N315" s="419" t="e">
        <f t="shared" si="89"/>
        <v>#DIV/0!</v>
      </c>
    </row>
    <row r="316" spans="1:14" ht="12.75" customHeight="1" x14ac:dyDescent="0.25">
      <c r="A316" s="450">
        <v>5256</v>
      </c>
      <c r="B316" s="506">
        <v>440000</v>
      </c>
      <c r="C316" s="416" t="s">
        <v>286</v>
      </c>
      <c r="D316" s="441">
        <f>D317+D327+D338+D340</f>
        <v>0</v>
      </c>
      <c r="E316" s="417">
        <f>E317+E327+E338+E340</f>
        <v>600</v>
      </c>
      <c r="F316" s="417">
        <f>F317+F327+F338+F340</f>
        <v>600</v>
      </c>
      <c r="G316" s="417">
        <f t="shared" si="92"/>
        <v>180</v>
      </c>
      <c r="H316" s="417">
        <f t="shared" ref="H316:M316" si="99">H317+H327+H338+H340</f>
        <v>0</v>
      </c>
      <c r="I316" s="417">
        <f t="shared" si="99"/>
        <v>0</v>
      </c>
      <c r="J316" s="417">
        <f t="shared" si="99"/>
        <v>0</v>
      </c>
      <c r="K316" s="417">
        <f t="shared" si="99"/>
        <v>0</v>
      </c>
      <c r="L316" s="417">
        <f t="shared" si="99"/>
        <v>0</v>
      </c>
      <c r="M316" s="418">
        <f t="shared" si="99"/>
        <v>180</v>
      </c>
      <c r="N316" s="419">
        <f t="shared" si="89"/>
        <v>0.3</v>
      </c>
    </row>
    <row r="317" spans="1:14" ht="12.75" customHeight="1" x14ac:dyDescent="0.25">
      <c r="A317" s="450">
        <v>5257</v>
      </c>
      <c r="B317" s="506">
        <v>441000</v>
      </c>
      <c r="C317" s="416" t="s">
        <v>287</v>
      </c>
      <c r="D317" s="441">
        <f>SUM(D318:D326)</f>
        <v>0</v>
      </c>
      <c r="E317" s="417">
        <f>SUM(E318:E326)</f>
        <v>600</v>
      </c>
      <c r="F317" s="417">
        <f>SUM(F318:F326)</f>
        <v>600</v>
      </c>
      <c r="G317" s="417">
        <f t="shared" si="92"/>
        <v>180</v>
      </c>
      <c r="H317" s="417">
        <f t="shared" ref="H317:M317" si="100">SUM(H318:H326)</f>
        <v>0</v>
      </c>
      <c r="I317" s="417">
        <f t="shared" si="100"/>
        <v>0</v>
      </c>
      <c r="J317" s="417">
        <f t="shared" si="100"/>
        <v>0</v>
      </c>
      <c r="K317" s="417">
        <f t="shared" si="100"/>
        <v>0</v>
      </c>
      <c r="L317" s="417">
        <f t="shared" si="100"/>
        <v>0</v>
      </c>
      <c r="M317" s="418">
        <f t="shared" si="100"/>
        <v>180</v>
      </c>
      <c r="N317" s="419">
        <f t="shared" si="89"/>
        <v>0.3</v>
      </c>
    </row>
    <row r="318" spans="1:14" ht="12.75" hidden="1" customHeight="1" x14ac:dyDescent="0.25">
      <c r="A318" s="451">
        <v>5258</v>
      </c>
      <c r="B318" s="423">
        <v>441100</v>
      </c>
      <c r="C318" s="424" t="s">
        <v>288</v>
      </c>
      <c r="D318" s="452"/>
      <c r="E318" s="435"/>
      <c r="F318" s="435"/>
      <c r="G318" s="436">
        <f t="shared" si="92"/>
        <v>0</v>
      </c>
      <c r="H318" s="435"/>
      <c r="I318" s="435"/>
      <c r="J318" s="435"/>
      <c r="K318" s="435"/>
      <c r="L318" s="435"/>
      <c r="M318" s="437"/>
      <c r="N318" s="419" t="e">
        <f t="shared" si="89"/>
        <v>#DIV/0!</v>
      </c>
    </row>
    <row r="319" spans="1:14" ht="12.75" hidden="1" customHeight="1" x14ac:dyDescent="0.25">
      <c r="A319" s="451">
        <v>5259</v>
      </c>
      <c r="B319" s="423">
        <v>441200</v>
      </c>
      <c r="C319" s="424" t="s">
        <v>289</v>
      </c>
      <c r="D319" s="452"/>
      <c r="E319" s="435"/>
      <c r="F319" s="435"/>
      <c r="G319" s="436">
        <f t="shared" si="92"/>
        <v>0</v>
      </c>
      <c r="H319" s="435"/>
      <c r="I319" s="435"/>
      <c r="J319" s="435"/>
      <c r="K319" s="435"/>
      <c r="L319" s="435"/>
      <c r="M319" s="437"/>
      <c r="N319" s="419" t="e">
        <f t="shared" si="89"/>
        <v>#DIV/0!</v>
      </c>
    </row>
    <row r="320" spans="1:14" ht="12.75" hidden="1" customHeight="1" x14ac:dyDescent="0.25">
      <c r="A320" s="451">
        <v>5260</v>
      </c>
      <c r="B320" s="423">
        <v>441300</v>
      </c>
      <c r="C320" s="424" t="s">
        <v>290</v>
      </c>
      <c r="D320" s="452"/>
      <c r="E320" s="435"/>
      <c r="F320" s="435"/>
      <c r="G320" s="436">
        <f t="shared" si="92"/>
        <v>0</v>
      </c>
      <c r="H320" s="435"/>
      <c r="I320" s="435"/>
      <c r="J320" s="435"/>
      <c r="K320" s="435"/>
      <c r="L320" s="435"/>
      <c r="M320" s="437"/>
      <c r="N320" s="419" t="e">
        <f t="shared" si="89"/>
        <v>#DIV/0!</v>
      </c>
    </row>
    <row r="321" spans="1:14" ht="12.75" hidden="1" customHeight="1" x14ac:dyDescent="0.25">
      <c r="A321" s="451">
        <v>5261</v>
      </c>
      <c r="B321" s="423">
        <v>441400</v>
      </c>
      <c r="C321" s="424" t="s">
        <v>291</v>
      </c>
      <c r="D321" s="452"/>
      <c r="E321" s="435"/>
      <c r="F321" s="435"/>
      <c r="G321" s="436">
        <f t="shared" si="92"/>
        <v>0</v>
      </c>
      <c r="H321" s="435"/>
      <c r="I321" s="435"/>
      <c r="J321" s="435"/>
      <c r="K321" s="435"/>
      <c r="L321" s="435"/>
      <c r="M321" s="437"/>
      <c r="N321" s="419" t="e">
        <f t="shared" si="89"/>
        <v>#DIV/0!</v>
      </c>
    </row>
    <row r="322" spans="1:14" ht="12.75" customHeight="1" x14ac:dyDescent="0.25">
      <c r="A322" s="451">
        <v>5262</v>
      </c>
      <c r="B322" s="423">
        <v>441500</v>
      </c>
      <c r="C322" s="424" t="s">
        <v>292</v>
      </c>
      <c r="D322" s="452">
        <v>0</v>
      </c>
      <c r="E322" s="435">
        <v>600</v>
      </c>
      <c r="F322" s="435">
        <f>D322+E322</f>
        <v>600</v>
      </c>
      <c r="G322" s="436">
        <f t="shared" si="92"/>
        <v>180</v>
      </c>
      <c r="H322" s="435"/>
      <c r="I322" s="435"/>
      <c r="J322" s="435"/>
      <c r="K322" s="435"/>
      <c r="L322" s="435"/>
      <c r="M322" s="437">
        <f>180</f>
        <v>180</v>
      </c>
      <c r="N322" s="419">
        <f t="shared" si="89"/>
        <v>0.3</v>
      </c>
    </row>
    <row r="323" spans="1:14" ht="12.75" hidden="1" customHeight="1" x14ac:dyDescent="0.25">
      <c r="A323" s="451">
        <v>5263</v>
      </c>
      <c r="B323" s="423">
        <v>441600</v>
      </c>
      <c r="C323" s="424" t="s">
        <v>293</v>
      </c>
      <c r="D323" s="452"/>
      <c r="E323" s="435"/>
      <c r="F323" s="435"/>
      <c r="G323" s="436">
        <f t="shared" si="92"/>
        <v>0</v>
      </c>
      <c r="H323" s="435"/>
      <c r="I323" s="435"/>
      <c r="J323" s="435"/>
      <c r="K323" s="435"/>
      <c r="L323" s="435"/>
      <c r="M323" s="437"/>
      <c r="N323" s="419" t="e">
        <f t="shared" si="89"/>
        <v>#DIV/0!</v>
      </c>
    </row>
    <row r="324" spans="1:14" ht="12.75" hidden="1" customHeight="1" x14ac:dyDescent="0.25">
      <c r="A324" s="451">
        <v>5264</v>
      </c>
      <c r="B324" s="423">
        <v>441700</v>
      </c>
      <c r="C324" s="424" t="s">
        <v>294</v>
      </c>
      <c r="D324" s="452"/>
      <c r="E324" s="435"/>
      <c r="F324" s="435"/>
      <c r="G324" s="436">
        <f t="shared" si="92"/>
        <v>0</v>
      </c>
      <c r="H324" s="435"/>
      <c r="I324" s="435"/>
      <c r="J324" s="435"/>
      <c r="K324" s="435"/>
      <c r="L324" s="435"/>
      <c r="M324" s="437"/>
      <c r="N324" s="419" t="e">
        <f t="shared" si="89"/>
        <v>#DIV/0!</v>
      </c>
    </row>
    <row r="325" spans="1:14" ht="12.75" hidden="1" customHeight="1" x14ac:dyDescent="0.25">
      <c r="A325" s="451">
        <v>5265</v>
      </c>
      <c r="B325" s="423">
        <v>441800</v>
      </c>
      <c r="C325" s="424" t="s">
        <v>295</v>
      </c>
      <c r="D325" s="452"/>
      <c r="E325" s="435"/>
      <c r="F325" s="435"/>
      <c r="G325" s="436">
        <f t="shared" si="92"/>
        <v>0</v>
      </c>
      <c r="H325" s="435"/>
      <c r="I325" s="435"/>
      <c r="J325" s="435"/>
      <c r="K325" s="435"/>
      <c r="L325" s="435"/>
      <c r="M325" s="437"/>
      <c r="N325" s="419" t="e">
        <f t="shared" si="89"/>
        <v>#DIV/0!</v>
      </c>
    </row>
    <row r="326" spans="1:14" ht="12.75" hidden="1" customHeight="1" x14ac:dyDescent="0.25">
      <c r="A326" s="451">
        <v>5266</v>
      </c>
      <c r="B326" s="423">
        <v>441900</v>
      </c>
      <c r="C326" s="424" t="s">
        <v>99</v>
      </c>
      <c r="D326" s="452"/>
      <c r="E326" s="435"/>
      <c r="F326" s="435"/>
      <c r="G326" s="436">
        <f t="shared" si="92"/>
        <v>0</v>
      </c>
      <c r="H326" s="435"/>
      <c r="I326" s="435"/>
      <c r="J326" s="435"/>
      <c r="K326" s="435"/>
      <c r="L326" s="435"/>
      <c r="M326" s="437"/>
      <c r="N326" s="419" t="e">
        <f t="shared" si="89"/>
        <v>#DIV/0!</v>
      </c>
    </row>
    <row r="327" spans="1:14" ht="12.75" hidden="1" customHeight="1" x14ac:dyDescent="0.25">
      <c r="A327" s="450">
        <v>5267</v>
      </c>
      <c r="B327" s="506">
        <v>442000</v>
      </c>
      <c r="C327" s="416" t="s">
        <v>296</v>
      </c>
      <c r="D327" s="441">
        <f>SUM(D328:D337)</f>
        <v>0</v>
      </c>
      <c r="E327" s="417">
        <f>SUM(E328:E337)</f>
        <v>0</v>
      </c>
      <c r="F327" s="417">
        <f>SUM(F328:F337)</f>
        <v>0</v>
      </c>
      <c r="G327" s="417">
        <f t="shared" si="92"/>
        <v>0</v>
      </c>
      <c r="H327" s="417">
        <f t="shared" ref="H327:M327" si="101">SUM(H328:H337)</f>
        <v>0</v>
      </c>
      <c r="I327" s="417">
        <f t="shared" si="101"/>
        <v>0</v>
      </c>
      <c r="J327" s="417">
        <f t="shared" si="101"/>
        <v>0</v>
      </c>
      <c r="K327" s="417">
        <f t="shared" si="101"/>
        <v>0</v>
      </c>
      <c r="L327" s="417">
        <f t="shared" si="101"/>
        <v>0</v>
      </c>
      <c r="M327" s="418">
        <f t="shared" si="101"/>
        <v>0</v>
      </c>
      <c r="N327" s="419" t="e">
        <f t="shared" si="89"/>
        <v>#DIV/0!</v>
      </c>
    </row>
    <row r="328" spans="1:14" ht="12.75" hidden="1" customHeight="1" x14ac:dyDescent="0.25">
      <c r="A328" s="451">
        <v>5268</v>
      </c>
      <c r="B328" s="423">
        <v>442100</v>
      </c>
      <c r="C328" s="424" t="s">
        <v>297</v>
      </c>
      <c r="D328" s="452"/>
      <c r="E328" s="435"/>
      <c r="F328" s="435"/>
      <c r="G328" s="436">
        <f t="shared" si="92"/>
        <v>0</v>
      </c>
      <c r="H328" s="435"/>
      <c r="I328" s="435"/>
      <c r="J328" s="435"/>
      <c r="K328" s="435"/>
      <c r="L328" s="435"/>
      <c r="M328" s="437"/>
      <c r="N328" s="419" t="e">
        <f t="shared" si="89"/>
        <v>#DIV/0!</v>
      </c>
    </row>
    <row r="329" spans="1:14" ht="12.75" hidden="1" customHeight="1" x14ac:dyDescent="0.25">
      <c r="A329" s="451">
        <v>5269</v>
      </c>
      <c r="B329" s="423">
        <v>442200</v>
      </c>
      <c r="C329" s="424" t="s">
        <v>298</v>
      </c>
      <c r="D329" s="452"/>
      <c r="E329" s="435"/>
      <c r="F329" s="435"/>
      <c r="G329" s="436">
        <f t="shared" si="92"/>
        <v>0</v>
      </c>
      <c r="H329" s="435"/>
      <c r="I329" s="435"/>
      <c r="J329" s="435"/>
      <c r="K329" s="435"/>
      <c r="L329" s="435"/>
      <c r="M329" s="437"/>
      <c r="N329" s="419" t="e">
        <f t="shared" si="89"/>
        <v>#DIV/0!</v>
      </c>
    </row>
    <row r="330" spans="1:14" ht="12.75" hidden="1" customHeight="1" x14ac:dyDescent="0.25">
      <c r="A330" s="451">
        <v>5270</v>
      </c>
      <c r="B330" s="423">
        <v>442300</v>
      </c>
      <c r="C330" s="424" t="s">
        <v>299</v>
      </c>
      <c r="D330" s="452"/>
      <c r="E330" s="435"/>
      <c r="F330" s="435"/>
      <c r="G330" s="436">
        <f t="shared" si="92"/>
        <v>0</v>
      </c>
      <c r="H330" s="435"/>
      <c r="I330" s="435"/>
      <c r="J330" s="435"/>
      <c r="K330" s="435"/>
      <c r="L330" s="435"/>
      <c r="M330" s="437"/>
      <c r="N330" s="419" t="e">
        <f t="shared" si="89"/>
        <v>#DIV/0!</v>
      </c>
    </row>
    <row r="331" spans="1:14" ht="12.75" hidden="1" customHeight="1" x14ac:dyDescent="0.25">
      <c r="A331" s="451">
        <v>5271</v>
      </c>
      <c r="B331" s="423">
        <v>442400</v>
      </c>
      <c r="C331" s="424" t="s">
        <v>300</v>
      </c>
      <c r="D331" s="452"/>
      <c r="E331" s="435"/>
      <c r="F331" s="435"/>
      <c r="G331" s="436">
        <f t="shared" si="92"/>
        <v>0</v>
      </c>
      <c r="H331" s="435"/>
      <c r="I331" s="435"/>
      <c r="J331" s="435"/>
      <c r="K331" s="435"/>
      <c r="L331" s="435"/>
      <c r="M331" s="437"/>
      <c r="N331" s="419" t="e">
        <f t="shared" si="89"/>
        <v>#DIV/0!</v>
      </c>
    </row>
    <row r="332" spans="1:14" ht="12.75" hidden="1" customHeight="1" x14ac:dyDescent="0.25">
      <c r="A332" s="717" t="s">
        <v>0</v>
      </c>
      <c r="B332" s="718" t="s">
        <v>1</v>
      </c>
      <c r="C332" s="719" t="s">
        <v>2</v>
      </c>
      <c r="D332" s="455" t="s">
        <v>217</v>
      </c>
      <c r="E332" s="719" t="s">
        <v>217</v>
      </c>
      <c r="F332" s="508" t="s">
        <v>217</v>
      </c>
      <c r="G332" s="714" t="s">
        <v>198</v>
      </c>
      <c r="H332" s="720"/>
      <c r="I332" s="720"/>
      <c r="J332" s="720"/>
      <c r="K332" s="720"/>
      <c r="L332" s="720"/>
      <c r="M332" s="721"/>
      <c r="N332" s="419" t="e">
        <f t="shared" si="89"/>
        <v>#VALUE!</v>
      </c>
    </row>
    <row r="333" spans="1:14" ht="12.75" hidden="1" customHeight="1" x14ac:dyDescent="0.25">
      <c r="A333" s="717"/>
      <c r="B333" s="718"/>
      <c r="C333" s="719"/>
      <c r="D333" s="455"/>
      <c r="E333" s="719"/>
      <c r="F333" s="508"/>
      <c r="G333" s="714" t="s">
        <v>199</v>
      </c>
      <c r="H333" s="714" t="s">
        <v>200</v>
      </c>
      <c r="I333" s="720"/>
      <c r="J333" s="720"/>
      <c r="K333" s="720"/>
      <c r="L333" s="714" t="s">
        <v>7</v>
      </c>
      <c r="M333" s="722" t="s">
        <v>8</v>
      </c>
      <c r="N333" s="419" t="e">
        <f t="shared" si="89"/>
        <v>#VALUE!</v>
      </c>
    </row>
    <row r="334" spans="1:14" ht="12.75" hidden="1" customHeight="1" x14ac:dyDescent="0.25">
      <c r="A334" s="717"/>
      <c r="B334" s="718"/>
      <c r="C334" s="719"/>
      <c r="D334" s="455"/>
      <c r="E334" s="719"/>
      <c r="F334" s="508"/>
      <c r="G334" s="720"/>
      <c r="H334" s="509" t="s">
        <v>201</v>
      </c>
      <c r="I334" s="509" t="s">
        <v>10</v>
      </c>
      <c r="J334" s="509" t="s">
        <v>11</v>
      </c>
      <c r="K334" s="509" t="s">
        <v>12</v>
      </c>
      <c r="L334" s="720"/>
      <c r="M334" s="721"/>
      <c r="N334" s="419" t="e">
        <f t="shared" si="89"/>
        <v>#DIV/0!</v>
      </c>
    </row>
    <row r="335" spans="1:14" ht="12.75" hidden="1" customHeight="1" x14ac:dyDescent="0.25">
      <c r="A335" s="456" t="s">
        <v>18</v>
      </c>
      <c r="B335" s="507" t="s">
        <v>19</v>
      </c>
      <c r="C335" s="429" t="s">
        <v>20</v>
      </c>
      <c r="D335" s="455" t="s">
        <v>21</v>
      </c>
      <c r="E335" s="429" t="s">
        <v>21</v>
      </c>
      <c r="F335" s="429" t="s">
        <v>21</v>
      </c>
      <c r="G335" s="429" t="s">
        <v>22</v>
      </c>
      <c r="H335" s="429" t="s">
        <v>23</v>
      </c>
      <c r="I335" s="429" t="s">
        <v>24</v>
      </c>
      <c r="J335" s="429" t="s">
        <v>25</v>
      </c>
      <c r="K335" s="429" t="s">
        <v>26</v>
      </c>
      <c r="L335" s="429" t="s">
        <v>27</v>
      </c>
      <c r="M335" s="434" t="s">
        <v>28</v>
      </c>
      <c r="N335" s="419">
        <f t="shared" si="89"/>
        <v>1.25</v>
      </c>
    </row>
    <row r="336" spans="1:14" ht="12.75" hidden="1" customHeight="1" x14ac:dyDescent="0.25">
      <c r="A336" s="451">
        <v>5272</v>
      </c>
      <c r="B336" s="423">
        <v>442500</v>
      </c>
      <c r="C336" s="424" t="s">
        <v>301</v>
      </c>
      <c r="D336" s="452"/>
      <c r="E336" s="435"/>
      <c r="F336" s="435"/>
      <c r="G336" s="436">
        <f t="shared" si="92"/>
        <v>0</v>
      </c>
      <c r="H336" s="435"/>
      <c r="I336" s="435"/>
      <c r="J336" s="435"/>
      <c r="K336" s="435"/>
      <c r="L336" s="435"/>
      <c r="M336" s="437"/>
      <c r="N336" s="419" t="e">
        <f t="shared" si="89"/>
        <v>#DIV/0!</v>
      </c>
    </row>
    <row r="337" spans="1:14" ht="12.75" hidden="1" customHeight="1" x14ac:dyDescent="0.25">
      <c r="A337" s="451">
        <v>5273</v>
      </c>
      <c r="B337" s="423">
        <v>442600</v>
      </c>
      <c r="C337" s="424" t="s">
        <v>302</v>
      </c>
      <c r="D337" s="452"/>
      <c r="E337" s="435"/>
      <c r="F337" s="435"/>
      <c r="G337" s="436">
        <f t="shared" si="92"/>
        <v>0</v>
      </c>
      <c r="H337" s="435"/>
      <c r="I337" s="435"/>
      <c r="J337" s="435"/>
      <c r="K337" s="435"/>
      <c r="L337" s="435"/>
      <c r="M337" s="437"/>
      <c r="N337" s="419" t="e">
        <f t="shared" si="89"/>
        <v>#DIV/0!</v>
      </c>
    </row>
    <row r="338" spans="1:14" ht="12.75" hidden="1" customHeight="1" x14ac:dyDescent="0.25">
      <c r="A338" s="450">
        <v>5274</v>
      </c>
      <c r="B338" s="506">
        <v>443000</v>
      </c>
      <c r="C338" s="416" t="s">
        <v>303</v>
      </c>
      <c r="D338" s="441">
        <f>D339</f>
        <v>0</v>
      </c>
      <c r="E338" s="417">
        <f>E339</f>
        <v>0</v>
      </c>
      <c r="F338" s="417">
        <f>F339</f>
        <v>0</v>
      </c>
      <c r="G338" s="417">
        <f t="shared" si="92"/>
        <v>0</v>
      </c>
      <c r="H338" s="417">
        <f t="shared" ref="H338:M338" si="102">H339</f>
        <v>0</v>
      </c>
      <c r="I338" s="417">
        <f t="shared" si="102"/>
        <v>0</v>
      </c>
      <c r="J338" s="417">
        <f t="shared" si="102"/>
        <v>0</v>
      </c>
      <c r="K338" s="417">
        <f t="shared" si="102"/>
        <v>0</v>
      </c>
      <c r="L338" s="417">
        <f t="shared" si="102"/>
        <v>0</v>
      </c>
      <c r="M338" s="418">
        <f t="shared" si="102"/>
        <v>0</v>
      </c>
      <c r="N338" s="419" t="e">
        <f t="shared" si="89"/>
        <v>#DIV/0!</v>
      </c>
    </row>
    <row r="339" spans="1:14" ht="12.75" hidden="1" customHeight="1" x14ac:dyDescent="0.25">
      <c r="A339" s="451">
        <v>5275</v>
      </c>
      <c r="B339" s="423">
        <v>443100</v>
      </c>
      <c r="C339" s="424" t="s">
        <v>304</v>
      </c>
      <c r="D339" s="452"/>
      <c r="E339" s="435"/>
      <c r="F339" s="435"/>
      <c r="G339" s="436">
        <f t="shared" si="92"/>
        <v>0</v>
      </c>
      <c r="H339" s="435"/>
      <c r="I339" s="435"/>
      <c r="J339" s="435"/>
      <c r="K339" s="435"/>
      <c r="L339" s="435"/>
      <c r="M339" s="437"/>
      <c r="N339" s="419" t="e">
        <f t="shared" si="89"/>
        <v>#DIV/0!</v>
      </c>
    </row>
    <row r="340" spans="1:14" ht="12.75" hidden="1" customHeight="1" x14ac:dyDescent="0.25">
      <c r="A340" s="450">
        <v>5276</v>
      </c>
      <c r="B340" s="506">
        <v>444000</v>
      </c>
      <c r="C340" s="416" t="s">
        <v>305</v>
      </c>
      <c r="D340" s="441">
        <f>SUM(D341:D343)</f>
        <v>0</v>
      </c>
      <c r="E340" s="417">
        <f>SUM(E341:E343)</f>
        <v>0</v>
      </c>
      <c r="F340" s="417">
        <f>SUM(F341:F343)</f>
        <v>0</v>
      </c>
      <c r="G340" s="417">
        <f t="shared" si="92"/>
        <v>0</v>
      </c>
      <c r="H340" s="417">
        <f t="shared" ref="H340:M340" si="103">SUM(H341:H343)</f>
        <v>0</v>
      </c>
      <c r="I340" s="417">
        <f t="shared" si="103"/>
        <v>0</v>
      </c>
      <c r="J340" s="417">
        <f t="shared" si="103"/>
        <v>0</v>
      </c>
      <c r="K340" s="417">
        <f t="shared" si="103"/>
        <v>0</v>
      </c>
      <c r="L340" s="417">
        <f t="shared" si="103"/>
        <v>0</v>
      </c>
      <c r="M340" s="418">
        <f t="shared" si="103"/>
        <v>0</v>
      </c>
      <c r="N340" s="419" t="e">
        <f t="shared" si="89"/>
        <v>#DIV/0!</v>
      </c>
    </row>
    <row r="341" spans="1:14" ht="12.75" hidden="1" customHeight="1" x14ac:dyDescent="0.25">
      <c r="A341" s="451">
        <v>5277</v>
      </c>
      <c r="B341" s="423">
        <v>444100</v>
      </c>
      <c r="C341" s="424" t="s">
        <v>306</v>
      </c>
      <c r="D341" s="452"/>
      <c r="E341" s="435"/>
      <c r="F341" s="435"/>
      <c r="G341" s="436">
        <f t="shared" si="92"/>
        <v>0</v>
      </c>
      <c r="H341" s="435"/>
      <c r="I341" s="435"/>
      <c r="J341" s="435"/>
      <c r="K341" s="435"/>
      <c r="L341" s="435"/>
      <c r="M341" s="437"/>
      <c r="N341" s="419" t="e">
        <f t="shared" si="89"/>
        <v>#DIV/0!</v>
      </c>
    </row>
    <row r="342" spans="1:14" ht="12.75" hidden="1" customHeight="1" x14ac:dyDescent="0.25">
      <c r="A342" s="451">
        <v>5278</v>
      </c>
      <c r="B342" s="423">
        <v>444200</v>
      </c>
      <c r="C342" s="424" t="s">
        <v>307</v>
      </c>
      <c r="D342" s="452"/>
      <c r="E342" s="435"/>
      <c r="F342" s="435"/>
      <c r="G342" s="436">
        <f t="shared" si="92"/>
        <v>0</v>
      </c>
      <c r="H342" s="435"/>
      <c r="I342" s="435"/>
      <c r="J342" s="435"/>
      <c r="K342" s="435"/>
      <c r="L342" s="435"/>
      <c r="M342" s="437"/>
      <c r="N342" s="419" t="e">
        <f t="shared" si="89"/>
        <v>#DIV/0!</v>
      </c>
    </row>
    <row r="343" spans="1:14" ht="12.75" hidden="1" customHeight="1" x14ac:dyDescent="0.25">
      <c r="A343" s="451">
        <v>5279</v>
      </c>
      <c r="B343" s="423">
        <v>444300</v>
      </c>
      <c r="C343" s="424" t="s">
        <v>308</v>
      </c>
      <c r="D343" s="452"/>
      <c r="E343" s="435"/>
      <c r="F343" s="435"/>
      <c r="G343" s="436">
        <f t="shared" si="92"/>
        <v>0</v>
      </c>
      <c r="H343" s="435"/>
      <c r="I343" s="435"/>
      <c r="J343" s="435"/>
      <c r="K343" s="435"/>
      <c r="L343" s="435"/>
      <c r="M343" s="437"/>
      <c r="N343" s="419" t="e">
        <f t="shared" si="89"/>
        <v>#DIV/0!</v>
      </c>
    </row>
    <row r="344" spans="1:14" ht="12.75" hidden="1" customHeight="1" x14ac:dyDescent="0.25">
      <c r="A344" s="450">
        <v>5280</v>
      </c>
      <c r="B344" s="506">
        <v>450000</v>
      </c>
      <c r="C344" s="416" t="s">
        <v>309</v>
      </c>
      <c r="D344" s="441">
        <f>D345+D348+D351+D354</f>
        <v>0</v>
      </c>
      <c r="E344" s="417">
        <f>E345+E348+E351+E354</f>
        <v>0</v>
      </c>
      <c r="F344" s="417">
        <f>F345+F348+F351+F354</f>
        <v>0</v>
      </c>
      <c r="G344" s="417">
        <f t="shared" si="92"/>
        <v>0</v>
      </c>
      <c r="H344" s="417">
        <f t="shared" ref="H344:M344" si="104">H345+H348+H351+H354</f>
        <v>0</v>
      </c>
      <c r="I344" s="417">
        <f t="shared" si="104"/>
        <v>0</v>
      </c>
      <c r="J344" s="417">
        <f t="shared" si="104"/>
        <v>0</v>
      </c>
      <c r="K344" s="417">
        <f t="shared" si="104"/>
        <v>0</v>
      </c>
      <c r="L344" s="417">
        <f t="shared" si="104"/>
        <v>0</v>
      </c>
      <c r="M344" s="418">
        <f t="shared" si="104"/>
        <v>0</v>
      </c>
      <c r="N344" s="419" t="e">
        <f t="shared" si="89"/>
        <v>#DIV/0!</v>
      </c>
    </row>
    <row r="345" spans="1:14" ht="12.75" hidden="1" customHeight="1" x14ac:dyDescent="0.25">
      <c r="A345" s="450">
        <v>5281</v>
      </c>
      <c r="B345" s="506">
        <v>451000</v>
      </c>
      <c r="C345" s="416" t="s">
        <v>310</v>
      </c>
      <c r="D345" s="441">
        <f>D346+D347</f>
        <v>0</v>
      </c>
      <c r="E345" s="417">
        <f>E346+E347</f>
        <v>0</v>
      </c>
      <c r="F345" s="417">
        <f>F346+F347</f>
        <v>0</v>
      </c>
      <c r="G345" s="417">
        <f t="shared" si="92"/>
        <v>0</v>
      </c>
      <c r="H345" s="417">
        <f t="shared" ref="H345:M345" si="105">H346+H347</f>
        <v>0</v>
      </c>
      <c r="I345" s="417">
        <f t="shared" si="105"/>
        <v>0</v>
      </c>
      <c r="J345" s="417">
        <f t="shared" si="105"/>
        <v>0</v>
      </c>
      <c r="K345" s="417">
        <f t="shared" si="105"/>
        <v>0</v>
      </c>
      <c r="L345" s="417">
        <f t="shared" si="105"/>
        <v>0</v>
      </c>
      <c r="M345" s="418">
        <f t="shared" si="105"/>
        <v>0</v>
      </c>
      <c r="N345" s="419" t="e">
        <f t="shared" si="89"/>
        <v>#DIV/0!</v>
      </c>
    </row>
    <row r="346" spans="1:14" ht="12.75" hidden="1" customHeight="1" x14ac:dyDescent="0.25">
      <c r="A346" s="451">
        <v>5282</v>
      </c>
      <c r="B346" s="423">
        <v>451100</v>
      </c>
      <c r="C346" s="424" t="s">
        <v>311</v>
      </c>
      <c r="D346" s="452"/>
      <c r="E346" s="435"/>
      <c r="F346" s="435"/>
      <c r="G346" s="436">
        <f t="shared" si="92"/>
        <v>0</v>
      </c>
      <c r="H346" s="435"/>
      <c r="I346" s="435"/>
      <c r="J346" s="435"/>
      <c r="K346" s="435"/>
      <c r="L346" s="435"/>
      <c r="M346" s="437"/>
      <c r="N346" s="419" t="e">
        <f t="shared" si="89"/>
        <v>#DIV/0!</v>
      </c>
    </row>
    <row r="347" spans="1:14" ht="12.75" hidden="1" customHeight="1" x14ac:dyDescent="0.25">
      <c r="A347" s="451">
        <v>5283</v>
      </c>
      <c r="B347" s="423">
        <v>451200</v>
      </c>
      <c r="C347" s="424" t="s">
        <v>312</v>
      </c>
      <c r="D347" s="452"/>
      <c r="E347" s="435"/>
      <c r="F347" s="435"/>
      <c r="G347" s="436">
        <f t="shared" si="92"/>
        <v>0</v>
      </c>
      <c r="H347" s="435"/>
      <c r="I347" s="435"/>
      <c r="J347" s="435"/>
      <c r="K347" s="435"/>
      <c r="L347" s="435"/>
      <c r="M347" s="437"/>
      <c r="N347" s="419" t="e">
        <f t="shared" si="89"/>
        <v>#DIV/0!</v>
      </c>
    </row>
    <row r="348" spans="1:14" ht="12.75" hidden="1" customHeight="1" x14ac:dyDescent="0.25">
      <c r="A348" s="450">
        <v>5284</v>
      </c>
      <c r="B348" s="506">
        <v>452000</v>
      </c>
      <c r="C348" s="416" t="s">
        <v>313</v>
      </c>
      <c r="D348" s="441">
        <f>D349+D350</f>
        <v>0</v>
      </c>
      <c r="E348" s="417">
        <f>E349+E350</f>
        <v>0</v>
      </c>
      <c r="F348" s="417">
        <f>F349+F350</f>
        <v>0</v>
      </c>
      <c r="G348" s="417">
        <f t="shared" si="92"/>
        <v>0</v>
      </c>
      <c r="H348" s="417">
        <f t="shared" ref="H348:M348" si="106">H349+H350</f>
        <v>0</v>
      </c>
      <c r="I348" s="417">
        <f t="shared" si="106"/>
        <v>0</v>
      </c>
      <c r="J348" s="417">
        <f t="shared" si="106"/>
        <v>0</v>
      </c>
      <c r="K348" s="417">
        <f t="shared" si="106"/>
        <v>0</v>
      </c>
      <c r="L348" s="417">
        <f t="shared" si="106"/>
        <v>0</v>
      </c>
      <c r="M348" s="418">
        <f t="shared" si="106"/>
        <v>0</v>
      </c>
      <c r="N348" s="419" t="e">
        <f t="shared" si="89"/>
        <v>#DIV/0!</v>
      </c>
    </row>
    <row r="349" spans="1:14" ht="12.75" hidden="1" customHeight="1" x14ac:dyDescent="0.25">
      <c r="A349" s="451">
        <v>5285</v>
      </c>
      <c r="B349" s="423">
        <v>452100</v>
      </c>
      <c r="C349" s="424" t="s">
        <v>314</v>
      </c>
      <c r="D349" s="452"/>
      <c r="E349" s="435"/>
      <c r="F349" s="435"/>
      <c r="G349" s="436">
        <f t="shared" si="92"/>
        <v>0</v>
      </c>
      <c r="H349" s="435"/>
      <c r="I349" s="435"/>
      <c r="J349" s="435"/>
      <c r="K349" s="435"/>
      <c r="L349" s="435"/>
      <c r="M349" s="437"/>
      <c r="N349" s="419" t="e">
        <f t="shared" ref="N349:N412" si="107">G349/F349</f>
        <v>#DIV/0!</v>
      </c>
    </row>
    <row r="350" spans="1:14" ht="12.75" hidden="1" customHeight="1" x14ac:dyDescent="0.25">
      <c r="A350" s="451">
        <v>5286</v>
      </c>
      <c r="B350" s="423">
        <v>452200</v>
      </c>
      <c r="C350" s="424" t="s">
        <v>315</v>
      </c>
      <c r="D350" s="452"/>
      <c r="E350" s="435"/>
      <c r="F350" s="435"/>
      <c r="G350" s="436">
        <f t="shared" si="92"/>
        <v>0</v>
      </c>
      <c r="H350" s="435"/>
      <c r="I350" s="435"/>
      <c r="J350" s="435"/>
      <c r="K350" s="435"/>
      <c r="L350" s="435"/>
      <c r="M350" s="437"/>
      <c r="N350" s="419" t="e">
        <f t="shared" si="107"/>
        <v>#DIV/0!</v>
      </c>
    </row>
    <row r="351" spans="1:14" ht="12.75" hidden="1" customHeight="1" x14ac:dyDescent="0.25">
      <c r="A351" s="450">
        <v>5287</v>
      </c>
      <c r="B351" s="506">
        <v>453000</v>
      </c>
      <c r="C351" s="416" t="s">
        <v>316</v>
      </c>
      <c r="D351" s="441">
        <f>D352+D353</f>
        <v>0</v>
      </c>
      <c r="E351" s="417">
        <f>E352+E353</f>
        <v>0</v>
      </c>
      <c r="F351" s="417">
        <f>F352+F353</f>
        <v>0</v>
      </c>
      <c r="G351" s="417">
        <f t="shared" si="92"/>
        <v>0</v>
      </c>
      <c r="H351" s="417">
        <f t="shared" ref="H351:M351" si="108">H352+H353</f>
        <v>0</v>
      </c>
      <c r="I351" s="417">
        <f t="shared" si="108"/>
        <v>0</v>
      </c>
      <c r="J351" s="417">
        <f t="shared" si="108"/>
        <v>0</v>
      </c>
      <c r="K351" s="417">
        <f t="shared" si="108"/>
        <v>0</v>
      </c>
      <c r="L351" s="417">
        <f t="shared" si="108"/>
        <v>0</v>
      </c>
      <c r="M351" s="418">
        <f t="shared" si="108"/>
        <v>0</v>
      </c>
      <c r="N351" s="419" t="e">
        <f t="shared" si="107"/>
        <v>#DIV/0!</v>
      </c>
    </row>
    <row r="352" spans="1:14" ht="12.75" hidden="1" customHeight="1" x14ac:dyDescent="0.25">
      <c r="A352" s="451">
        <v>5288</v>
      </c>
      <c r="B352" s="423">
        <v>453100</v>
      </c>
      <c r="C352" s="424" t="s">
        <v>317</v>
      </c>
      <c r="D352" s="452"/>
      <c r="E352" s="435"/>
      <c r="F352" s="435"/>
      <c r="G352" s="436">
        <f t="shared" si="92"/>
        <v>0</v>
      </c>
      <c r="H352" s="435"/>
      <c r="I352" s="435"/>
      <c r="J352" s="435"/>
      <c r="K352" s="435"/>
      <c r="L352" s="435"/>
      <c r="M352" s="437"/>
      <c r="N352" s="419" t="e">
        <f t="shared" si="107"/>
        <v>#DIV/0!</v>
      </c>
    </row>
    <row r="353" spans="1:14" ht="12.75" hidden="1" customHeight="1" x14ac:dyDescent="0.25">
      <c r="A353" s="451">
        <v>5289</v>
      </c>
      <c r="B353" s="423">
        <v>453200</v>
      </c>
      <c r="C353" s="424" t="s">
        <v>318</v>
      </c>
      <c r="D353" s="452"/>
      <c r="E353" s="435"/>
      <c r="F353" s="435"/>
      <c r="G353" s="436">
        <f t="shared" si="92"/>
        <v>0</v>
      </c>
      <c r="H353" s="435"/>
      <c r="I353" s="435"/>
      <c r="J353" s="435"/>
      <c r="K353" s="435"/>
      <c r="L353" s="435"/>
      <c r="M353" s="437"/>
      <c r="N353" s="419" t="e">
        <f t="shared" si="107"/>
        <v>#DIV/0!</v>
      </c>
    </row>
    <row r="354" spans="1:14" ht="12.75" hidden="1" customHeight="1" x14ac:dyDescent="0.25">
      <c r="A354" s="450">
        <v>5290</v>
      </c>
      <c r="B354" s="506">
        <v>454000</v>
      </c>
      <c r="C354" s="416" t="s">
        <v>319</v>
      </c>
      <c r="D354" s="441">
        <f>D355+D356</f>
        <v>0</v>
      </c>
      <c r="E354" s="417">
        <f>E355+E356</f>
        <v>0</v>
      </c>
      <c r="F354" s="417">
        <f>F355+F356</f>
        <v>0</v>
      </c>
      <c r="G354" s="417">
        <f t="shared" si="92"/>
        <v>0</v>
      </c>
      <c r="H354" s="417">
        <f t="shared" ref="H354:M354" si="109">H355+H356</f>
        <v>0</v>
      </c>
      <c r="I354" s="417">
        <f t="shared" si="109"/>
        <v>0</v>
      </c>
      <c r="J354" s="417">
        <f t="shared" si="109"/>
        <v>0</v>
      </c>
      <c r="K354" s="417">
        <f t="shared" si="109"/>
        <v>0</v>
      </c>
      <c r="L354" s="417">
        <f t="shared" si="109"/>
        <v>0</v>
      </c>
      <c r="M354" s="418">
        <f t="shared" si="109"/>
        <v>0</v>
      </c>
      <c r="N354" s="419" t="e">
        <f t="shared" si="107"/>
        <v>#DIV/0!</v>
      </c>
    </row>
    <row r="355" spans="1:14" ht="12.75" hidden="1" customHeight="1" x14ac:dyDescent="0.25">
      <c r="A355" s="451">
        <v>5291</v>
      </c>
      <c r="B355" s="423">
        <v>454100</v>
      </c>
      <c r="C355" s="424" t="s">
        <v>320</v>
      </c>
      <c r="D355" s="452"/>
      <c r="E355" s="435"/>
      <c r="F355" s="435"/>
      <c r="G355" s="436">
        <f t="shared" si="92"/>
        <v>0</v>
      </c>
      <c r="H355" s="435"/>
      <c r="I355" s="435"/>
      <c r="J355" s="435"/>
      <c r="K355" s="435"/>
      <c r="L355" s="435"/>
      <c r="M355" s="437"/>
      <c r="N355" s="419" t="e">
        <f t="shared" si="107"/>
        <v>#DIV/0!</v>
      </c>
    </row>
    <row r="356" spans="1:14" ht="12.75" hidden="1" customHeight="1" x14ac:dyDescent="0.25">
      <c r="A356" s="451">
        <v>5292</v>
      </c>
      <c r="B356" s="423">
        <v>454200</v>
      </c>
      <c r="C356" s="424" t="s">
        <v>321</v>
      </c>
      <c r="D356" s="452"/>
      <c r="E356" s="435"/>
      <c r="F356" s="435"/>
      <c r="G356" s="436">
        <f t="shared" si="92"/>
        <v>0</v>
      </c>
      <c r="H356" s="435"/>
      <c r="I356" s="435"/>
      <c r="J356" s="435"/>
      <c r="K356" s="435"/>
      <c r="L356" s="435"/>
      <c r="M356" s="437"/>
      <c r="N356" s="419" t="e">
        <f t="shared" si="107"/>
        <v>#DIV/0!</v>
      </c>
    </row>
    <row r="357" spans="1:14" ht="12.75" customHeight="1" x14ac:dyDescent="0.25">
      <c r="A357" s="450">
        <v>5293</v>
      </c>
      <c r="B357" s="506">
        <v>460000</v>
      </c>
      <c r="C357" s="416" t="s">
        <v>322</v>
      </c>
      <c r="D357" s="441">
        <f>D362+D365+D368+D371+D374</f>
        <v>0</v>
      </c>
      <c r="E357" s="417">
        <f>E362+E365+E368+E371+E374</f>
        <v>10080</v>
      </c>
      <c r="F357" s="417">
        <f>F362+F365+F368+F371+F374</f>
        <v>10080</v>
      </c>
      <c r="G357" s="417">
        <f t="shared" si="92"/>
        <v>7169</v>
      </c>
      <c r="H357" s="417">
        <f t="shared" ref="H357:M357" si="110">H362+H365+H368+H371+H374</f>
        <v>0</v>
      </c>
      <c r="I357" s="417">
        <f t="shared" si="110"/>
        <v>0</v>
      </c>
      <c r="J357" s="417">
        <f t="shared" si="110"/>
        <v>0</v>
      </c>
      <c r="K357" s="417">
        <f t="shared" si="110"/>
        <v>7169</v>
      </c>
      <c r="L357" s="417">
        <f t="shared" si="110"/>
        <v>0</v>
      </c>
      <c r="M357" s="418">
        <f t="shared" si="110"/>
        <v>0</v>
      </c>
      <c r="N357" s="419">
        <f t="shared" si="107"/>
        <v>0.71121031746031749</v>
      </c>
    </row>
    <row r="358" spans="1:14" ht="12.75" hidden="1" customHeight="1" x14ac:dyDescent="0.25">
      <c r="A358" s="717" t="s">
        <v>0</v>
      </c>
      <c r="B358" s="718" t="s">
        <v>1</v>
      </c>
      <c r="C358" s="719" t="s">
        <v>2</v>
      </c>
      <c r="D358" s="455" t="s">
        <v>217</v>
      </c>
      <c r="E358" s="719" t="s">
        <v>217</v>
      </c>
      <c r="F358" s="508" t="s">
        <v>217</v>
      </c>
      <c r="G358" s="714" t="s">
        <v>198</v>
      </c>
      <c r="H358" s="720"/>
      <c r="I358" s="720"/>
      <c r="J358" s="720"/>
      <c r="K358" s="720"/>
      <c r="L358" s="720"/>
      <c r="M358" s="721"/>
      <c r="N358" s="419" t="e">
        <f t="shared" si="107"/>
        <v>#VALUE!</v>
      </c>
    </row>
    <row r="359" spans="1:14" ht="12.75" hidden="1" customHeight="1" x14ac:dyDescent="0.25">
      <c r="A359" s="717"/>
      <c r="B359" s="718"/>
      <c r="C359" s="719"/>
      <c r="D359" s="455"/>
      <c r="E359" s="719"/>
      <c r="F359" s="508"/>
      <c r="G359" s="714" t="s">
        <v>199</v>
      </c>
      <c r="H359" s="714" t="s">
        <v>200</v>
      </c>
      <c r="I359" s="720"/>
      <c r="J359" s="720"/>
      <c r="K359" s="720"/>
      <c r="L359" s="714" t="s">
        <v>7</v>
      </c>
      <c r="M359" s="722" t="s">
        <v>8</v>
      </c>
      <c r="N359" s="419" t="e">
        <f t="shared" si="107"/>
        <v>#VALUE!</v>
      </c>
    </row>
    <row r="360" spans="1:14" ht="12.75" hidden="1" customHeight="1" x14ac:dyDescent="0.25">
      <c r="A360" s="717"/>
      <c r="B360" s="718"/>
      <c r="C360" s="719"/>
      <c r="D360" s="455"/>
      <c r="E360" s="719"/>
      <c r="F360" s="508"/>
      <c r="G360" s="720"/>
      <c r="H360" s="509" t="s">
        <v>201</v>
      </c>
      <c r="I360" s="509" t="s">
        <v>10</v>
      </c>
      <c r="J360" s="509" t="s">
        <v>11</v>
      </c>
      <c r="K360" s="509" t="s">
        <v>12</v>
      </c>
      <c r="L360" s="720"/>
      <c r="M360" s="721"/>
      <c r="N360" s="419" t="e">
        <f t="shared" si="107"/>
        <v>#DIV/0!</v>
      </c>
    </row>
    <row r="361" spans="1:14" ht="12.75" hidden="1" customHeight="1" x14ac:dyDescent="0.25">
      <c r="A361" s="456" t="s">
        <v>18</v>
      </c>
      <c r="B361" s="507" t="s">
        <v>19</v>
      </c>
      <c r="C361" s="429" t="s">
        <v>20</v>
      </c>
      <c r="D361" s="455" t="s">
        <v>21</v>
      </c>
      <c r="E361" s="429" t="s">
        <v>21</v>
      </c>
      <c r="F361" s="429" t="s">
        <v>21</v>
      </c>
      <c r="G361" s="429" t="s">
        <v>22</v>
      </c>
      <c r="H361" s="429" t="s">
        <v>23</v>
      </c>
      <c r="I361" s="429" t="s">
        <v>24</v>
      </c>
      <c r="J361" s="429" t="s">
        <v>25</v>
      </c>
      <c r="K361" s="429" t="s">
        <v>26</v>
      </c>
      <c r="L361" s="429" t="s">
        <v>27</v>
      </c>
      <c r="M361" s="434" t="s">
        <v>28</v>
      </c>
      <c r="N361" s="419">
        <f t="shared" si="107"/>
        <v>1.25</v>
      </c>
    </row>
    <row r="362" spans="1:14" ht="12.75" hidden="1" customHeight="1" x14ac:dyDescent="0.25">
      <c r="A362" s="450">
        <v>5294</v>
      </c>
      <c r="B362" s="506">
        <v>461000</v>
      </c>
      <c r="C362" s="416" t="s">
        <v>323</v>
      </c>
      <c r="D362" s="441">
        <f>D363+D364</f>
        <v>0</v>
      </c>
      <c r="E362" s="417">
        <f>E363+E364</f>
        <v>0</v>
      </c>
      <c r="F362" s="417">
        <f>F363+F364</f>
        <v>0</v>
      </c>
      <c r="G362" s="417">
        <f t="shared" si="92"/>
        <v>0</v>
      </c>
      <c r="H362" s="417">
        <f t="shared" ref="H362:M362" si="111">H363+H364</f>
        <v>0</v>
      </c>
      <c r="I362" s="417">
        <f t="shared" si="111"/>
        <v>0</v>
      </c>
      <c r="J362" s="417">
        <f t="shared" si="111"/>
        <v>0</v>
      </c>
      <c r="K362" s="417">
        <f t="shared" si="111"/>
        <v>0</v>
      </c>
      <c r="L362" s="417">
        <f t="shared" si="111"/>
        <v>0</v>
      </c>
      <c r="M362" s="418">
        <f t="shared" si="111"/>
        <v>0</v>
      </c>
      <c r="N362" s="419" t="e">
        <f t="shared" si="107"/>
        <v>#DIV/0!</v>
      </c>
    </row>
    <row r="363" spans="1:14" ht="12.75" hidden="1" customHeight="1" x14ac:dyDescent="0.25">
      <c r="A363" s="451">
        <v>5295</v>
      </c>
      <c r="B363" s="423">
        <v>461100</v>
      </c>
      <c r="C363" s="424" t="s">
        <v>324</v>
      </c>
      <c r="D363" s="452"/>
      <c r="E363" s="435"/>
      <c r="F363" s="435"/>
      <c r="G363" s="436">
        <f t="shared" si="92"/>
        <v>0</v>
      </c>
      <c r="H363" s="435"/>
      <c r="I363" s="435"/>
      <c r="J363" s="435"/>
      <c r="K363" s="435"/>
      <c r="L363" s="435"/>
      <c r="M363" s="437"/>
      <c r="N363" s="419" t="e">
        <f t="shared" si="107"/>
        <v>#DIV/0!</v>
      </c>
    </row>
    <row r="364" spans="1:14" ht="12.75" hidden="1" customHeight="1" x14ac:dyDescent="0.25">
      <c r="A364" s="451">
        <v>5296</v>
      </c>
      <c r="B364" s="423">
        <v>461200</v>
      </c>
      <c r="C364" s="424" t="s">
        <v>325</v>
      </c>
      <c r="D364" s="452"/>
      <c r="E364" s="435"/>
      <c r="F364" s="435"/>
      <c r="G364" s="436">
        <f t="shared" si="92"/>
        <v>0</v>
      </c>
      <c r="H364" s="435"/>
      <c r="I364" s="435"/>
      <c r="J364" s="435"/>
      <c r="K364" s="435"/>
      <c r="L364" s="435"/>
      <c r="M364" s="437"/>
      <c r="N364" s="419" t="e">
        <f t="shared" si="107"/>
        <v>#DIV/0!</v>
      </c>
    </row>
    <row r="365" spans="1:14" ht="12.75" hidden="1" customHeight="1" x14ac:dyDescent="0.25">
      <c r="A365" s="450">
        <v>5297</v>
      </c>
      <c r="B365" s="506">
        <v>462000</v>
      </c>
      <c r="C365" s="416" t="s">
        <v>326</v>
      </c>
      <c r="D365" s="441">
        <f>D366+D367</f>
        <v>0</v>
      </c>
      <c r="E365" s="417">
        <f>E366+E367</f>
        <v>0</v>
      </c>
      <c r="F365" s="417">
        <f>F366+F367</f>
        <v>0</v>
      </c>
      <c r="G365" s="417">
        <f t="shared" si="92"/>
        <v>0</v>
      </c>
      <c r="H365" s="417">
        <f t="shared" ref="H365:M365" si="112">H366+H367</f>
        <v>0</v>
      </c>
      <c r="I365" s="417">
        <f t="shared" si="112"/>
        <v>0</v>
      </c>
      <c r="J365" s="417">
        <f t="shared" si="112"/>
        <v>0</v>
      </c>
      <c r="K365" s="417">
        <f t="shared" si="112"/>
        <v>0</v>
      </c>
      <c r="L365" s="417">
        <f t="shared" si="112"/>
        <v>0</v>
      </c>
      <c r="M365" s="418">
        <f t="shared" si="112"/>
        <v>0</v>
      </c>
      <c r="N365" s="419" t="e">
        <f t="shared" si="107"/>
        <v>#DIV/0!</v>
      </c>
    </row>
    <row r="366" spans="1:14" ht="12.75" hidden="1" customHeight="1" x14ac:dyDescent="0.25">
      <c r="A366" s="451">
        <v>5298</v>
      </c>
      <c r="B366" s="423">
        <v>462100</v>
      </c>
      <c r="C366" s="424" t="s">
        <v>327</v>
      </c>
      <c r="D366" s="452"/>
      <c r="E366" s="435"/>
      <c r="F366" s="435"/>
      <c r="G366" s="436">
        <f t="shared" si="92"/>
        <v>0</v>
      </c>
      <c r="H366" s="435"/>
      <c r="I366" s="435"/>
      <c r="J366" s="435"/>
      <c r="K366" s="435"/>
      <c r="L366" s="435"/>
      <c r="M366" s="437"/>
      <c r="N366" s="419" t="e">
        <f t="shared" si="107"/>
        <v>#DIV/0!</v>
      </c>
    </row>
    <row r="367" spans="1:14" ht="12.75" hidden="1" customHeight="1" x14ac:dyDescent="0.25">
      <c r="A367" s="451">
        <v>5299</v>
      </c>
      <c r="B367" s="423">
        <v>462200</v>
      </c>
      <c r="C367" s="424" t="s">
        <v>328</v>
      </c>
      <c r="D367" s="452"/>
      <c r="E367" s="435"/>
      <c r="F367" s="435"/>
      <c r="G367" s="436">
        <f t="shared" si="92"/>
        <v>0</v>
      </c>
      <c r="H367" s="435"/>
      <c r="I367" s="435"/>
      <c r="J367" s="435"/>
      <c r="K367" s="435"/>
      <c r="L367" s="435"/>
      <c r="M367" s="437"/>
      <c r="N367" s="419" t="e">
        <f t="shared" si="107"/>
        <v>#DIV/0!</v>
      </c>
    </row>
    <row r="368" spans="1:14" ht="12.75" hidden="1" customHeight="1" x14ac:dyDescent="0.25">
      <c r="A368" s="450">
        <v>5300</v>
      </c>
      <c r="B368" s="506">
        <v>463000</v>
      </c>
      <c r="C368" s="416" t="s">
        <v>329</v>
      </c>
      <c r="D368" s="441">
        <f>D369+D370</f>
        <v>0</v>
      </c>
      <c r="E368" s="417">
        <f>E369+E370</f>
        <v>0</v>
      </c>
      <c r="F368" s="417">
        <f>F369+F370</f>
        <v>0</v>
      </c>
      <c r="G368" s="417">
        <f t="shared" ref="G368:G440" si="113">SUM(H368:M368)</f>
        <v>0</v>
      </c>
      <c r="H368" s="417">
        <f t="shared" ref="H368:M368" si="114">H369+H370</f>
        <v>0</v>
      </c>
      <c r="I368" s="417">
        <f t="shared" si="114"/>
        <v>0</v>
      </c>
      <c r="J368" s="417">
        <f t="shared" si="114"/>
        <v>0</v>
      </c>
      <c r="K368" s="417">
        <f t="shared" si="114"/>
        <v>0</v>
      </c>
      <c r="L368" s="417">
        <f t="shared" si="114"/>
        <v>0</v>
      </c>
      <c r="M368" s="418">
        <f t="shared" si="114"/>
        <v>0</v>
      </c>
      <c r="N368" s="419" t="e">
        <f t="shared" si="107"/>
        <v>#DIV/0!</v>
      </c>
    </row>
    <row r="369" spans="1:14" ht="12.75" hidden="1" customHeight="1" x14ac:dyDescent="0.25">
      <c r="A369" s="451">
        <v>5301</v>
      </c>
      <c r="B369" s="423">
        <v>463100</v>
      </c>
      <c r="C369" s="424" t="s">
        <v>330</v>
      </c>
      <c r="D369" s="452"/>
      <c r="E369" s="435"/>
      <c r="F369" s="435"/>
      <c r="G369" s="436">
        <f t="shared" si="113"/>
        <v>0</v>
      </c>
      <c r="H369" s="435"/>
      <c r="I369" s="435"/>
      <c r="J369" s="435"/>
      <c r="K369" s="435"/>
      <c r="L369" s="435"/>
      <c r="M369" s="437"/>
      <c r="N369" s="419" t="e">
        <f t="shared" si="107"/>
        <v>#DIV/0!</v>
      </c>
    </row>
    <row r="370" spans="1:14" ht="12.75" hidden="1" customHeight="1" x14ac:dyDescent="0.25">
      <c r="A370" s="451">
        <v>5302</v>
      </c>
      <c r="B370" s="423">
        <v>463200</v>
      </c>
      <c r="C370" s="424" t="s">
        <v>331</v>
      </c>
      <c r="D370" s="452"/>
      <c r="E370" s="435"/>
      <c r="F370" s="435"/>
      <c r="G370" s="436">
        <f t="shared" si="113"/>
        <v>0</v>
      </c>
      <c r="H370" s="435"/>
      <c r="I370" s="435"/>
      <c r="J370" s="435"/>
      <c r="K370" s="435"/>
      <c r="L370" s="435"/>
      <c r="M370" s="437"/>
      <c r="N370" s="419" t="e">
        <f t="shared" si="107"/>
        <v>#DIV/0!</v>
      </c>
    </row>
    <row r="371" spans="1:14" ht="12.75" hidden="1" customHeight="1" x14ac:dyDescent="0.25">
      <c r="A371" s="450">
        <v>5303</v>
      </c>
      <c r="B371" s="506">
        <v>464000</v>
      </c>
      <c r="C371" s="416" t="s">
        <v>332</v>
      </c>
      <c r="D371" s="441">
        <f>D372+D373</f>
        <v>0</v>
      </c>
      <c r="E371" s="417">
        <f>E372+E373</f>
        <v>0</v>
      </c>
      <c r="F371" s="417">
        <f>F372+F373</f>
        <v>0</v>
      </c>
      <c r="G371" s="417">
        <f t="shared" si="113"/>
        <v>0</v>
      </c>
      <c r="H371" s="417">
        <f t="shared" ref="H371:M371" si="115">H372+H373</f>
        <v>0</v>
      </c>
      <c r="I371" s="417">
        <f t="shared" si="115"/>
        <v>0</v>
      </c>
      <c r="J371" s="417">
        <f t="shared" si="115"/>
        <v>0</v>
      </c>
      <c r="K371" s="417">
        <f t="shared" si="115"/>
        <v>0</v>
      </c>
      <c r="L371" s="417">
        <f t="shared" si="115"/>
        <v>0</v>
      </c>
      <c r="M371" s="418">
        <f t="shared" si="115"/>
        <v>0</v>
      </c>
      <c r="N371" s="419" t="e">
        <f t="shared" si="107"/>
        <v>#DIV/0!</v>
      </c>
    </row>
    <row r="372" spans="1:14" ht="12.75" hidden="1" customHeight="1" x14ac:dyDescent="0.25">
      <c r="A372" s="451">
        <v>5304</v>
      </c>
      <c r="B372" s="423">
        <v>464100</v>
      </c>
      <c r="C372" s="424" t="s">
        <v>333</v>
      </c>
      <c r="D372" s="452"/>
      <c r="E372" s="435"/>
      <c r="F372" s="435"/>
      <c r="G372" s="436">
        <f t="shared" si="113"/>
        <v>0</v>
      </c>
      <c r="H372" s="435"/>
      <c r="I372" s="435"/>
      <c r="J372" s="435"/>
      <c r="K372" s="435"/>
      <c r="L372" s="435"/>
      <c r="M372" s="437"/>
      <c r="N372" s="419" t="e">
        <f t="shared" si="107"/>
        <v>#DIV/0!</v>
      </c>
    </row>
    <row r="373" spans="1:14" ht="12.75" hidden="1" customHeight="1" x14ac:dyDescent="0.25">
      <c r="A373" s="451">
        <v>5305</v>
      </c>
      <c r="B373" s="423">
        <v>464200</v>
      </c>
      <c r="C373" s="424" t="s">
        <v>334</v>
      </c>
      <c r="D373" s="452"/>
      <c r="E373" s="435"/>
      <c r="F373" s="435"/>
      <c r="G373" s="436">
        <f t="shared" si="113"/>
        <v>0</v>
      </c>
      <c r="H373" s="435"/>
      <c r="I373" s="435"/>
      <c r="J373" s="435"/>
      <c r="K373" s="435"/>
      <c r="L373" s="435"/>
      <c r="M373" s="437"/>
      <c r="N373" s="419" t="e">
        <f t="shared" si="107"/>
        <v>#DIV/0!</v>
      </c>
    </row>
    <row r="374" spans="1:14" ht="12.75" customHeight="1" x14ac:dyDescent="0.25">
      <c r="A374" s="450">
        <v>5306</v>
      </c>
      <c r="B374" s="506">
        <v>465000</v>
      </c>
      <c r="C374" s="416" t="s">
        <v>335</v>
      </c>
      <c r="D374" s="441">
        <f>D375+D376</f>
        <v>0</v>
      </c>
      <c r="E374" s="417">
        <f>E375+E376</f>
        <v>10080</v>
      </c>
      <c r="F374" s="417">
        <f>F375+F376</f>
        <v>10080</v>
      </c>
      <c r="G374" s="417">
        <f t="shared" si="113"/>
        <v>7169</v>
      </c>
      <c r="H374" s="417">
        <f t="shared" ref="H374:M374" si="116">H375+H376</f>
        <v>0</v>
      </c>
      <c r="I374" s="417">
        <f t="shared" si="116"/>
        <v>0</v>
      </c>
      <c r="J374" s="417">
        <f t="shared" si="116"/>
        <v>0</v>
      </c>
      <c r="K374" s="417">
        <f t="shared" si="116"/>
        <v>7169</v>
      </c>
      <c r="L374" s="417">
        <f t="shared" si="116"/>
        <v>0</v>
      </c>
      <c r="M374" s="418">
        <f t="shared" si="116"/>
        <v>0</v>
      </c>
      <c r="N374" s="419">
        <f t="shared" si="107"/>
        <v>0.71121031746031749</v>
      </c>
    </row>
    <row r="375" spans="1:14" ht="12.75" customHeight="1" x14ac:dyDescent="0.25">
      <c r="A375" s="451">
        <v>5307</v>
      </c>
      <c r="B375" s="423">
        <v>465100</v>
      </c>
      <c r="C375" s="424" t="s">
        <v>336</v>
      </c>
      <c r="D375" s="452">
        <v>0</v>
      </c>
      <c r="E375" s="435">
        <v>10080</v>
      </c>
      <c r="F375" s="435">
        <f>D375+E375</f>
        <v>10080</v>
      </c>
      <c r="G375" s="436">
        <f t="shared" si="113"/>
        <v>7169</v>
      </c>
      <c r="H375" s="435"/>
      <c r="I375" s="435"/>
      <c r="J375" s="435"/>
      <c r="K375" s="435">
        <v>7169</v>
      </c>
      <c r="L375" s="435"/>
      <c r="M375" s="437"/>
      <c r="N375" s="419">
        <f t="shared" si="107"/>
        <v>0.71121031746031749</v>
      </c>
    </row>
    <row r="376" spans="1:14" ht="12.75" hidden="1" customHeight="1" x14ac:dyDescent="0.25">
      <c r="A376" s="451">
        <v>5308</v>
      </c>
      <c r="B376" s="423">
        <v>465200</v>
      </c>
      <c r="C376" s="424" t="s">
        <v>337</v>
      </c>
      <c r="D376" s="452"/>
      <c r="E376" s="435"/>
      <c r="F376" s="435"/>
      <c r="G376" s="436">
        <f t="shared" si="113"/>
        <v>0</v>
      </c>
      <c r="H376" s="435"/>
      <c r="I376" s="435"/>
      <c r="J376" s="435"/>
      <c r="K376" s="435"/>
      <c r="L376" s="435"/>
      <c r="M376" s="437"/>
      <c r="N376" s="419" t="e">
        <f t="shared" si="107"/>
        <v>#DIV/0!</v>
      </c>
    </row>
    <row r="377" spans="1:14" ht="12.75" hidden="1" customHeight="1" x14ac:dyDescent="0.25">
      <c r="A377" s="450">
        <v>5309</v>
      </c>
      <c r="B377" s="506">
        <v>470000</v>
      </c>
      <c r="C377" s="416" t="s">
        <v>338</v>
      </c>
      <c r="D377" s="441">
        <f>D378+D382</f>
        <v>0</v>
      </c>
      <c r="E377" s="417">
        <f>E378+E382</f>
        <v>0</v>
      </c>
      <c r="F377" s="417">
        <f>F378+F382</f>
        <v>0</v>
      </c>
      <c r="G377" s="417">
        <f t="shared" si="113"/>
        <v>0</v>
      </c>
      <c r="H377" s="417">
        <f t="shared" ref="H377:M377" si="117">H378+H382</f>
        <v>0</v>
      </c>
      <c r="I377" s="417">
        <f t="shared" si="117"/>
        <v>0</v>
      </c>
      <c r="J377" s="417">
        <f t="shared" si="117"/>
        <v>0</v>
      </c>
      <c r="K377" s="417">
        <f t="shared" si="117"/>
        <v>0</v>
      </c>
      <c r="L377" s="417">
        <f t="shared" si="117"/>
        <v>0</v>
      </c>
      <c r="M377" s="418">
        <f t="shared" si="117"/>
        <v>0</v>
      </c>
      <c r="N377" s="419" t="e">
        <f t="shared" si="107"/>
        <v>#DIV/0!</v>
      </c>
    </row>
    <row r="378" spans="1:14" ht="12.75" hidden="1" customHeight="1" x14ac:dyDescent="0.25">
      <c r="A378" s="450">
        <v>5310</v>
      </c>
      <c r="B378" s="506">
        <v>471000</v>
      </c>
      <c r="C378" s="416" t="s">
        <v>339</v>
      </c>
      <c r="D378" s="441">
        <f>SUM(D379:D381)</f>
        <v>0</v>
      </c>
      <c r="E378" s="417">
        <f>SUM(E379:E381)</f>
        <v>0</v>
      </c>
      <c r="F378" s="417">
        <f>SUM(F379:F381)</f>
        <v>0</v>
      </c>
      <c r="G378" s="417">
        <f t="shared" si="113"/>
        <v>0</v>
      </c>
      <c r="H378" s="417">
        <f t="shared" ref="H378:M378" si="118">SUM(H379:H381)</f>
        <v>0</v>
      </c>
      <c r="I378" s="417">
        <f t="shared" si="118"/>
        <v>0</v>
      </c>
      <c r="J378" s="417">
        <f t="shared" si="118"/>
        <v>0</v>
      </c>
      <c r="K378" s="417">
        <f t="shared" si="118"/>
        <v>0</v>
      </c>
      <c r="L378" s="417">
        <f t="shared" si="118"/>
        <v>0</v>
      </c>
      <c r="M378" s="418">
        <f t="shared" si="118"/>
        <v>0</v>
      </c>
      <c r="N378" s="419" t="e">
        <f t="shared" si="107"/>
        <v>#DIV/0!</v>
      </c>
    </row>
    <row r="379" spans="1:14" ht="12.75" hidden="1" customHeight="1" x14ac:dyDescent="0.25">
      <c r="A379" s="451">
        <v>5311</v>
      </c>
      <c r="B379" s="423">
        <v>471100</v>
      </c>
      <c r="C379" s="424" t="s">
        <v>340</v>
      </c>
      <c r="D379" s="452"/>
      <c r="E379" s="435"/>
      <c r="F379" s="435"/>
      <c r="G379" s="436">
        <f t="shared" si="113"/>
        <v>0</v>
      </c>
      <c r="H379" s="435"/>
      <c r="I379" s="435"/>
      <c r="J379" s="435"/>
      <c r="K379" s="435"/>
      <c r="L379" s="435"/>
      <c r="M379" s="437"/>
      <c r="N379" s="419" t="e">
        <f t="shared" si="107"/>
        <v>#DIV/0!</v>
      </c>
    </row>
    <row r="380" spans="1:14" ht="12.75" hidden="1" customHeight="1" x14ac:dyDescent="0.25">
      <c r="A380" s="451">
        <v>5312</v>
      </c>
      <c r="B380" s="423">
        <v>471200</v>
      </c>
      <c r="C380" s="424" t="s">
        <v>341</v>
      </c>
      <c r="D380" s="452"/>
      <c r="E380" s="435"/>
      <c r="F380" s="435"/>
      <c r="G380" s="436">
        <f t="shared" si="113"/>
        <v>0</v>
      </c>
      <c r="H380" s="435"/>
      <c r="I380" s="435"/>
      <c r="J380" s="435"/>
      <c r="K380" s="435"/>
      <c r="L380" s="435"/>
      <c r="M380" s="437"/>
      <c r="N380" s="419" t="e">
        <f t="shared" si="107"/>
        <v>#DIV/0!</v>
      </c>
    </row>
    <row r="381" spans="1:14" ht="12.75" hidden="1" customHeight="1" x14ac:dyDescent="0.25">
      <c r="A381" s="451">
        <v>5313</v>
      </c>
      <c r="B381" s="423">
        <v>471900</v>
      </c>
      <c r="C381" s="424" t="s">
        <v>342</v>
      </c>
      <c r="D381" s="452"/>
      <c r="E381" s="435"/>
      <c r="F381" s="435"/>
      <c r="G381" s="436">
        <f t="shared" si="113"/>
        <v>0</v>
      </c>
      <c r="H381" s="435"/>
      <c r="I381" s="435"/>
      <c r="J381" s="435"/>
      <c r="K381" s="435"/>
      <c r="L381" s="435"/>
      <c r="M381" s="437"/>
      <c r="N381" s="419" t="e">
        <f t="shared" si="107"/>
        <v>#DIV/0!</v>
      </c>
    </row>
    <row r="382" spans="1:14" ht="12.75" hidden="1" customHeight="1" x14ac:dyDescent="0.25">
      <c r="A382" s="450">
        <v>5314</v>
      </c>
      <c r="B382" s="506">
        <v>472000</v>
      </c>
      <c r="C382" s="416" t="s">
        <v>343</v>
      </c>
      <c r="D382" s="441">
        <f>SUM(D387:D395)</f>
        <v>0</v>
      </c>
      <c r="E382" s="417">
        <f>SUM(E387:E395)</f>
        <v>0</v>
      </c>
      <c r="F382" s="417">
        <f>SUM(F387:F395)</f>
        <v>0</v>
      </c>
      <c r="G382" s="417">
        <f t="shared" si="113"/>
        <v>0</v>
      </c>
      <c r="H382" s="417">
        <f t="shared" ref="H382:M382" si="119">SUM(H387:H395)</f>
        <v>0</v>
      </c>
      <c r="I382" s="417">
        <f t="shared" si="119"/>
        <v>0</v>
      </c>
      <c r="J382" s="417">
        <f t="shared" si="119"/>
        <v>0</v>
      </c>
      <c r="K382" s="417">
        <f t="shared" si="119"/>
        <v>0</v>
      </c>
      <c r="L382" s="417">
        <f t="shared" si="119"/>
        <v>0</v>
      </c>
      <c r="M382" s="418">
        <f t="shared" si="119"/>
        <v>0</v>
      </c>
      <c r="N382" s="419" t="e">
        <f t="shared" si="107"/>
        <v>#DIV/0!</v>
      </c>
    </row>
    <row r="383" spans="1:14" ht="12.75" hidden="1" customHeight="1" x14ac:dyDescent="0.25">
      <c r="A383" s="717" t="s">
        <v>0</v>
      </c>
      <c r="B383" s="718" t="s">
        <v>1</v>
      </c>
      <c r="C383" s="719" t="s">
        <v>2</v>
      </c>
      <c r="D383" s="455" t="s">
        <v>217</v>
      </c>
      <c r="E383" s="719" t="s">
        <v>217</v>
      </c>
      <c r="F383" s="508" t="s">
        <v>217</v>
      </c>
      <c r="G383" s="714" t="s">
        <v>198</v>
      </c>
      <c r="H383" s="720"/>
      <c r="I383" s="720"/>
      <c r="J383" s="720"/>
      <c r="K383" s="720"/>
      <c r="L383" s="720"/>
      <c r="M383" s="721"/>
      <c r="N383" s="419" t="e">
        <f t="shared" si="107"/>
        <v>#VALUE!</v>
      </c>
    </row>
    <row r="384" spans="1:14" ht="12.75" hidden="1" customHeight="1" x14ac:dyDescent="0.25">
      <c r="A384" s="717"/>
      <c r="B384" s="718"/>
      <c r="C384" s="719"/>
      <c r="D384" s="455"/>
      <c r="E384" s="719"/>
      <c r="F384" s="508"/>
      <c r="G384" s="714" t="s">
        <v>199</v>
      </c>
      <c r="H384" s="714" t="s">
        <v>200</v>
      </c>
      <c r="I384" s="720"/>
      <c r="J384" s="720"/>
      <c r="K384" s="720"/>
      <c r="L384" s="714" t="s">
        <v>7</v>
      </c>
      <c r="M384" s="722" t="s">
        <v>8</v>
      </c>
      <c r="N384" s="419" t="e">
        <f t="shared" si="107"/>
        <v>#VALUE!</v>
      </c>
    </row>
    <row r="385" spans="1:14" ht="12.75" hidden="1" customHeight="1" x14ac:dyDescent="0.25">
      <c r="A385" s="717"/>
      <c r="B385" s="718"/>
      <c r="C385" s="719"/>
      <c r="D385" s="455"/>
      <c r="E385" s="719"/>
      <c r="F385" s="508"/>
      <c r="G385" s="720"/>
      <c r="H385" s="509" t="s">
        <v>201</v>
      </c>
      <c r="I385" s="509" t="s">
        <v>10</v>
      </c>
      <c r="J385" s="509" t="s">
        <v>11</v>
      </c>
      <c r="K385" s="509" t="s">
        <v>12</v>
      </c>
      <c r="L385" s="720"/>
      <c r="M385" s="721"/>
      <c r="N385" s="419" t="e">
        <f t="shared" si="107"/>
        <v>#DIV/0!</v>
      </c>
    </row>
    <row r="386" spans="1:14" ht="12.75" hidden="1" customHeight="1" x14ac:dyDescent="0.25">
      <c r="A386" s="456" t="s">
        <v>18</v>
      </c>
      <c r="B386" s="507" t="s">
        <v>19</v>
      </c>
      <c r="C386" s="429" t="s">
        <v>20</v>
      </c>
      <c r="D386" s="455" t="s">
        <v>21</v>
      </c>
      <c r="E386" s="429" t="s">
        <v>21</v>
      </c>
      <c r="F386" s="429" t="s">
        <v>21</v>
      </c>
      <c r="G386" s="429" t="s">
        <v>22</v>
      </c>
      <c r="H386" s="429" t="s">
        <v>23</v>
      </c>
      <c r="I386" s="429" t="s">
        <v>24</v>
      </c>
      <c r="J386" s="429" t="s">
        <v>25</v>
      </c>
      <c r="K386" s="429" t="s">
        <v>26</v>
      </c>
      <c r="L386" s="429" t="s">
        <v>27</v>
      </c>
      <c r="M386" s="434" t="s">
        <v>28</v>
      </c>
      <c r="N386" s="419">
        <f t="shared" si="107"/>
        <v>1.25</v>
      </c>
    </row>
    <row r="387" spans="1:14" ht="12.75" hidden="1" customHeight="1" x14ac:dyDescent="0.25">
      <c r="A387" s="451">
        <v>5315</v>
      </c>
      <c r="B387" s="423">
        <v>472100</v>
      </c>
      <c r="C387" s="424" t="s">
        <v>344</v>
      </c>
      <c r="D387" s="452"/>
      <c r="E387" s="435"/>
      <c r="F387" s="435"/>
      <c r="G387" s="436">
        <f t="shared" si="113"/>
        <v>0</v>
      </c>
      <c r="H387" s="435"/>
      <c r="I387" s="435"/>
      <c r="J387" s="435"/>
      <c r="K387" s="435"/>
      <c r="L387" s="435"/>
      <c r="M387" s="437"/>
      <c r="N387" s="419" t="e">
        <f t="shared" si="107"/>
        <v>#DIV/0!</v>
      </c>
    </row>
    <row r="388" spans="1:14" ht="12.75" hidden="1" customHeight="1" x14ac:dyDescent="0.25">
      <c r="A388" s="451">
        <v>5316</v>
      </c>
      <c r="B388" s="423">
        <v>472200</v>
      </c>
      <c r="C388" s="424" t="s">
        <v>345</v>
      </c>
      <c r="D388" s="452"/>
      <c r="E388" s="435"/>
      <c r="F388" s="435"/>
      <c r="G388" s="436">
        <f t="shared" si="113"/>
        <v>0</v>
      </c>
      <c r="H388" s="435"/>
      <c r="I388" s="435"/>
      <c r="J388" s="435"/>
      <c r="K388" s="435"/>
      <c r="L388" s="435"/>
      <c r="M388" s="437"/>
      <c r="N388" s="419" t="e">
        <f t="shared" si="107"/>
        <v>#DIV/0!</v>
      </c>
    </row>
    <row r="389" spans="1:14" ht="12.75" hidden="1" customHeight="1" x14ac:dyDescent="0.25">
      <c r="A389" s="451">
        <v>5317</v>
      </c>
      <c r="B389" s="423">
        <v>472300</v>
      </c>
      <c r="C389" s="424" t="s">
        <v>346</v>
      </c>
      <c r="D389" s="452"/>
      <c r="E389" s="435"/>
      <c r="F389" s="435"/>
      <c r="G389" s="436">
        <f t="shared" si="113"/>
        <v>0</v>
      </c>
      <c r="H389" s="435"/>
      <c r="I389" s="435"/>
      <c r="J389" s="435"/>
      <c r="K389" s="435"/>
      <c r="L389" s="435"/>
      <c r="M389" s="437"/>
      <c r="N389" s="419" t="e">
        <f t="shared" si="107"/>
        <v>#DIV/0!</v>
      </c>
    </row>
    <row r="390" spans="1:14" ht="12.75" hidden="1" customHeight="1" x14ac:dyDescent="0.25">
      <c r="A390" s="451">
        <v>5318</v>
      </c>
      <c r="B390" s="423">
        <v>472400</v>
      </c>
      <c r="C390" s="424" t="s">
        <v>347</v>
      </c>
      <c r="D390" s="452"/>
      <c r="E390" s="435"/>
      <c r="F390" s="435"/>
      <c r="G390" s="436">
        <f t="shared" si="113"/>
        <v>0</v>
      </c>
      <c r="H390" s="435"/>
      <c r="I390" s="435"/>
      <c r="J390" s="435"/>
      <c r="K390" s="435"/>
      <c r="L390" s="435"/>
      <c r="M390" s="437"/>
      <c r="N390" s="419" t="e">
        <f t="shared" si="107"/>
        <v>#DIV/0!</v>
      </c>
    </row>
    <row r="391" spans="1:14" ht="12.75" hidden="1" customHeight="1" x14ac:dyDescent="0.25">
      <c r="A391" s="451">
        <v>5319</v>
      </c>
      <c r="B391" s="423">
        <v>472500</v>
      </c>
      <c r="C391" s="424" t="s">
        <v>348</v>
      </c>
      <c r="D391" s="452"/>
      <c r="E391" s="435"/>
      <c r="F391" s="435"/>
      <c r="G391" s="436">
        <f t="shared" si="113"/>
        <v>0</v>
      </c>
      <c r="H391" s="435"/>
      <c r="I391" s="435"/>
      <c r="J391" s="435"/>
      <c r="K391" s="435"/>
      <c r="L391" s="435"/>
      <c r="M391" s="437"/>
      <c r="N391" s="419" t="e">
        <f t="shared" si="107"/>
        <v>#DIV/0!</v>
      </c>
    </row>
    <row r="392" spans="1:14" ht="12.75" hidden="1" customHeight="1" x14ac:dyDescent="0.25">
      <c r="A392" s="451">
        <v>5320</v>
      </c>
      <c r="B392" s="423">
        <v>472600</v>
      </c>
      <c r="C392" s="424" t="s">
        <v>349</v>
      </c>
      <c r="D392" s="452"/>
      <c r="E392" s="435"/>
      <c r="F392" s="435"/>
      <c r="G392" s="436">
        <f t="shared" si="113"/>
        <v>0</v>
      </c>
      <c r="H392" s="435"/>
      <c r="I392" s="435"/>
      <c r="J392" s="435"/>
      <c r="K392" s="435"/>
      <c r="L392" s="435"/>
      <c r="M392" s="437"/>
      <c r="N392" s="419" t="e">
        <f t="shared" si="107"/>
        <v>#DIV/0!</v>
      </c>
    </row>
    <row r="393" spans="1:14" ht="12.75" hidden="1" customHeight="1" x14ac:dyDescent="0.25">
      <c r="A393" s="451">
        <v>5321</v>
      </c>
      <c r="B393" s="423">
        <v>472700</v>
      </c>
      <c r="C393" s="424" t="s">
        <v>350</v>
      </c>
      <c r="D393" s="452"/>
      <c r="E393" s="435"/>
      <c r="F393" s="435"/>
      <c r="G393" s="436">
        <f t="shared" si="113"/>
        <v>0</v>
      </c>
      <c r="H393" s="435"/>
      <c r="I393" s="435"/>
      <c r="J393" s="435"/>
      <c r="K393" s="435"/>
      <c r="L393" s="435"/>
      <c r="M393" s="437"/>
      <c r="N393" s="419" t="e">
        <f t="shared" si="107"/>
        <v>#DIV/0!</v>
      </c>
    </row>
    <row r="394" spans="1:14" ht="12.75" hidden="1" customHeight="1" x14ac:dyDescent="0.25">
      <c r="A394" s="451">
        <v>5322</v>
      </c>
      <c r="B394" s="423">
        <v>472800</v>
      </c>
      <c r="C394" s="424" t="s">
        <v>351</v>
      </c>
      <c r="D394" s="452"/>
      <c r="E394" s="435"/>
      <c r="F394" s="435"/>
      <c r="G394" s="436">
        <f t="shared" si="113"/>
        <v>0</v>
      </c>
      <c r="H394" s="435"/>
      <c r="I394" s="435"/>
      <c r="J394" s="435"/>
      <c r="K394" s="435"/>
      <c r="L394" s="435"/>
      <c r="M394" s="437"/>
      <c r="N394" s="419" t="e">
        <f t="shared" si="107"/>
        <v>#DIV/0!</v>
      </c>
    </row>
    <row r="395" spans="1:14" ht="12.75" hidden="1" customHeight="1" x14ac:dyDescent="0.25">
      <c r="A395" s="451">
        <v>5323</v>
      </c>
      <c r="B395" s="423">
        <v>472900</v>
      </c>
      <c r="C395" s="424" t="s">
        <v>352</v>
      </c>
      <c r="D395" s="452"/>
      <c r="E395" s="435"/>
      <c r="F395" s="435"/>
      <c r="G395" s="436">
        <f t="shared" si="113"/>
        <v>0</v>
      </c>
      <c r="H395" s="435"/>
      <c r="I395" s="435"/>
      <c r="J395" s="435"/>
      <c r="K395" s="435"/>
      <c r="L395" s="435"/>
      <c r="M395" s="437"/>
      <c r="N395" s="419" t="e">
        <f t="shared" si="107"/>
        <v>#DIV/0!</v>
      </c>
    </row>
    <row r="396" spans="1:14" ht="12.75" customHeight="1" x14ac:dyDescent="0.25">
      <c r="A396" s="450">
        <v>5324</v>
      </c>
      <c r="B396" s="506">
        <v>480000</v>
      </c>
      <c r="C396" s="416" t="s">
        <v>353</v>
      </c>
      <c r="D396" s="441">
        <f>D397+D400+D404+D406+D409+D415</f>
        <v>0</v>
      </c>
      <c r="E396" s="417">
        <f>E397+E400+E404+E406+E409+E415</f>
        <v>300</v>
      </c>
      <c r="F396" s="417">
        <f>F397+F400+F404+F406+F409+F415</f>
        <v>300</v>
      </c>
      <c r="G396" s="417">
        <f t="shared" si="113"/>
        <v>273</v>
      </c>
      <c r="H396" s="417">
        <f t="shared" ref="H396:M396" si="120">H397+H400+H404+H406+H409+H415</f>
        <v>0</v>
      </c>
      <c r="I396" s="417">
        <f t="shared" si="120"/>
        <v>0</v>
      </c>
      <c r="J396" s="417">
        <f t="shared" si="120"/>
        <v>0</v>
      </c>
      <c r="K396" s="417">
        <f t="shared" si="120"/>
        <v>122</v>
      </c>
      <c r="L396" s="417">
        <f t="shared" si="120"/>
        <v>0</v>
      </c>
      <c r="M396" s="418">
        <f t="shared" si="120"/>
        <v>151</v>
      </c>
      <c r="N396" s="419">
        <f t="shared" si="107"/>
        <v>0.91</v>
      </c>
    </row>
    <row r="397" spans="1:14" ht="12.75" customHeight="1" x14ac:dyDescent="0.25">
      <c r="A397" s="450">
        <v>5325</v>
      </c>
      <c r="B397" s="506">
        <v>481000</v>
      </c>
      <c r="C397" s="416" t="s">
        <v>354</v>
      </c>
      <c r="D397" s="441">
        <f>D398+D399</f>
        <v>0</v>
      </c>
      <c r="E397" s="417">
        <f>E398+E399</f>
        <v>35</v>
      </c>
      <c r="F397" s="417">
        <f>F398+F399</f>
        <v>35</v>
      </c>
      <c r="G397" s="417">
        <f t="shared" si="113"/>
        <v>30</v>
      </c>
      <c r="H397" s="417">
        <f t="shared" ref="H397:M397" si="121">H398+H399</f>
        <v>0</v>
      </c>
      <c r="I397" s="417">
        <f t="shared" si="121"/>
        <v>0</v>
      </c>
      <c r="J397" s="417">
        <f t="shared" si="121"/>
        <v>0</v>
      </c>
      <c r="K397" s="417">
        <f t="shared" si="121"/>
        <v>0</v>
      </c>
      <c r="L397" s="417">
        <f t="shared" si="121"/>
        <v>0</v>
      </c>
      <c r="M397" s="418">
        <f t="shared" si="121"/>
        <v>30</v>
      </c>
      <c r="N397" s="419">
        <f t="shared" si="107"/>
        <v>0.8571428571428571</v>
      </c>
    </row>
    <row r="398" spans="1:14" ht="12.75" hidden="1" customHeight="1" x14ac:dyDescent="0.25">
      <c r="A398" s="451">
        <v>5326</v>
      </c>
      <c r="B398" s="423">
        <v>481100</v>
      </c>
      <c r="C398" s="424" t="s">
        <v>355</v>
      </c>
      <c r="D398" s="452"/>
      <c r="E398" s="435"/>
      <c r="F398" s="435"/>
      <c r="G398" s="436">
        <f t="shared" si="113"/>
        <v>0</v>
      </c>
      <c r="H398" s="435"/>
      <c r="I398" s="435"/>
      <c r="J398" s="435"/>
      <c r="K398" s="435"/>
      <c r="L398" s="435"/>
      <c r="M398" s="437"/>
      <c r="N398" s="419" t="e">
        <f t="shared" si="107"/>
        <v>#DIV/0!</v>
      </c>
    </row>
    <row r="399" spans="1:14" ht="12.75" customHeight="1" x14ac:dyDescent="0.25">
      <c r="A399" s="451">
        <v>5327</v>
      </c>
      <c r="B399" s="423">
        <v>481900</v>
      </c>
      <c r="C399" s="424" t="s">
        <v>356</v>
      </c>
      <c r="D399" s="452">
        <v>0</v>
      </c>
      <c r="E399" s="435">
        <v>35</v>
      </c>
      <c r="F399" s="435">
        <f>D399+E399</f>
        <v>35</v>
      </c>
      <c r="G399" s="436">
        <f t="shared" si="113"/>
        <v>30</v>
      </c>
      <c r="H399" s="435"/>
      <c r="I399" s="435"/>
      <c r="J399" s="435"/>
      <c r="K399" s="435"/>
      <c r="L399" s="435"/>
      <c r="M399" s="437">
        <v>30</v>
      </c>
      <c r="N399" s="419">
        <f t="shared" si="107"/>
        <v>0.8571428571428571</v>
      </c>
    </row>
    <row r="400" spans="1:14" ht="12.75" customHeight="1" x14ac:dyDescent="0.25">
      <c r="A400" s="450">
        <v>5328</v>
      </c>
      <c r="B400" s="506">
        <v>482000</v>
      </c>
      <c r="C400" s="416" t="s">
        <v>357</v>
      </c>
      <c r="D400" s="441">
        <f>SUM(D401:D403)</f>
        <v>0</v>
      </c>
      <c r="E400" s="417">
        <f>SUM(E401:E403)</f>
        <v>65</v>
      </c>
      <c r="F400" s="417">
        <f>SUM(F401:F403)</f>
        <v>65</v>
      </c>
      <c r="G400" s="417">
        <f t="shared" si="113"/>
        <v>123</v>
      </c>
      <c r="H400" s="417">
        <f t="shared" ref="H400:M400" si="122">SUM(H401:H403)</f>
        <v>0</v>
      </c>
      <c r="I400" s="417">
        <f t="shared" si="122"/>
        <v>0</v>
      </c>
      <c r="J400" s="417">
        <f t="shared" si="122"/>
        <v>0</v>
      </c>
      <c r="K400" s="417">
        <f t="shared" si="122"/>
        <v>122</v>
      </c>
      <c r="L400" s="417">
        <f t="shared" si="122"/>
        <v>0</v>
      </c>
      <c r="M400" s="418">
        <f t="shared" si="122"/>
        <v>1</v>
      </c>
      <c r="N400" s="419">
        <f t="shared" si="107"/>
        <v>1.8923076923076922</v>
      </c>
    </row>
    <row r="401" spans="1:14" ht="12.75" customHeight="1" x14ac:dyDescent="0.25">
      <c r="A401" s="451">
        <v>5329</v>
      </c>
      <c r="B401" s="423">
        <v>482100</v>
      </c>
      <c r="C401" s="424" t="s">
        <v>358</v>
      </c>
      <c r="D401" s="452">
        <v>0</v>
      </c>
      <c r="E401" s="435">
        <v>30</v>
      </c>
      <c r="F401" s="435">
        <f>D401+E401</f>
        <v>30</v>
      </c>
      <c r="G401" s="436">
        <f t="shared" si="113"/>
        <v>102</v>
      </c>
      <c r="H401" s="435"/>
      <c r="I401" s="435"/>
      <c r="J401" s="435"/>
      <c r="K401" s="435">
        <v>101</v>
      </c>
      <c r="L401" s="435"/>
      <c r="M401" s="437">
        <v>1</v>
      </c>
      <c r="N401" s="419">
        <f t="shared" si="107"/>
        <v>3.4</v>
      </c>
    </row>
    <row r="402" spans="1:14" ht="12.75" customHeight="1" x14ac:dyDescent="0.25">
      <c r="A402" s="451">
        <v>5330</v>
      </c>
      <c r="B402" s="423">
        <v>482200</v>
      </c>
      <c r="C402" s="424" t="s">
        <v>359</v>
      </c>
      <c r="D402" s="452">
        <v>0</v>
      </c>
      <c r="E402" s="435">
        <v>25</v>
      </c>
      <c r="F402" s="435">
        <f t="shared" ref="F402:F403" si="123">D402+E402</f>
        <v>25</v>
      </c>
      <c r="G402" s="436">
        <f t="shared" si="113"/>
        <v>21</v>
      </c>
      <c r="H402" s="435"/>
      <c r="I402" s="435"/>
      <c r="J402" s="435"/>
      <c r="K402" s="435">
        <v>21</v>
      </c>
      <c r="L402" s="435"/>
      <c r="M402" s="437"/>
      <c r="N402" s="419">
        <f t="shared" si="107"/>
        <v>0.84</v>
      </c>
    </row>
    <row r="403" spans="1:14" ht="12.75" customHeight="1" x14ac:dyDescent="0.25">
      <c r="A403" s="451">
        <v>5331</v>
      </c>
      <c r="B403" s="423">
        <v>482300</v>
      </c>
      <c r="C403" s="424" t="s">
        <v>360</v>
      </c>
      <c r="D403" s="452">
        <v>0</v>
      </c>
      <c r="E403" s="435">
        <v>10</v>
      </c>
      <c r="F403" s="435">
        <f t="shared" si="123"/>
        <v>10</v>
      </c>
      <c r="G403" s="436">
        <f t="shared" si="113"/>
        <v>0</v>
      </c>
      <c r="H403" s="435"/>
      <c r="I403" s="435"/>
      <c r="J403" s="435"/>
      <c r="K403" s="435"/>
      <c r="L403" s="435"/>
      <c r="M403" s="437"/>
      <c r="N403" s="419">
        <f t="shared" si="107"/>
        <v>0</v>
      </c>
    </row>
    <row r="404" spans="1:14" ht="12.75" customHeight="1" x14ac:dyDescent="0.25">
      <c r="A404" s="450">
        <v>5332</v>
      </c>
      <c r="B404" s="506">
        <v>483000</v>
      </c>
      <c r="C404" s="416" t="s">
        <v>361</v>
      </c>
      <c r="D404" s="441">
        <f>D405</f>
        <v>0</v>
      </c>
      <c r="E404" s="417">
        <f>E405</f>
        <v>200</v>
      </c>
      <c r="F404" s="417">
        <f>F405</f>
        <v>200</v>
      </c>
      <c r="G404" s="417">
        <f t="shared" si="113"/>
        <v>120</v>
      </c>
      <c r="H404" s="417">
        <f t="shared" ref="H404:M404" si="124">H405</f>
        <v>0</v>
      </c>
      <c r="I404" s="417">
        <f t="shared" si="124"/>
        <v>0</v>
      </c>
      <c r="J404" s="417">
        <f t="shared" si="124"/>
        <v>0</v>
      </c>
      <c r="K404" s="417">
        <f t="shared" si="124"/>
        <v>0</v>
      </c>
      <c r="L404" s="417">
        <f t="shared" si="124"/>
        <v>0</v>
      </c>
      <c r="M404" s="418">
        <f t="shared" si="124"/>
        <v>120</v>
      </c>
      <c r="N404" s="419">
        <f t="shared" si="107"/>
        <v>0.6</v>
      </c>
    </row>
    <row r="405" spans="1:14" ht="12.75" customHeight="1" x14ac:dyDescent="0.25">
      <c r="A405" s="451">
        <v>5333</v>
      </c>
      <c r="B405" s="423">
        <v>483100</v>
      </c>
      <c r="C405" s="424" t="s">
        <v>362</v>
      </c>
      <c r="D405" s="452">
        <v>0</v>
      </c>
      <c r="E405" s="435">
        <v>200</v>
      </c>
      <c r="F405" s="435">
        <f>D405+E405</f>
        <v>200</v>
      </c>
      <c r="G405" s="436">
        <f t="shared" si="113"/>
        <v>120</v>
      </c>
      <c r="H405" s="435"/>
      <c r="I405" s="435"/>
      <c r="J405" s="435"/>
      <c r="K405" s="435"/>
      <c r="L405" s="435"/>
      <c r="M405" s="437">
        <f>30+90</f>
        <v>120</v>
      </c>
      <c r="N405" s="419">
        <f t="shared" si="107"/>
        <v>0.6</v>
      </c>
    </row>
    <row r="406" spans="1:14" ht="12.75" hidden="1" customHeight="1" x14ac:dyDescent="0.25">
      <c r="A406" s="450">
        <v>5334</v>
      </c>
      <c r="B406" s="506">
        <v>484000</v>
      </c>
      <c r="C406" s="416" t="s">
        <v>363</v>
      </c>
      <c r="D406" s="441">
        <f>D407+D408</f>
        <v>0</v>
      </c>
      <c r="E406" s="417">
        <f>E407+E408</f>
        <v>0</v>
      </c>
      <c r="F406" s="417">
        <f>F407+F408</f>
        <v>0</v>
      </c>
      <c r="G406" s="417">
        <f t="shared" si="113"/>
        <v>0</v>
      </c>
      <c r="H406" s="417">
        <f t="shared" ref="H406:M406" si="125">H407+H408</f>
        <v>0</v>
      </c>
      <c r="I406" s="417">
        <f t="shared" si="125"/>
        <v>0</v>
      </c>
      <c r="J406" s="417">
        <f t="shared" si="125"/>
        <v>0</v>
      </c>
      <c r="K406" s="417">
        <f t="shared" si="125"/>
        <v>0</v>
      </c>
      <c r="L406" s="417">
        <f t="shared" si="125"/>
        <v>0</v>
      </c>
      <c r="M406" s="418">
        <f t="shared" si="125"/>
        <v>0</v>
      </c>
      <c r="N406" s="419" t="e">
        <f t="shared" si="107"/>
        <v>#DIV/0!</v>
      </c>
    </row>
    <row r="407" spans="1:14" ht="12.75" hidden="1" customHeight="1" x14ac:dyDescent="0.25">
      <c r="A407" s="451">
        <v>5335</v>
      </c>
      <c r="B407" s="423">
        <v>484100</v>
      </c>
      <c r="C407" s="424" t="s">
        <v>364</v>
      </c>
      <c r="D407" s="452"/>
      <c r="E407" s="435"/>
      <c r="F407" s="435"/>
      <c r="G407" s="436">
        <f t="shared" si="113"/>
        <v>0</v>
      </c>
      <c r="H407" s="435"/>
      <c r="I407" s="435"/>
      <c r="J407" s="435"/>
      <c r="K407" s="435"/>
      <c r="L407" s="435"/>
      <c r="M407" s="437"/>
      <c r="N407" s="419" t="e">
        <f t="shared" si="107"/>
        <v>#DIV/0!</v>
      </c>
    </row>
    <row r="408" spans="1:14" ht="12.75" hidden="1" customHeight="1" x14ac:dyDescent="0.25">
      <c r="A408" s="451">
        <v>5336</v>
      </c>
      <c r="B408" s="423">
        <v>484200</v>
      </c>
      <c r="C408" s="424" t="s">
        <v>365</v>
      </c>
      <c r="D408" s="452"/>
      <c r="E408" s="435"/>
      <c r="F408" s="435"/>
      <c r="G408" s="436">
        <f t="shared" si="113"/>
        <v>0</v>
      </c>
      <c r="H408" s="435"/>
      <c r="I408" s="435"/>
      <c r="J408" s="435"/>
      <c r="K408" s="435"/>
      <c r="L408" s="435"/>
      <c r="M408" s="437"/>
      <c r="N408" s="419" t="e">
        <f t="shared" si="107"/>
        <v>#DIV/0!</v>
      </c>
    </row>
    <row r="409" spans="1:14" ht="12.75" hidden="1" customHeight="1" x14ac:dyDescent="0.25">
      <c r="A409" s="450">
        <v>5337</v>
      </c>
      <c r="B409" s="506">
        <v>485000</v>
      </c>
      <c r="C409" s="416" t="s">
        <v>366</v>
      </c>
      <c r="D409" s="441">
        <f>D410</f>
        <v>0</v>
      </c>
      <c r="E409" s="417">
        <f>E410</f>
        <v>0</v>
      </c>
      <c r="F409" s="417">
        <f>F410</f>
        <v>0</v>
      </c>
      <c r="G409" s="417">
        <f t="shared" si="113"/>
        <v>0</v>
      </c>
      <c r="H409" s="417">
        <f t="shared" ref="H409:M409" si="126">H410</f>
        <v>0</v>
      </c>
      <c r="I409" s="417">
        <f t="shared" si="126"/>
        <v>0</v>
      </c>
      <c r="J409" s="417">
        <f t="shared" si="126"/>
        <v>0</v>
      </c>
      <c r="K409" s="417">
        <f t="shared" si="126"/>
        <v>0</v>
      </c>
      <c r="L409" s="417">
        <f t="shared" si="126"/>
        <v>0</v>
      </c>
      <c r="M409" s="418">
        <f t="shared" si="126"/>
        <v>0</v>
      </c>
      <c r="N409" s="419" t="e">
        <f t="shared" si="107"/>
        <v>#DIV/0!</v>
      </c>
    </row>
    <row r="410" spans="1:14" ht="12.75" hidden="1" customHeight="1" x14ac:dyDescent="0.25">
      <c r="A410" s="451">
        <v>5338</v>
      </c>
      <c r="B410" s="423">
        <v>485100</v>
      </c>
      <c r="C410" s="424" t="s">
        <v>367</v>
      </c>
      <c r="D410" s="452"/>
      <c r="E410" s="435"/>
      <c r="F410" s="435"/>
      <c r="G410" s="436">
        <f t="shared" si="113"/>
        <v>0</v>
      </c>
      <c r="H410" s="435"/>
      <c r="I410" s="435"/>
      <c r="J410" s="435"/>
      <c r="K410" s="435"/>
      <c r="L410" s="435"/>
      <c r="M410" s="437"/>
      <c r="N410" s="419" t="e">
        <f t="shared" si="107"/>
        <v>#DIV/0!</v>
      </c>
    </row>
    <row r="411" spans="1:14" ht="12.75" hidden="1" customHeight="1" x14ac:dyDescent="0.25">
      <c r="A411" s="717" t="s">
        <v>0</v>
      </c>
      <c r="B411" s="718" t="s">
        <v>1</v>
      </c>
      <c r="C411" s="719" t="s">
        <v>2</v>
      </c>
      <c r="D411" s="455" t="s">
        <v>217</v>
      </c>
      <c r="E411" s="719" t="s">
        <v>217</v>
      </c>
      <c r="F411" s="508" t="s">
        <v>217</v>
      </c>
      <c r="G411" s="714" t="s">
        <v>198</v>
      </c>
      <c r="H411" s="720"/>
      <c r="I411" s="720"/>
      <c r="J411" s="720"/>
      <c r="K411" s="720"/>
      <c r="L411" s="720"/>
      <c r="M411" s="721"/>
      <c r="N411" s="419" t="e">
        <f t="shared" si="107"/>
        <v>#VALUE!</v>
      </c>
    </row>
    <row r="412" spans="1:14" ht="12.75" hidden="1" customHeight="1" x14ac:dyDescent="0.25">
      <c r="A412" s="717"/>
      <c r="B412" s="718"/>
      <c r="C412" s="719"/>
      <c r="D412" s="455"/>
      <c r="E412" s="719"/>
      <c r="F412" s="508"/>
      <c r="G412" s="714" t="s">
        <v>199</v>
      </c>
      <c r="H412" s="714" t="s">
        <v>200</v>
      </c>
      <c r="I412" s="720"/>
      <c r="J412" s="720"/>
      <c r="K412" s="720"/>
      <c r="L412" s="714" t="s">
        <v>7</v>
      </c>
      <c r="M412" s="722" t="s">
        <v>8</v>
      </c>
      <c r="N412" s="419" t="e">
        <f t="shared" si="107"/>
        <v>#VALUE!</v>
      </c>
    </row>
    <row r="413" spans="1:14" ht="12.75" hidden="1" customHeight="1" x14ac:dyDescent="0.25">
      <c r="A413" s="717"/>
      <c r="B413" s="718"/>
      <c r="C413" s="719"/>
      <c r="D413" s="455"/>
      <c r="E413" s="719"/>
      <c r="F413" s="508"/>
      <c r="G413" s="720"/>
      <c r="H413" s="509" t="s">
        <v>201</v>
      </c>
      <c r="I413" s="509" t="s">
        <v>10</v>
      </c>
      <c r="J413" s="509" t="s">
        <v>11</v>
      </c>
      <c r="K413" s="509" t="s">
        <v>12</v>
      </c>
      <c r="L413" s="720"/>
      <c r="M413" s="721"/>
      <c r="N413" s="419" t="e">
        <f t="shared" ref="N413:N430" si="127">G413/F413</f>
        <v>#DIV/0!</v>
      </c>
    </row>
    <row r="414" spans="1:14" ht="12.75" hidden="1" customHeight="1" x14ac:dyDescent="0.25">
      <c r="A414" s="456" t="s">
        <v>18</v>
      </c>
      <c r="B414" s="507" t="s">
        <v>19</v>
      </c>
      <c r="C414" s="429" t="s">
        <v>20</v>
      </c>
      <c r="D414" s="455" t="s">
        <v>21</v>
      </c>
      <c r="E414" s="429" t="s">
        <v>21</v>
      </c>
      <c r="F414" s="429" t="s">
        <v>21</v>
      </c>
      <c r="G414" s="429" t="s">
        <v>22</v>
      </c>
      <c r="H414" s="429" t="s">
        <v>23</v>
      </c>
      <c r="I414" s="429" t="s">
        <v>24</v>
      </c>
      <c r="J414" s="429" t="s">
        <v>25</v>
      </c>
      <c r="K414" s="429" t="s">
        <v>26</v>
      </c>
      <c r="L414" s="429" t="s">
        <v>27</v>
      </c>
      <c r="M414" s="434" t="s">
        <v>28</v>
      </c>
      <c r="N414" s="419">
        <f t="shared" si="127"/>
        <v>1.25</v>
      </c>
    </row>
    <row r="415" spans="1:14" ht="12.75" hidden="1" customHeight="1" x14ac:dyDescent="0.25">
      <c r="A415" s="450">
        <v>5339</v>
      </c>
      <c r="B415" s="506">
        <v>489000</v>
      </c>
      <c r="C415" s="416" t="s">
        <v>368</v>
      </c>
      <c r="D415" s="441">
        <f>D416</f>
        <v>0</v>
      </c>
      <c r="E415" s="417">
        <f>E416</f>
        <v>0</v>
      </c>
      <c r="F415" s="417">
        <f>F416</f>
        <v>0</v>
      </c>
      <c r="G415" s="417">
        <f t="shared" si="113"/>
        <v>0</v>
      </c>
      <c r="H415" s="417">
        <f t="shared" ref="H415:M415" si="128">H416</f>
        <v>0</v>
      </c>
      <c r="I415" s="417">
        <f t="shared" si="128"/>
        <v>0</v>
      </c>
      <c r="J415" s="417">
        <f t="shared" si="128"/>
        <v>0</v>
      </c>
      <c r="K415" s="417">
        <f t="shared" si="128"/>
        <v>0</v>
      </c>
      <c r="L415" s="417">
        <f t="shared" si="128"/>
        <v>0</v>
      </c>
      <c r="M415" s="418">
        <f t="shared" si="128"/>
        <v>0</v>
      </c>
      <c r="N415" s="419" t="e">
        <f t="shared" si="127"/>
        <v>#DIV/0!</v>
      </c>
    </row>
    <row r="416" spans="1:14" ht="12.75" hidden="1" customHeight="1" x14ac:dyDescent="0.25">
      <c r="A416" s="451">
        <v>5340</v>
      </c>
      <c r="B416" s="423">
        <v>489100</v>
      </c>
      <c r="C416" s="424" t="s">
        <v>369</v>
      </c>
      <c r="D416" s="452"/>
      <c r="E416" s="435"/>
      <c r="F416" s="435"/>
      <c r="G416" s="436">
        <f t="shared" si="113"/>
        <v>0</v>
      </c>
      <c r="H416" s="435"/>
      <c r="I416" s="435"/>
      <c r="J416" s="435"/>
      <c r="K416" s="435"/>
      <c r="L416" s="435"/>
      <c r="M416" s="437"/>
      <c r="N416" s="419" t="e">
        <f t="shared" si="127"/>
        <v>#DIV/0!</v>
      </c>
    </row>
    <row r="417" spans="1:14" ht="12.75" customHeight="1" x14ac:dyDescent="0.25">
      <c r="A417" s="450">
        <v>5341</v>
      </c>
      <c r="B417" s="506">
        <v>500000</v>
      </c>
      <c r="C417" s="416" t="s">
        <v>370</v>
      </c>
      <c r="D417" s="441">
        <f>D418+D441+D454+D457+D465</f>
        <v>960</v>
      </c>
      <c r="E417" s="417">
        <f>E418+E441+E454+E457+E465</f>
        <v>31901</v>
      </c>
      <c r="F417" s="417">
        <f>F418+F441+F454+F457+F465</f>
        <v>32861</v>
      </c>
      <c r="G417" s="417">
        <f t="shared" si="113"/>
        <v>4173</v>
      </c>
      <c r="H417" s="417">
        <f t="shared" ref="H417:M417" si="129">H418+H441+H454+H457+H465</f>
        <v>2292</v>
      </c>
      <c r="I417" s="417">
        <f t="shared" si="129"/>
        <v>0</v>
      </c>
      <c r="J417" s="417">
        <f t="shared" si="129"/>
        <v>485</v>
      </c>
      <c r="K417" s="417">
        <f t="shared" si="129"/>
        <v>0</v>
      </c>
      <c r="L417" s="417">
        <f t="shared" si="129"/>
        <v>0</v>
      </c>
      <c r="M417" s="418">
        <f t="shared" si="129"/>
        <v>1396</v>
      </c>
      <c r="N417" s="419">
        <f t="shared" si="127"/>
        <v>0.1269894403700435</v>
      </c>
    </row>
    <row r="418" spans="1:14" ht="12.75" customHeight="1" x14ac:dyDescent="0.25">
      <c r="A418" s="450">
        <v>5342</v>
      </c>
      <c r="B418" s="506">
        <v>510000</v>
      </c>
      <c r="C418" s="416" t="s">
        <v>371</v>
      </c>
      <c r="D418" s="441">
        <f>D419+D424+D435+D437+D439</f>
        <v>960</v>
      </c>
      <c r="E418" s="417">
        <f>E419+E424+E435+E437+E439</f>
        <v>31901</v>
      </c>
      <c r="F418" s="417">
        <f>F419+F424+F435+F437+F439</f>
        <v>32861</v>
      </c>
      <c r="G418" s="417">
        <f t="shared" si="113"/>
        <v>4173</v>
      </c>
      <c r="H418" s="417">
        <f t="shared" ref="H418:M418" si="130">H419+H424+H435+H437+H439</f>
        <v>2292</v>
      </c>
      <c r="I418" s="417">
        <f t="shared" si="130"/>
        <v>0</v>
      </c>
      <c r="J418" s="417">
        <f t="shared" si="130"/>
        <v>485</v>
      </c>
      <c r="K418" s="417">
        <f t="shared" si="130"/>
        <v>0</v>
      </c>
      <c r="L418" s="417">
        <f t="shared" si="130"/>
        <v>0</v>
      </c>
      <c r="M418" s="418">
        <f t="shared" si="130"/>
        <v>1396</v>
      </c>
      <c r="N418" s="419">
        <f t="shared" si="127"/>
        <v>0.1269894403700435</v>
      </c>
    </row>
    <row r="419" spans="1:14" ht="12.75" customHeight="1" x14ac:dyDescent="0.25">
      <c r="A419" s="450">
        <v>5343</v>
      </c>
      <c r="B419" s="506">
        <v>511000</v>
      </c>
      <c r="C419" s="416" t="s">
        <v>372</v>
      </c>
      <c r="D419" s="441">
        <f>SUM(D420:D423)</f>
        <v>0</v>
      </c>
      <c r="E419" s="417">
        <f>SUM(E420:E423)</f>
        <v>5000</v>
      </c>
      <c r="F419" s="417">
        <f>SUM(F420:F423)</f>
        <v>5000</v>
      </c>
      <c r="G419" s="417">
        <f t="shared" si="113"/>
        <v>0</v>
      </c>
      <c r="H419" s="417">
        <f t="shared" ref="H419:M419" si="131">SUM(H420:H423)</f>
        <v>0</v>
      </c>
      <c r="I419" s="417">
        <f t="shared" si="131"/>
        <v>0</v>
      </c>
      <c r="J419" s="417">
        <f t="shared" si="131"/>
        <v>0</v>
      </c>
      <c r="K419" s="417">
        <f t="shared" si="131"/>
        <v>0</v>
      </c>
      <c r="L419" s="417">
        <f t="shared" si="131"/>
        <v>0</v>
      </c>
      <c r="M419" s="418">
        <f t="shared" si="131"/>
        <v>0</v>
      </c>
      <c r="N419" s="419">
        <f t="shared" si="127"/>
        <v>0</v>
      </c>
    </row>
    <row r="420" spans="1:14" ht="12.75" hidden="1" customHeight="1" x14ac:dyDescent="0.25">
      <c r="A420" s="451">
        <v>5344</v>
      </c>
      <c r="B420" s="423">
        <v>511100</v>
      </c>
      <c r="C420" s="424" t="s">
        <v>373</v>
      </c>
      <c r="D420" s="452"/>
      <c r="E420" s="435"/>
      <c r="F420" s="435"/>
      <c r="G420" s="436">
        <f t="shared" si="113"/>
        <v>0</v>
      </c>
      <c r="H420" s="435"/>
      <c r="I420" s="435"/>
      <c r="J420" s="435"/>
      <c r="K420" s="435"/>
      <c r="L420" s="435"/>
      <c r="M420" s="437"/>
      <c r="N420" s="419" t="e">
        <f t="shared" si="127"/>
        <v>#DIV/0!</v>
      </c>
    </row>
    <row r="421" spans="1:14" ht="12.75" hidden="1" customHeight="1" x14ac:dyDescent="0.25">
      <c r="A421" s="451">
        <v>5345</v>
      </c>
      <c r="B421" s="423">
        <v>511200</v>
      </c>
      <c r="C421" s="424" t="s">
        <v>374</v>
      </c>
      <c r="D421" s="452"/>
      <c r="E421" s="435"/>
      <c r="F421" s="435"/>
      <c r="G421" s="436">
        <f t="shared" si="113"/>
        <v>0</v>
      </c>
      <c r="H421" s="435"/>
      <c r="I421" s="435"/>
      <c r="J421" s="435"/>
      <c r="K421" s="435"/>
      <c r="L421" s="435"/>
      <c r="M421" s="437"/>
      <c r="N421" s="419" t="e">
        <f t="shared" si="127"/>
        <v>#DIV/0!</v>
      </c>
    </row>
    <row r="422" spans="1:14" ht="12.75" customHeight="1" x14ac:dyDescent="0.25">
      <c r="A422" s="451">
        <v>5346</v>
      </c>
      <c r="B422" s="423">
        <v>511300</v>
      </c>
      <c r="C422" s="424" t="s">
        <v>375</v>
      </c>
      <c r="D422" s="452">
        <v>0</v>
      </c>
      <c r="E422" s="435">
        <v>5000</v>
      </c>
      <c r="F422" s="435">
        <f>D422+E422</f>
        <v>5000</v>
      </c>
      <c r="G422" s="436">
        <f t="shared" si="113"/>
        <v>0</v>
      </c>
      <c r="H422" s="435"/>
      <c r="I422" s="435"/>
      <c r="J422" s="435"/>
      <c r="K422" s="435"/>
      <c r="L422" s="435"/>
      <c r="M422" s="437"/>
      <c r="N422" s="419">
        <f t="shared" si="127"/>
        <v>0</v>
      </c>
    </row>
    <row r="423" spans="1:14" ht="12.75" hidden="1" customHeight="1" x14ac:dyDescent="0.25">
      <c r="A423" s="451">
        <v>5347</v>
      </c>
      <c r="B423" s="423">
        <v>511400</v>
      </c>
      <c r="C423" s="424" t="s">
        <v>376</v>
      </c>
      <c r="D423" s="452"/>
      <c r="E423" s="435"/>
      <c r="F423" s="435"/>
      <c r="G423" s="436">
        <f t="shared" si="113"/>
        <v>0</v>
      </c>
      <c r="H423" s="435"/>
      <c r="I423" s="435"/>
      <c r="J423" s="435"/>
      <c r="K423" s="435"/>
      <c r="L423" s="435"/>
      <c r="M423" s="437"/>
      <c r="N423" s="419" t="e">
        <f t="shared" si="127"/>
        <v>#DIV/0!</v>
      </c>
    </row>
    <row r="424" spans="1:14" ht="12.75" customHeight="1" x14ac:dyDescent="0.25">
      <c r="A424" s="450">
        <v>5348</v>
      </c>
      <c r="B424" s="506">
        <v>512000</v>
      </c>
      <c r="C424" s="416" t="s">
        <v>377</v>
      </c>
      <c r="D424" s="441">
        <f>SUM(D425:D434)</f>
        <v>960</v>
      </c>
      <c r="E424" s="417">
        <f>SUM(E425:E434)</f>
        <v>26901</v>
      </c>
      <c r="F424" s="417">
        <f>SUM(F425:F434)</f>
        <v>27861</v>
      </c>
      <c r="G424" s="417">
        <f t="shared" si="113"/>
        <v>4173</v>
      </c>
      <c r="H424" s="417">
        <f t="shared" ref="H424:M424" si="132">SUM(H425:H434)</f>
        <v>2292</v>
      </c>
      <c r="I424" s="417">
        <f t="shared" si="132"/>
        <v>0</v>
      </c>
      <c r="J424" s="417">
        <f t="shared" si="132"/>
        <v>485</v>
      </c>
      <c r="K424" s="417">
        <f t="shared" si="132"/>
        <v>0</v>
      </c>
      <c r="L424" s="417">
        <f t="shared" si="132"/>
        <v>0</v>
      </c>
      <c r="M424" s="418">
        <f t="shared" si="132"/>
        <v>1396</v>
      </c>
      <c r="N424" s="419">
        <f t="shared" si="127"/>
        <v>0.1497792613330462</v>
      </c>
    </row>
    <row r="425" spans="1:14" ht="12.75" hidden="1" customHeight="1" x14ac:dyDescent="0.25">
      <c r="A425" s="451">
        <v>5349</v>
      </c>
      <c r="B425" s="423">
        <v>512100</v>
      </c>
      <c r="C425" s="424" t="s">
        <v>378</v>
      </c>
      <c r="D425" s="452"/>
      <c r="E425" s="435"/>
      <c r="F425" s="435"/>
      <c r="G425" s="417">
        <f t="shared" si="113"/>
        <v>0</v>
      </c>
      <c r="H425" s="435"/>
      <c r="I425" s="435"/>
      <c r="J425" s="435"/>
      <c r="K425" s="435"/>
      <c r="L425" s="435"/>
      <c r="M425" s="437"/>
      <c r="N425" s="419" t="e">
        <f t="shared" si="127"/>
        <v>#DIV/0!</v>
      </c>
    </row>
    <row r="426" spans="1:14" ht="12.75" hidden="1" customHeight="1" x14ac:dyDescent="0.25">
      <c r="A426" s="451">
        <v>5349</v>
      </c>
      <c r="B426" s="423">
        <v>512100</v>
      </c>
      <c r="C426" s="424" t="s">
        <v>378</v>
      </c>
      <c r="D426" s="452">
        <v>0</v>
      </c>
      <c r="E426" s="435"/>
      <c r="F426" s="435">
        <f>D426+E426</f>
        <v>0</v>
      </c>
      <c r="G426" s="436">
        <f t="shared" si="113"/>
        <v>0</v>
      </c>
      <c r="H426" s="435"/>
      <c r="I426" s="435"/>
      <c r="J426" s="435"/>
      <c r="K426" s="435"/>
      <c r="L426" s="435"/>
      <c r="M426" s="437"/>
      <c r="N426" s="419" t="e">
        <f t="shared" si="127"/>
        <v>#DIV/0!</v>
      </c>
    </row>
    <row r="427" spans="1:14" ht="12.75" customHeight="1" x14ac:dyDescent="0.25">
      <c r="A427" s="451">
        <v>5350</v>
      </c>
      <c r="B427" s="423">
        <v>512200</v>
      </c>
      <c r="C427" s="424" t="s">
        <v>379</v>
      </c>
      <c r="D427" s="452">
        <v>0</v>
      </c>
      <c r="E427" s="435">
        <v>5590</v>
      </c>
      <c r="F427" s="435">
        <f t="shared" ref="F427:F430" si="133">D427+E427</f>
        <v>5590</v>
      </c>
      <c r="G427" s="436">
        <f t="shared" si="113"/>
        <v>925</v>
      </c>
      <c r="H427" s="435"/>
      <c r="I427" s="435"/>
      <c r="J427" s="435"/>
      <c r="K427" s="435"/>
      <c r="L427" s="435"/>
      <c r="M427" s="437">
        <v>925</v>
      </c>
      <c r="N427" s="419">
        <f t="shared" si="127"/>
        <v>0.16547406082289803</v>
      </c>
    </row>
    <row r="428" spans="1:14" ht="12.75" hidden="1" customHeight="1" x14ac:dyDescent="0.25">
      <c r="A428" s="451">
        <v>5351</v>
      </c>
      <c r="B428" s="423">
        <v>512300</v>
      </c>
      <c r="C428" s="424" t="s">
        <v>380</v>
      </c>
      <c r="D428" s="452"/>
      <c r="E428" s="435"/>
      <c r="F428" s="435">
        <f t="shared" si="133"/>
        <v>0</v>
      </c>
      <c r="G428" s="436">
        <f t="shared" si="113"/>
        <v>0</v>
      </c>
      <c r="H428" s="435"/>
      <c r="I428" s="435"/>
      <c r="J428" s="435"/>
      <c r="K428" s="435"/>
      <c r="L428" s="435"/>
      <c r="M428" s="437"/>
      <c r="N428" s="419" t="e">
        <f t="shared" si="127"/>
        <v>#DIV/0!</v>
      </c>
    </row>
    <row r="429" spans="1:14" ht="12.75" hidden="1" customHeight="1" x14ac:dyDescent="0.25">
      <c r="A429" s="451">
        <v>5352</v>
      </c>
      <c r="B429" s="423">
        <v>512400</v>
      </c>
      <c r="C429" s="424" t="s">
        <v>381</v>
      </c>
      <c r="D429" s="452"/>
      <c r="E429" s="435"/>
      <c r="F429" s="435">
        <f t="shared" si="133"/>
        <v>0</v>
      </c>
      <c r="G429" s="436">
        <f t="shared" si="113"/>
        <v>0</v>
      </c>
      <c r="H429" s="435"/>
      <c r="I429" s="435"/>
      <c r="J429" s="435"/>
      <c r="K429" s="435"/>
      <c r="L429" s="435"/>
      <c r="M429" s="437"/>
      <c r="N429" s="419" t="e">
        <f t="shared" si="127"/>
        <v>#DIV/0!</v>
      </c>
    </row>
    <row r="430" spans="1:14" ht="12.75" customHeight="1" x14ac:dyDescent="0.25">
      <c r="A430" s="451">
        <v>5353</v>
      </c>
      <c r="B430" s="423">
        <v>512500</v>
      </c>
      <c r="C430" s="424" t="s">
        <v>382</v>
      </c>
      <c r="D430" s="452">
        <f>485+220+255</f>
        <v>960</v>
      </c>
      <c r="E430" s="435">
        <v>21311</v>
      </c>
      <c r="F430" s="435">
        <f t="shared" si="133"/>
        <v>22271</v>
      </c>
      <c r="G430" s="436">
        <f t="shared" si="113"/>
        <v>3248</v>
      </c>
      <c r="H430" s="435">
        <v>2292</v>
      </c>
      <c r="I430" s="435"/>
      <c r="J430" s="435">
        <v>485</v>
      </c>
      <c r="K430" s="435"/>
      <c r="L430" s="435"/>
      <c r="M430" s="437">
        <v>471</v>
      </c>
      <c r="N430" s="419">
        <f t="shared" si="127"/>
        <v>0.14583988146019486</v>
      </c>
    </row>
    <row r="431" spans="1:14" ht="12.75" hidden="1" customHeight="1" x14ac:dyDescent="0.25">
      <c r="A431" s="451">
        <v>5354</v>
      </c>
      <c r="B431" s="423">
        <v>512600</v>
      </c>
      <c r="C431" s="424" t="s">
        <v>383</v>
      </c>
      <c r="D431" s="452"/>
      <c r="E431" s="435"/>
      <c r="F431" s="435"/>
      <c r="G431" s="436">
        <f t="shared" si="113"/>
        <v>0</v>
      </c>
      <c r="H431" s="435"/>
      <c r="I431" s="435"/>
      <c r="J431" s="435"/>
      <c r="K431" s="435"/>
      <c r="L431" s="435"/>
      <c r="M431" s="437"/>
      <c r="N431" s="419" t="e">
        <f>G431/F431</f>
        <v>#DIV/0!</v>
      </c>
    </row>
    <row r="432" spans="1:14" ht="12.75" hidden="1" customHeight="1" x14ac:dyDescent="0.25">
      <c r="A432" s="451">
        <v>5355</v>
      </c>
      <c r="B432" s="423">
        <v>512700</v>
      </c>
      <c r="C432" s="424" t="s">
        <v>384</v>
      </c>
      <c r="D432" s="452"/>
      <c r="E432" s="435"/>
      <c r="F432" s="435"/>
      <c r="G432" s="436">
        <f t="shared" si="113"/>
        <v>0</v>
      </c>
      <c r="H432" s="435"/>
      <c r="I432" s="435"/>
      <c r="J432" s="435"/>
      <c r="K432" s="435"/>
      <c r="L432" s="435"/>
      <c r="M432" s="437"/>
      <c r="N432" s="419" t="e">
        <f t="shared" ref="N432:N495" si="134">G432/F432</f>
        <v>#DIV/0!</v>
      </c>
    </row>
    <row r="433" spans="1:14" ht="12.75" hidden="1" customHeight="1" x14ac:dyDescent="0.25">
      <c r="A433" s="451">
        <v>5356</v>
      </c>
      <c r="B433" s="423">
        <v>512800</v>
      </c>
      <c r="C433" s="424" t="s">
        <v>385</v>
      </c>
      <c r="D433" s="452"/>
      <c r="E433" s="435"/>
      <c r="F433" s="435"/>
      <c r="G433" s="436">
        <f t="shared" si="113"/>
        <v>0</v>
      </c>
      <c r="H433" s="435"/>
      <c r="I433" s="435"/>
      <c r="J433" s="435"/>
      <c r="K433" s="435"/>
      <c r="L433" s="435"/>
      <c r="M433" s="437"/>
      <c r="N433" s="419" t="e">
        <f t="shared" si="134"/>
        <v>#DIV/0!</v>
      </c>
    </row>
    <row r="434" spans="1:14" ht="12.75" hidden="1" customHeight="1" x14ac:dyDescent="0.25">
      <c r="A434" s="451">
        <v>5357</v>
      </c>
      <c r="B434" s="423">
        <v>512900</v>
      </c>
      <c r="C434" s="424" t="s">
        <v>386</v>
      </c>
      <c r="D434" s="452"/>
      <c r="E434" s="435"/>
      <c r="F434" s="435"/>
      <c r="G434" s="436">
        <f t="shared" si="113"/>
        <v>0</v>
      </c>
      <c r="H434" s="435"/>
      <c r="I434" s="435"/>
      <c r="J434" s="435"/>
      <c r="K434" s="435"/>
      <c r="L434" s="435"/>
      <c r="M434" s="437"/>
      <c r="N434" s="419" t="e">
        <f t="shared" si="134"/>
        <v>#DIV/0!</v>
      </c>
    </row>
    <row r="435" spans="1:14" ht="12.75" hidden="1" customHeight="1" x14ac:dyDescent="0.25">
      <c r="A435" s="450">
        <v>5358</v>
      </c>
      <c r="B435" s="506">
        <v>513000</v>
      </c>
      <c r="C435" s="416" t="s">
        <v>387</v>
      </c>
      <c r="D435" s="441">
        <f>D436</f>
        <v>0</v>
      </c>
      <c r="E435" s="417">
        <f>E436</f>
        <v>0</v>
      </c>
      <c r="F435" s="417">
        <f>F436</f>
        <v>0</v>
      </c>
      <c r="G435" s="417">
        <f t="shared" si="113"/>
        <v>0</v>
      </c>
      <c r="H435" s="417">
        <f t="shared" ref="H435:M435" si="135">H436</f>
        <v>0</v>
      </c>
      <c r="I435" s="417">
        <f t="shared" si="135"/>
        <v>0</v>
      </c>
      <c r="J435" s="417">
        <f t="shared" si="135"/>
        <v>0</v>
      </c>
      <c r="K435" s="417">
        <f t="shared" si="135"/>
        <v>0</v>
      </c>
      <c r="L435" s="417">
        <f t="shared" si="135"/>
        <v>0</v>
      </c>
      <c r="M435" s="418">
        <f t="shared" si="135"/>
        <v>0</v>
      </c>
      <c r="N435" s="419" t="e">
        <f t="shared" si="134"/>
        <v>#DIV/0!</v>
      </c>
    </row>
    <row r="436" spans="1:14" ht="12.75" hidden="1" customHeight="1" x14ac:dyDescent="0.25">
      <c r="A436" s="451">
        <v>5359</v>
      </c>
      <c r="B436" s="423">
        <v>513100</v>
      </c>
      <c r="C436" s="424" t="s">
        <v>388</v>
      </c>
      <c r="D436" s="452"/>
      <c r="E436" s="435"/>
      <c r="F436" s="435"/>
      <c r="G436" s="436">
        <f t="shared" si="113"/>
        <v>0</v>
      </c>
      <c r="H436" s="435"/>
      <c r="I436" s="435"/>
      <c r="J436" s="435"/>
      <c r="K436" s="435"/>
      <c r="L436" s="435"/>
      <c r="M436" s="437"/>
      <c r="N436" s="419" t="e">
        <f t="shared" si="134"/>
        <v>#DIV/0!</v>
      </c>
    </row>
    <row r="437" spans="1:14" ht="12.75" hidden="1" customHeight="1" x14ac:dyDescent="0.25">
      <c r="A437" s="450">
        <v>5360</v>
      </c>
      <c r="B437" s="506">
        <v>514000</v>
      </c>
      <c r="C437" s="416" t="s">
        <v>389</v>
      </c>
      <c r="D437" s="441">
        <f>D438</f>
        <v>0</v>
      </c>
      <c r="E437" s="417">
        <f>E438</f>
        <v>0</v>
      </c>
      <c r="F437" s="417">
        <f>F438</f>
        <v>0</v>
      </c>
      <c r="G437" s="417">
        <f t="shared" si="113"/>
        <v>0</v>
      </c>
      <c r="H437" s="417">
        <f t="shared" ref="H437:M437" si="136">H438</f>
        <v>0</v>
      </c>
      <c r="I437" s="417">
        <f t="shared" si="136"/>
        <v>0</v>
      </c>
      <c r="J437" s="417">
        <f t="shared" si="136"/>
        <v>0</v>
      </c>
      <c r="K437" s="417">
        <f t="shared" si="136"/>
        <v>0</v>
      </c>
      <c r="L437" s="417">
        <f t="shared" si="136"/>
        <v>0</v>
      </c>
      <c r="M437" s="418">
        <f t="shared" si="136"/>
        <v>0</v>
      </c>
      <c r="N437" s="419" t="e">
        <f t="shared" si="134"/>
        <v>#DIV/0!</v>
      </c>
    </row>
    <row r="438" spans="1:14" ht="12.75" hidden="1" customHeight="1" x14ac:dyDescent="0.25">
      <c r="A438" s="451">
        <v>5361</v>
      </c>
      <c r="B438" s="423">
        <v>514100</v>
      </c>
      <c r="C438" s="424" t="s">
        <v>390</v>
      </c>
      <c r="D438" s="452"/>
      <c r="E438" s="435"/>
      <c r="F438" s="435"/>
      <c r="G438" s="436">
        <f t="shared" si="113"/>
        <v>0</v>
      </c>
      <c r="H438" s="435"/>
      <c r="I438" s="435"/>
      <c r="J438" s="435"/>
      <c r="K438" s="435"/>
      <c r="L438" s="435"/>
      <c r="M438" s="437"/>
      <c r="N438" s="419" t="e">
        <f t="shared" si="134"/>
        <v>#DIV/0!</v>
      </c>
    </row>
    <row r="439" spans="1:14" ht="12.75" hidden="1" customHeight="1" x14ac:dyDescent="0.25">
      <c r="A439" s="450">
        <v>5362</v>
      </c>
      <c r="B439" s="506">
        <v>515000</v>
      </c>
      <c r="C439" s="416" t="s">
        <v>391</v>
      </c>
      <c r="D439" s="441">
        <f>D440</f>
        <v>0</v>
      </c>
      <c r="E439" s="417">
        <f>E440</f>
        <v>0</v>
      </c>
      <c r="F439" s="417">
        <f>F440</f>
        <v>0</v>
      </c>
      <c r="G439" s="417">
        <f t="shared" si="113"/>
        <v>0</v>
      </c>
      <c r="H439" s="417">
        <f t="shared" ref="H439:M439" si="137">H440</f>
        <v>0</v>
      </c>
      <c r="I439" s="417">
        <f t="shared" si="137"/>
        <v>0</v>
      </c>
      <c r="J439" s="417">
        <f t="shared" si="137"/>
        <v>0</v>
      </c>
      <c r="K439" s="417">
        <f t="shared" si="137"/>
        <v>0</v>
      </c>
      <c r="L439" s="417">
        <f t="shared" si="137"/>
        <v>0</v>
      </c>
      <c r="M439" s="418">
        <f t="shared" si="137"/>
        <v>0</v>
      </c>
      <c r="N439" s="419" t="e">
        <f t="shared" si="134"/>
        <v>#DIV/0!</v>
      </c>
    </row>
    <row r="440" spans="1:14" ht="12.75" hidden="1" customHeight="1" x14ac:dyDescent="0.25">
      <c r="A440" s="451">
        <v>5363</v>
      </c>
      <c r="B440" s="423">
        <v>515100</v>
      </c>
      <c r="C440" s="424" t="s">
        <v>392</v>
      </c>
      <c r="D440" s="452"/>
      <c r="E440" s="435"/>
      <c r="F440" s="435">
        <f>D440+E440</f>
        <v>0</v>
      </c>
      <c r="G440" s="436">
        <f t="shared" si="113"/>
        <v>0</v>
      </c>
      <c r="H440" s="435"/>
      <c r="I440" s="435"/>
      <c r="J440" s="435"/>
      <c r="K440" s="435"/>
      <c r="L440" s="435"/>
      <c r="M440" s="437"/>
      <c r="N440" s="419" t="e">
        <f t="shared" si="134"/>
        <v>#DIV/0!</v>
      </c>
    </row>
    <row r="441" spans="1:14" ht="12.75" hidden="1" customHeight="1" x14ac:dyDescent="0.25">
      <c r="A441" s="450">
        <v>5364</v>
      </c>
      <c r="B441" s="506">
        <v>520000</v>
      </c>
      <c r="C441" s="416" t="s">
        <v>393</v>
      </c>
      <c r="D441" s="441">
        <f>D442+D444+D452</f>
        <v>0</v>
      </c>
      <c r="E441" s="417">
        <f>E442+E444+E452</f>
        <v>0</v>
      </c>
      <c r="F441" s="417">
        <f>F442+F444+F452</f>
        <v>0</v>
      </c>
      <c r="G441" s="417">
        <f t="shared" ref="G441:G518" si="138">SUM(H441:M441)</f>
        <v>0</v>
      </c>
      <c r="H441" s="417">
        <f t="shared" ref="H441:M441" si="139">H442+H444+H452</f>
        <v>0</v>
      </c>
      <c r="I441" s="417">
        <f t="shared" si="139"/>
        <v>0</v>
      </c>
      <c r="J441" s="417">
        <f t="shared" si="139"/>
        <v>0</v>
      </c>
      <c r="K441" s="417">
        <f t="shared" si="139"/>
        <v>0</v>
      </c>
      <c r="L441" s="417">
        <f t="shared" si="139"/>
        <v>0</v>
      </c>
      <c r="M441" s="418">
        <f t="shared" si="139"/>
        <v>0</v>
      </c>
      <c r="N441" s="419" t="e">
        <f t="shared" si="134"/>
        <v>#DIV/0!</v>
      </c>
    </row>
    <row r="442" spans="1:14" ht="12.75" hidden="1" customHeight="1" x14ac:dyDescent="0.25">
      <c r="A442" s="450">
        <v>5365</v>
      </c>
      <c r="B442" s="506">
        <v>521000</v>
      </c>
      <c r="C442" s="416" t="s">
        <v>394</v>
      </c>
      <c r="D442" s="441">
        <f>D443</f>
        <v>0</v>
      </c>
      <c r="E442" s="417">
        <f>E443</f>
        <v>0</v>
      </c>
      <c r="F442" s="417">
        <f>F443</f>
        <v>0</v>
      </c>
      <c r="G442" s="417">
        <f t="shared" si="138"/>
        <v>0</v>
      </c>
      <c r="H442" s="417">
        <f t="shared" ref="H442:M442" si="140">H443</f>
        <v>0</v>
      </c>
      <c r="I442" s="417">
        <f t="shared" si="140"/>
        <v>0</v>
      </c>
      <c r="J442" s="417">
        <f t="shared" si="140"/>
        <v>0</v>
      </c>
      <c r="K442" s="417">
        <f t="shared" si="140"/>
        <v>0</v>
      </c>
      <c r="L442" s="417">
        <f t="shared" si="140"/>
        <v>0</v>
      </c>
      <c r="M442" s="418">
        <f t="shared" si="140"/>
        <v>0</v>
      </c>
      <c r="N442" s="419" t="e">
        <f t="shared" si="134"/>
        <v>#DIV/0!</v>
      </c>
    </row>
    <row r="443" spans="1:14" ht="12.75" hidden="1" customHeight="1" x14ac:dyDescent="0.25">
      <c r="A443" s="451">
        <v>5366</v>
      </c>
      <c r="B443" s="423">
        <v>521100</v>
      </c>
      <c r="C443" s="424" t="s">
        <v>395</v>
      </c>
      <c r="D443" s="452"/>
      <c r="E443" s="435"/>
      <c r="F443" s="435"/>
      <c r="G443" s="436">
        <f t="shared" si="138"/>
        <v>0</v>
      </c>
      <c r="H443" s="435"/>
      <c r="I443" s="435"/>
      <c r="J443" s="435"/>
      <c r="K443" s="435"/>
      <c r="L443" s="435"/>
      <c r="M443" s="437"/>
      <c r="N443" s="419" t="e">
        <f t="shared" si="134"/>
        <v>#DIV/0!</v>
      </c>
    </row>
    <row r="444" spans="1:14" ht="12.75" hidden="1" customHeight="1" x14ac:dyDescent="0.25">
      <c r="A444" s="450">
        <v>5367</v>
      </c>
      <c r="B444" s="506">
        <v>522000</v>
      </c>
      <c r="C444" s="416" t="s">
        <v>396</v>
      </c>
      <c r="D444" s="441">
        <f>SUM(D445:D451)</f>
        <v>0</v>
      </c>
      <c r="E444" s="417">
        <f>SUM(E445:E451)</f>
        <v>0</v>
      </c>
      <c r="F444" s="417">
        <f>SUM(F445:F451)</f>
        <v>0</v>
      </c>
      <c r="G444" s="417">
        <f t="shared" si="138"/>
        <v>0</v>
      </c>
      <c r="H444" s="417">
        <f t="shared" ref="H444:M444" si="141">SUM(H445:H451)</f>
        <v>0</v>
      </c>
      <c r="I444" s="417">
        <f t="shared" si="141"/>
        <v>0</v>
      </c>
      <c r="J444" s="417">
        <f t="shared" si="141"/>
        <v>0</v>
      </c>
      <c r="K444" s="417">
        <f t="shared" si="141"/>
        <v>0</v>
      </c>
      <c r="L444" s="417">
        <f t="shared" si="141"/>
        <v>0</v>
      </c>
      <c r="M444" s="418">
        <f t="shared" si="141"/>
        <v>0</v>
      </c>
      <c r="N444" s="419" t="e">
        <f t="shared" si="134"/>
        <v>#DIV/0!</v>
      </c>
    </row>
    <row r="445" spans="1:14" ht="12.75" hidden="1" customHeight="1" x14ac:dyDescent="0.25">
      <c r="A445" s="451">
        <v>5368</v>
      </c>
      <c r="B445" s="423">
        <v>522100</v>
      </c>
      <c r="C445" s="424" t="s">
        <v>397</v>
      </c>
      <c r="D445" s="452"/>
      <c r="E445" s="435"/>
      <c r="F445" s="435"/>
      <c r="G445" s="436">
        <f t="shared" si="138"/>
        <v>0</v>
      </c>
      <c r="H445" s="435"/>
      <c r="I445" s="435"/>
      <c r="J445" s="435"/>
      <c r="K445" s="435"/>
      <c r="L445" s="435"/>
      <c r="M445" s="437"/>
      <c r="N445" s="419" t="e">
        <f t="shared" si="134"/>
        <v>#DIV/0!</v>
      </c>
    </row>
    <row r="446" spans="1:14" ht="12.75" hidden="1" customHeight="1" x14ac:dyDescent="0.25">
      <c r="A446" s="717" t="s">
        <v>0</v>
      </c>
      <c r="B446" s="718" t="s">
        <v>1</v>
      </c>
      <c r="C446" s="719" t="s">
        <v>2</v>
      </c>
      <c r="D446" s="455" t="s">
        <v>217</v>
      </c>
      <c r="E446" s="719" t="s">
        <v>217</v>
      </c>
      <c r="F446" s="508" t="s">
        <v>217</v>
      </c>
      <c r="G446" s="714" t="s">
        <v>198</v>
      </c>
      <c r="H446" s="720"/>
      <c r="I446" s="720"/>
      <c r="J446" s="720"/>
      <c r="K446" s="720"/>
      <c r="L446" s="720"/>
      <c r="M446" s="721"/>
      <c r="N446" s="419" t="e">
        <f t="shared" si="134"/>
        <v>#VALUE!</v>
      </c>
    </row>
    <row r="447" spans="1:14" ht="12.75" hidden="1" customHeight="1" x14ac:dyDescent="0.25">
      <c r="A447" s="717"/>
      <c r="B447" s="718"/>
      <c r="C447" s="719"/>
      <c r="D447" s="455"/>
      <c r="E447" s="719"/>
      <c r="F447" s="508"/>
      <c r="G447" s="714" t="s">
        <v>199</v>
      </c>
      <c r="H447" s="714" t="s">
        <v>200</v>
      </c>
      <c r="I447" s="720"/>
      <c r="J447" s="720"/>
      <c r="K447" s="720"/>
      <c r="L447" s="714" t="s">
        <v>7</v>
      </c>
      <c r="M447" s="722" t="s">
        <v>8</v>
      </c>
      <c r="N447" s="419" t="e">
        <f t="shared" si="134"/>
        <v>#VALUE!</v>
      </c>
    </row>
    <row r="448" spans="1:14" ht="12.75" hidden="1" customHeight="1" x14ac:dyDescent="0.25">
      <c r="A448" s="717"/>
      <c r="B448" s="718"/>
      <c r="C448" s="719"/>
      <c r="D448" s="455"/>
      <c r="E448" s="719"/>
      <c r="F448" s="508"/>
      <c r="G448" s="720"/>
      <c r="H448" s="509" t="s">
        <v>201</v>
      </c>
      <c r="I448" s="509" t="s">
        <v>10</v>
      </c>
      <c r="J448" s="509" t="s">
        <v>11</v>
      </c>
      <c r="K448" s="509" t="s">
        <v>12</v>
      </c>
      <c r="L448" s="720"/>
      <c r="M448" s="721"/>
      <c r="N448" s="419" t="e">
        <f t="shared" si="134"/>
        <v>#DIV/0!</v>
      </c>
    </row>
    <row r="449" spans="1:14" ht="12.75" hidden="1" customHeight="1" x14ac:dyDescent="0.25">
      <c r="A449" s="456" t="s">
        <v>18</v>
      </c>
      <c r="B449" s="507" t="s">
        <v>19</v>
      </c>
      <c r="C449" s="429" t="s">
        <v>20</v>
      </c>
      <c r="D449" s="455" t="s">
        <v>21</v>
      </c>
      <c r="E449" s="429" t="s">
        <v>21</v>
      </c>
      <c r="F449" s="429" t="s">
        <v>21</v>
      </c>
      <c r="G449" s="429" t="s">
        <v>22</v>
      </c>
      <c r="H449" s="429" t="s">
        <v>23</v>
      </c>
      <c r="I449" s="429" t="s">
        <v>24</v>
      </c>
      <c r="J449" s="429" t="s">
        <v>25</v>
      </c>
      <c r="K449" s="429" t="s">
        <v>26</v>
      </c>
      <c r="L449" s="429" t="s">
        <v>27</v>
      </c>
      <c r="M449" s="434" t="s">
        <v>28</v>
      </c>
      <c r="N449" s="419">
        <f t="shared" si="134"/>
        <v>1.25</v>
      </c>
    </row>
    <row r="450" spans="1:14" ht="12.75" hidden="1" customHeight="1" x14ac:dyDescent="0.25">
      <c r="A450" s="451">
        <v>5369</v>
      </c>
      <c r="B450" s="423">
        <v>522200</v>
      </c>
      <c r="C450" s="424" t="s">
        <v>398</v>
      </c>
      <c r="D450" s="452"/>
      <c r="E450" s="435"/>
      <c r="F450" s="435"/>
      <c r="G450" s="436">
        <f t="shared" si="138"/>
        <v>0</v>
      </c>
      <c r="H450" s="435"/>
      <c r="I450" s="435"/>
      <c r="J450" s="435"/>
      <c r="K450" s="435"/>
      <c r="L450" s="435"/>
      <c r="M450" s="437"/>
      <c r="N450" s="419" t="e">
        <f t="shared" si="134"/>
        <v>#DIV/0!</v>
      </c>
    </row>
    <row r="451" spans="1:14" ht="12.75" hidden="1" customHeight="1" x14ac:dyDescent="0.25">
      <c r="A451" s="451">
        <v>5370</v>
      </c>
      <c r="B451" s="423">
        <v>522300</v>
      </c>
      <c r="C451" s="424" t="s">
        <v>399</v>
      </c>
      <c r="D451" s="452"/>
      <c r="E451" s="435"/>
      <c r="F451" s="435"/>
      <c r="G451" s="436">
        <f t="shared" si="138"/>
        <v>0</v>
      </c>
      <c r="H451" s="435"/>
      <c r="I451" s="435"/>
      <c r="J451" s="435"/>
      <c r="K451" s="435"/>
      <c r="L451" s="435"/>
      <c r="M451" s="437"/>
      <c r="N451" s="419" t="e">
        <f t="shared" si="134"/>
        <v>#DIV/0!</v>
      </c>
    </row>
    <row r="452" spans="1:14" ht="12.75" hidden="1" customHeight="1" x14ac:dyDescent="0.25">
      <c r="A452" s="450">
        <v>5371</v>
      </c>
      <c r="B452" s="506">
        <v>523000</v>
      </c>
      <c r="C452" s="416" t="s">
        <v>400</v>
      </c>
      <c r="D452" s="441">
        <f>D453</f>
        <v>0</v>
      </c>
      <c r="E452" s="417">
        <f>E453</f>
        <v>0</v>
      </c>
      <c r="F452" s="417">
        <f>F453</f>
        <v>0</v>
      </c>
      <c r="G452" s="417">
        <f t="shared" si="138"/>
        <v>0</v>
      </c>
      <c r="H452" s="417">
        <f t="shared" ref="H452:M452" si="142">H453</f>
        <v>0</v>
      </c>
      <c r="I452" s="417">
        <f t="shared" si="142"/>
        <v>0</v>
      </c>
      <c r="J452" s="417">
        <f t="shared" si="142"/>
        <v>0</v>
      </c>
      <c r="K452" s="417">
        <f t="shared" si="142"/>
        <v>0</v>
      </c>
      <c r="L452" s="417">
        <f t="shared" si="142"/>
        <v>0</v>
      </c>
      <c r="M452" s="418">
        <f t="shared" si="142"/>
        <v>0</v>
      </c>
      <c r="N452" s="419" t="e">
        <f t="shared" si="134"/>
        <v>#DIV/0!</v>
      </c>
    </row>
    <row r="453" spans="1:14" ht="12.75" hidden="1" customHeight="1" x14ac:dyDescent="0.25">
      <c r="A453" s="451">
        <v>5372</v>
      </c>
      <c r="B453" s="423">
        <v>523100</v>
      </c>
      <c r="C453" s="424" t="s">
        <v>401</v>
      </c>
      <c r="D453" s="452"/>
      <c r="E453" s="435"/>
      <c r="F453" s="435"/>
      <c r="G453" s="436">
        <f t="shared" si="138"/>
        <v>0</v>
      </c>
      <c r="H453" s="435"/>
      <c r="I453" s="435"/>
      <c r="J453" s="435"/>
      <c r="K453" s="435"/>
      <c r="L453" s="435"/>
      <c r="M453" s="437"/>
      <c r="N453" s="419" t="e">
        <f t="shared" si="134"/>
        <v>#DIV/0!</v>
      </c>
    </row>
    <row r="454" spans="1:14" ht="12.75" hidden="1" customHeight="1" x14ac:dyDescent="0.25">
      <c r="A454" s="450">
        <v>5373</v>
      </c>
      <c r="B454" s="506">
        <v>530000</v>
      </c>
      <c r="C454" s="416" t="s">
        <v>402</v>
      </c>
      <c r="D454" s="441">
        <f t="shared" ref="D454:F455" si="143">D455</f>
        <v>0</v>
      </c>
      <c r="E454" s="417">
        <f t="shared" si="143"/>
        <v>0</v>
      </c>
      <c r="F454" s="417">
        <f t="shared" si="143"/>
        <v>0</v>
      </c>
      <c r="G454" s="417">
        <f t="shared" si="138"/>
        <v>0</v>
      </c>
      <c r="H454" s="417">
        <f t="shared" ref="H454:M455" si="144">H455</f>
        <v>0</v>
      </c>
      <c r="I454" s="417">
        <f t="shared" si="144"/>
        <v>0</v>
      </c>
      <c r="J454" s="417">
        <f t="shared" si="144"/>
        <v>0</v>
      </c>
      <c r="K454" s="417">
        <f t="shared" si="144"/>
        <v>0</v>
      </c>
      <c r="L454" s="417">
        <f t="shared" si="144"/>
        <v>0</v>
      </c>
      <c r="M454" s="418">
        <f t="shared" si="144"/>
        <v>0</v>
      </c>
      <c r="N454" s="419" t="e">
        <f t="shared" si="134"/>
        <v>#DIV/0!</v>
      </c>
    </row>
    <row r="455" spans="1:14" ht="12.75" hidden="1" customHeight="1" x14ac:dyDescent="0.25">
      <c r="A455" s="450">
        <v>5374</v>
      </c>
      <c r="B455" s="506">
        <v>531000</v>
      </c>
      <c r="C455" s="416" t="s">
        <v>403</v>
      </c>
      <c r="D455" s="441">
        <f t="shared" si="143"/>
        <v>0</v>
      </c>
      <c r="E455" s="417">
        <f t="shared" si="143"/>
        <v>0</v>
      </c>
      <c r="F455" s="417">
        <f t="shared" si="143"/>
        <v>0</v>
      </c>
      <c r="G455" s="417">
        <f t="shared" si="138"/>
        <v>0</v>
      </c>
      <c r="H455" s="417">
        <f t="shared" si="144"/>
        <v>0</v>
      </c>
      <c r="I455" s="417">
        <f t="shared" si="144"/>
        <v>0</v>
      </c>
      <c r="J455" s="417">
        <f t="shared" si="144"/>
        <v>0</v>
      </c>
      <c r="K455" s="417">
        <f t="shared" si="144"/>
        <v>0</v>
      </c>
      <c r="L455" s="417">
        <f t="shared" si="144"/>
        <v>0</v>
      </c>
      <c r="M455" s="418">
        <f t="shared" si="144"/>
        <v>0</v>
      </c>
      <c r="N455" s="419" t="e">
        <f t="shared" si="134"/>
        <v>#DIV/0!</v>
      </c>
    </row>
    <row r="456" spans="1:14" ht="12.75" hidden="1" customHeight="1" x14ac:dyDescent="0.25">
      <c r="A456" s="451">
        <v>5375</v>
      </c>
      <c r="B456" s="423">
        <v>531100</v>
      </c>
      <c r="C456" s="424" t="s">
        <v>404</v>
      </c>
      <c r="D456" s="452"/>
      <c r="E456" s="435"/>
      <c r="F456" s="435"/>
      <c r="G456" s="436">
        <f t="shared" si="138"/>
        <v>0</v>
      </c>
      <c r="H456" s="435"/>
      <c r="I456" s="435"/>
      <c r="J456" s="435"/>
      <c r="K456" s="435"/>
      <c r="L456" s="435"/>
      <c r="M456" s="437"/>
      <c r="N456" s="419" t="e">
        <f t="shared" si="134"/>
        <v>#DIV/0!</v>
      </c>
    </row>
    <row r="457" spans="1:14" ht="12.75" hidden="1" customHeight="1" x14ac:dyDescent="0.25">
      <c r="A457" s="450">
        <v>5376</v>
      </c>
      <c r="B457" s="506">
        <v>540000</v>
      </c>
      <c r="C457" s="416" t="s">
        <v>405</v>
      </c>
      <c r="D457" s="441">
        <f>D458+D460+D462</f>
        <v>0</v>
      </c>
      <c r="E457" s="417">
        <f>E458+E460+E462</f>
        <v>0</v>
      </c>
      <c r="F457" s="417">
        <f>F458+F460+F462</f>
        <v>0</v>
      </c>
      <c r="G457" s="417">
        <f t="shared" si="138"/>
        <v>0</v>
      </c>
      <c r="H457" s="417">
        <f t="shared" ref="H457:M457" si="145">H458+H460+H462</f>
        <v>0</v>
      </c>
      <c r="I457" s="417">
        <f t="shared" si="145"/>
        <v>0</v>
      </c>
      <c r="J457" s="417">
        <f t="shared" si="145"/>
        <v>0</v>
      </c>
      <c r="K457" s="417">
        <f t="shared" si="145"/>
        <v>0</v>
      </c>
      <c r="L457" s="417">
        <f t="shared" si="145"/>
        <v>0</v>
      </c>
      <c r="M457" s="418">
        <f t="shared" si="145"/>
        <v>0</v>
      </c>
      <c r="N457" s="419" t="e">
        <f t="shared" si="134"/>
        <v>#DIV/0!</v>
      </c>
    </row>
    <row r="458" spans="1:14" ht="12.75" hidden="1" customHeight="1" x14ac:dyDescent="0.25">
      <c r="A458" s="450">
        <v>5377</v>
      </c>
      <c r="B458" s="506">
        <v>541000</v>
      </c>
      <c r="C458" s="416" t="s">
        <v>406</v>
      </c>
      <c r="D458" s="441">
        <f>D459</f>
        <v>0</v>
      </c>
      <c r="E458" s="417">
        <f>E459</f>
        <v>0</v>
      </c>
      <c r="F458" s="417">
        <f>F459</f>
        <v>0</v>
      </c>
      <c r="G458" s="417">
        <f t="shared" si="138"/>
        <v>0</v>
      </c>
      <c r="H458" s="417">
        <f t="shared" ref="H458:M458" si="146">H459</f>
        <v>0</v>
      </c>
      <c r="I458" s="417">
        <f t="shared" si="146"/>
        <v>0</v>
      </c>
      <c r="J458" s="417">
        <f t="shared" si="146"/>
        <v>0</v>
      </c>
      <c r="K458" s="417">
        <f t="shared" si="146"/>
        <v>0</v>
      </c>
      <c r="L458" s="417">
        <f t="shared" si="146"/>
        <v>0</v>
      </c>
      <c r="M458" s="418">
        <f t="shared" si="146"/>
        <v>0</v>
      </c>
      <c r="N458" s="419" t="e">
        <f t="shared" si="134"/>
        <v>#DIV/0!</v>
      </c>
    </row>
    <row r="459" spans="1:14" ht="12.75" hidden="1" customHeight="1" x14ac:dyDescent="0.25">
      <c r="A459" s="451">
        <v>5378</v>
      </c>
      <c r="B459" s="423">
        <v>541100</v>
      </c>
      <c r="C459" s="424" t="s">
        <v>407</v>
      </c>
      <c r="D459" s="452"/>
      <c r="E459" s="435"/>
      <c r="F459" s="435"/>
      <c r="G459" s="436">
        <f t="shared" si="138"/>
        <v>0</v>
      </c>
      <c r="H459" s="435"/>
      <c r="I459" s="435"/>
      <c r="J459" s="435"/>
      <c r="K459" s="435"/>
      <c r="L459" s="435"/>
      <c r="M459" s="437"/>
      <c r="N459" s="419" t="e">
        <f t="shared" si="134"/>
        <v>#DIV/0!</v>
      </c>
    </row>
    <row r="460" spans="1:14" ht="12.75" hidden="1" customHeight="1" x14ac:dyDescent="0.25">
      <c r="A460" s="450">
        <v>5379</v>
      </c>
      <c r="B460" s="506">
        <v>542000</v>
      </c>
      <c r="C460" s="416" t="s">
        <v>408</v>
      </c>
      <c r="D460" s="441">
        <f>D461</f>
        <v>0</v>
      </c>
      <c r="E460" s="417">
        <f>E461</f>
        <v>0</v>
      </c>
      <c r="F460" s="417">
        <f>F461</f>
        <v>0</v>
      </c>
      <c r="G460" s="417">
        <f t="shared" si="138"/>
        <v>0</v>
      </c>
      <c r="H460" s="417">
        <f t="shared" ref="H460:M460" si="147">H461</f>
        <v>0</v>
      </c>
      <c r="I460" s="417">
        <f t="shared" si="147"/>
        <v>0</v>
      </c>
      <c r="J460" s="417">
        <f t="shared" si="147"/>
        <v>0</v>
      </c>
      <c r="K460" s="417">
        <f t="shared" si="147"/>
        <v>0</v>
      </c>
      <c r="L460" s="417">
        <f t="shared" si="147"/>
        <v>0</v>
      </c>
      <c r="M460" s="418">
        <f t="shared" si="147"/>
        <v>0</v>
      </c>
      <c r="N460" s="419" t="e">
        <f t="shared" si="134"/>
        <v>#DIV/0!</v>
      </c>
    </row>
    <row r="461" spans="1:14" ht="12.75" hidden="1" customHeight="1" x14ac:dyDescent="0.25">
      <c r="A461" s="451">
        <v>5380</v>
      </c>
      <c r="B461" s="423">
        <v>542100</v>
      </c>
      <c r="C461" s="424" t="s">
        <v>409</v>
      </c>
      <c r="D461" s="452"/>
      <c r="E461" s="435"/>
      <c r="F461" s="435"/>
      <c r="G461" s="436">
        <f t="shared" si="138"/>
        <v>0</v>
      </c>
      <c r="H461" s="435"/>
      <c r="I461" s="435"/>
      <c r="J461" s="435"/>
      <c r="K461" s="435"/>
      <c r="L461" s="435"/>
      <c r="M461" s="437"/>
      <c r="N461" s="419" t="e">
        <f t="shared" si="134"/>
        <v>#DIV/0!</v>
      </c>
    </row>
    <row r="462" spans="1:14" ht="12.75" hidden="1" customHeight="1" x14ac:dyDescent="0.25">
      <c r="A462" s="450">
        <v>5381</v>
      </c>
      <c r="B462" s="506">
        <v>543000</v>
      </c>
      <c r="C462" s="416" t="s">
        <v>410</v>
      </c>
      <c r="D462" s="441">
        <f>D463+D464</f>
        <v>0</v>
      </c>
      <c r="E462" s="417">
        <f>E463+E464</f>
        <v>0</v>
      </c>
      <c r="F462" s="417">
        <f>F463+F464</f>
        <v>0</v>
      </c>
      <c r="G462" s="417">
        <f t="shared" si="138"/>
        <v>0</v>
      </c>
      <c r="H462" s="417">
        <f t="shared" ref="H462:M462" si="148">H463+H464</f>
        <v>0</v>
      </c>
      <c r="I462" s="417">
        <f t="shared" si="148"/>
        <v>0</v>
      </c>
      <c r="J462" s="417">
        <f t="shared" si="148"/>
        <v>0</v>
      </c>
      <c r="K462" s="417">
        <f t="shared" si="148"/>
        <v>0</v>
      </c>
      <c r="L462" s="417">
        <f t="shared" si="148"/>
        <v>0</v>
      </c>
      <c r="M462" s="418">
        <f t="shared" si="148"/>
        <v>0</v>
      </c>
      <c r="N462" s="419" t="e">
        <f t="shared" si="134"/>
        <v>#DIV/0!</v>
      </c>
    </row>
    <row r="463" spans="1:14" ht="12.75" hidden="1" customHeight="1" x14ac:dyDescent="0.25">
      <c r="A463" s="451">
        <v>5382</v>
      </c>
      <c r="B463" s="423">
        <v>543100</v>
      </c>
      <c r="C463" s="424" t="s">
        <v>411</v>
      </c>
      <c r="D463" s="452"/>
      <c r="E463" s="435"/>
      <c r="F463" s="435"/>
      <c r="G463" s="436">
        <f t="shared" si="138"/>
        <v>0</v>
      </c>
      <c r="H463" s="435"/>
      <c r="I463" s="435"/>
      <c r="J463" s="435"/>
      <c r="K463" s="435"/>
      <c r="L463" s="435"/>
      <c r="M463" s="437"/>
      <c r="N463" s="419" t="e">
        <f t="shared" si="134"/>
        <v>#DIV/0!</v>
      </c>
    </row>
    <row r="464" spans="1:14" ht="12.75" hidden="1" customHeight="1" x14ac:dyDescent="0.25">
      <c r="A464" s="451">
        <v>5383</v>
      </c>
      <c r="B464" s="423">
        <v>543200</v>
      </c>
      <c r="C464" s="424" t="s">
        <v>412</v>
      </c>
      <c r="D464" s="452"/>
      <c r="E464" s="435"/>
      <c r="F464" s="435"/>
      <c r="G464" s="436">
        <f t="shared" si="138"/>
        <v>0</v>
      </c>
      <c r="H464" s="435"/>
      <c r="I464" s="435"/>
      <c r="J464" s="435"/>
      <c r="K464" s="435"/>
      <c r="L464" s="435"/>
      <c r="M464" s="437"/>
      <c r="N464" s="419" t="e">
        <f t="shared" si="134"/>
        <v>#DIV/0!</v>
      </c>
    </row>
    <row r="465" spans="1:14" ht="12.75" hidden="1" customHeight="1" x14ac:dyDescent="0.25">
      <c r="A465" s="450">
        <v>5384</v>
      </c>
      <c r="B465" s="506">
        <v>550000</v>
      </c>
      <c r="C465" s="416" t="s">
        <v>413</v>
      </c>
      <c r="D465" s="441">
        <f t="shared" ref="D465:F466" si="149">D466</f>
        <v>0</v>
      </c>
      <c r="E465" s="417">
        <f t="shared" si="149"/>
        <v>0</v>
      </c>
      <c r="F465" s="417">
        <f t="shared" si="149"/>
        <v>0</v>
      </c>
      <c r="G465" s="417">
        <f t="shared" si="138"/>
        <v>0</v>
      </c>
      <c r="H465" s="417">
        <f t="shared" ref="H465:M466" si="150">H466</f>
        <v>0</v>
      </c>
      <c r="I465" s="417">
        <f t="shared" si="150"/>
        <v>0</v>
      </c>
      <c r="J465" s="417">
        <f t="shared" si="150"/>
        <v>0</v>
      </c>
      <c r="K465" s="417">
        <f t="shared" si="150"/>
        <v>0</v>
      </c>
      <c r="L465" s="417">
        <f t="shared" si="150"/>
        <v>0</v>
      </c>
      <c r="M465" s="418">
        <f t="shared" si="150"/>
        <v>0</v>
      </c>
      <c r="N465" s="419" t="e">
        <f t="shared" si="134"/>
        <v>#DIV/0!</v>
      </c>
    </row>
    <row r="466" spans="1:14" ht="12.75" hidden="1" customHeight="1" x14ac:dyDescent="0.25">
      <c r="A466" s="450">
        <v>5385</v>
      </c>
      <c r="B466" s="506">
        <v>551000</v>
      </c>
      <c r="C466" s="416" t="s">
        <v>414</v>
      </c>
      <c r="D466" s="441">
        <f t="shared" si="149"/>
        <v>0</v>
      </c>
      <c r="E466" s="417">
        <f t="shared" si="149"/>
        <v>0</v>
      </c>
      <c r="F466" s="417">
        <f t="shared" si="149"/>
        <v>0</v>
      </c>
      <c r="G466" s="417">
        <f t="shared" si="138"/>
        <v>0</v>
      </c>
      <c r="H466" s="417">
        <f t="shared" si="150"/>
        <v>0</v>
      </c>
      <c r="I466" s="417">
        <f t="shared" si="150"/>
        <v>0</v>
      </c>
      <c r="J466" s="417">
        <f t="shared" si="150"/>
        <v>0</v>
      </c>
      <c r="K466" s="417">
        <f t="shared" si="150"/>
        <v>0</v>
      </c>
      <c r="L466" s="417">
        <f t="shared" si="150"/>
        <v>0</v>
      </c>
      <c r="M466" s="418">
        <f t="shared" si="150"/>
        <v>0</v>
      </c>
      <c r="N466" s="419" t="e">
        <f t="shared" si="134"/>
        <v>#DIV/0!</v>
      </c>
    </row>
    <row r="467" spans="1:14" ht="12.75" hidden="1" customHeight="1" x14ac:dyDescent="0.25">
      <c r="A467" s="451">
        <v>5386</v>
      </c>
      <c r="B467" s="423">
        <v>551100</v>
      </c>
      <c r="C467" s="424" t="s">
        <v>415</v>
      </c>
      <c r="D467" s="452"/>
      <c r="E467" s="435"/>
      <c r="F467" s="435"/>
      <c r="G467" s="436">
        <f t="shared" si="138"/>
        <v>0</v>
      </c>
      <c r="H467" s="435"/>
      <c r="I467" s="435"/>
      <c r="J467" s="435"/>
      <c r="K467" s="435"/>
      <c r="L467" s="435"/>
      <c r="M467" s="437"/>
      <c r="N467" s="419" t="e">
        <f t="shared" si="134"/>
        <v>#DIV/0!</v>
      </c>
    </row>
    <row r="468" spans="1:14" ht="12.75" hidden="1" customHeight="1" x14ac:dyDescent="0.25">
      <c r="A468" s="450">
        <v>5387</v>
      </c>
      <c r="B468" s="506">
        <v>600000</v>
      </c>
      <c r="C468" s="416" t="s">
        <v>416</v>
      </c>
      <c r="D468" s="441">
        <f>D469+D498</f>
        <v>0</v>
      </c>
      <c r="E468" s="417">
        <f>E469+E498</f>
        <v>0</v>
      </c>
      <c r="F468" s="417">
        <f>F469+F498</f>
        <v>0</v>
      </c>
      <c r="G468" s="417">
        <f t="shared" si="138"/>
        <v>0</v>
      </c>
      <c r="H468" s="417">
        <f t="shared" ref="H468:M468" si="151">H469+H498</f>
        <v>0</v>
      </c>
      <c r="I468" s="417">
        <f t="shared" si="151"/>
        <v>0</v>
      </c>
      <c r="J468" s="417">
        <f t="shared" si="151"/>
        <v>0</v>
      </c>
      <c r="K468" s="417">
        <f t="shared" si="151"/>
        <v>0</v>
      </c>
      <c r="L468" s="417">
        <f t="shared" si="151"/>
        <v>0</v>
      </c>
      <c r="M468" s="418">
        <f t="shared" si="151"/>
        <v>0</v>
      </c>
      <c r="N468" s="419" t="e">
        <f t="shared" si="134"/>
        <v>#DIV/0!</v>
      </c>
    </row>
    <row r="469" spans="1:14" ht="12.75" hidden="1" customHeight="1" x14ac:dyDescent="0.25">
      <c r="A469" s="450">
        <v>5388</v>
      </c>
      <c r="B469" s="506">
        <v>610000</v>
      </c>
      <c r="C469" s="416" t="s">
        <v>417</v>
      </c>
      <c r="D469" s="441">
        <f>D470+D484+D492+D494+D496</f>
        <v>0</v>
      </c>
      <c r="E469" s="417">
        <f>E470+E484+E492+E494+E496</f>
        <v>0</v>
      </c>
      <c r="F469" s="417">
        <f>F470+F484+F492+F494+F496</f>
        <v>0</v>
      </c>
      <c r="G469" s="417">
        <f t="shared" si="138"/>
        <v>0</v>
      </c>
      <c r="H469" s="417">
        <f t="shared" ref="H469:M469" si="152">H470+H484+H492+H494+H496</f>
        <v>0</v>
      </c>
      <c r="I469" s="417">
        <f t="shared" si="152"/>
        <v>0</v>
      </c>
      <c r="J469" s="417">
        <f t="shared" si="152"/>
        <v>0</v>
      </c>
      <c r="K469" s="417">
        <f t="shared" si="152"/>
        <v>0</v>
      </c>
      <c r="L469" s="417">
        <f t="shared" si="152"/>
        <v>0</v>
      </c>
      <c r="M469" s="418">
        <f t="shared" si="152"/>
        <v>0</v>
      </c>
      <c r="N469" s="419" t="e">
        <f t="shared" si="134"/>
        <v>#DIV/0!</v>
      </c>
    </row>
    <row r="470" spans="1:14" ht="12.75" hidden="1" customHeight="1" x14ac:dyDescent="0.25">
      <c r="A470" s="450">
        <v>5389</v>
      </c>
      <c r="B470" s="506">
        <v>611000</v>
      </c>
      <c r="C470" s="416" t="s">
        <v>418</v>
      </c>
      <c r="D470" s="441">
        <f>SUM(D471:D483)</f>
        <v>0</v>
      </c>
      <c r="E470" s="417">
        <f>SUM(E471:E483)</f>
        <v>0</v>
      </c>
      <c r="F470" s="417">
        <f>SUM(F471:F483)</f>
        <v>0</v>
      </c>
      <c r="G470" s="417">
        <f t="shared" si="138"/>
        <v>0</v>
      </c>
      <c r="H470" s="417">
        <f t="shared" ref="H470:M470" si="153">SUM(H471:H483)</f>
        <v>0</v>
      </c>
      <c r="I470" s="417">
        <f t="shared" si="153"/>
        <v>0</v>
      </c>
      <c r="J470" s="417">
        <f t="shared" si="153"/>
        <v>0</v>
      </c>
      <c r="K470" s="417">
        <f t="shared" si="153"/>
        <v>0</v>
      </c>
      <c r="L470" s="417">
        <f t="shared" si="153"/>
        <v>0</v>
      </c>
      <c r="M470" s="418">
        <f t="shared" si="153"/>
        <v>0</v>
      </c>
      <c r="N470" s="419" t="e">
        <f t="shared" si="134"/>
        <v>#DIV/0!</v>
      </c>
    </row>
    <row r="471" spans="1:14" ht="12.75" hidden="1" customHeight="1" x14ac:dyDescent="0.25">
      <c r="A471" s="451">
        <v>5390</v>
      </c>
      <c r="B471" s="423">
        <v>611100</v>
      </c>
      <c r="C471" s="424" t="s">
        <v>419</v>
      </c>
      <c r="D471" s="452"/>
      <c r="E471" s="435"/>
      <c r="F471" s="435"/>
      <c r="G471" s="436">
        <f t="shared" si="138"/>
        <v>0</v>
      </c>
      <c r="H471" s="435"/>
      <c r="I471" s="435"/>
      <c r="J471" s="435"/>
      <c r="K471" s="435"/>
      <c r="L471" s="435"/>
      <c r="M471" s="437"/>
      <c r="N471" s="419" t="e">
        <f t="shared" si="134"/>
        <v>#DIV/0!</v>
      </c>
    </row>
    <row r="472" spans="1:14" ht="12.75" hidden="1" customHeight="1" x14ac:dyDescent="0.25">
      <c r="A472" s="451">
        <v>5391</v>
      </c>
      <c r="B472" s="423">
        <v>611200</v>
      </c>
      <c r="C472" s="424" t="s">
        <v>420</v>
      </c>
      <c r="D472" s="452"/>
      <c r="E472" s="435"/>
      <c r="F472" s="435"/>
      <c r="G472" s="436">
        <f t="shared" si="138"/>
        <v>0</v>
      </c>
      <c r="H472" s="435"/>
      <c r="I472" s="435"/>
      <c r="J472" s="435"/>
      <c r="K472" s="435"/>
      <c r="L472" s="435"/>
      <c r="M472" s="437"/>
      <c r="N472" s="419" t="e">
        <f t="shared" si="134"/>
        <v>#DIV/0!</v>
      </c>
    </row>
    <row r="473" spans="1:14" ht="12.75" hidden="1" customHeight="1" x14ac:dyDescent="0.25">
      <c r="A473" s="451">
        <v>5392</v>
      </c>
      <c r="B473" s="423">
        <v>611300</v>
      </c>
      <c r="C473" s="424" t="s">
        <v>421</v>
      </c>
      <c r="D473" s="452"/>
      <c r="E473" s="435"/>
      <c r="F473" s="435"/>
      <c r="G473" s="436">
        <f t="shared" si="138"/>
        <v>0</v>
      </c>
      <c r="H473" s="435"/>
      <c r="I473" s="435"/>
      <c r="J473" s="435"/>
      <c r="K473" s="435"/>
      <c r="L473" s="435"/>
      <c r="M473" s="437"/>
      <c r="N473" s="419" t="e">
        <f t="shared" si="134"/>
        <v>#DIV/0!</v>
      </c>
    </row>
    <row r="474" spans="1:14" ht="12.75" hidden="1" customHeight="1" x14ac:dyDescent="0.25">
      <c r="A474" s="717" t="s">
        <v>0</v>
      </c>
      <c r="B474" s="718" t="s">
        <v>1</v>
      </c>
      <c r="C474" s="719" t="s">
        <v>2</v>
      </c>
      <c r="D474" s="455" t="s">
        <v>217</v>
      </c>
      <c r="E474" s="719" t="s">
        <v>217</v>
      </c>
      <c r="F474" s="508" t="s">
        <v>217</v>
      </c>
      <c r="G474" s="714" t="s">
        <v>198</v>
      </c>
      <c r="H474" s="720"/>
      <c r="I474" s="720"/>
      <c r="J474" s="720"/>
      <c r="K474" s="720"/>
      <c r="L474" s="720"/>
      <c r="M474" s="721"/>
      <c r="N474" s="419" t="e">
        <f t="shared" si="134"/>
        <v>#VALUE!</v>
      </c>
    </row>
    <row r="475" spans="1:14" ht="12.75" hidden="1" customHeight="1" x14ac:dyDescent="0.25">
      <c r="A475" s="717"/>
      <c r="B475" s="718"/>
      <c r="C475" s="719"/>
      <c r="D475" s="455"/>
      <c r="E475" s="719"/>
      <c r="F475" s="508"/>
      <c r="G475" s="714" t="s">
        <v>199</v>
      </c>
      <c r="H475" s="714" t="s">
        <v>200</v>
      </c>
      <c r="I475" s="720"/>
      <c r="J475" s="720"/>
      <c r="K475" s="720"/>
      <c r="L475" s="714" t="s">
        <v>7</v>
      </c>
      <c r="M475" s="722" t="s">
        <v>8</v>
      </c>
      <c r="N475" s="419" t="e">
        <f t="shared" si="134"/>
        <v>#VALUE!</v>
      </c>
    </row>
    <row r="476" spans="1:14" ht="12.75" hidden="1" customHeight="1" x14ac:dyDescent="0.25">
      <c r="A476" s="717"/>
      <c r="B476" s="718"/>
      <c r="C476" s="719"/>
      <c r="D476" s="455"/>
      <c r="E476" s="719"/>
      <c r="F476" s="508"/>
      <c r="G476" s="720"/>
      <c r="H476" s="509" t="s">
        <v>201</v>
      </c>
      <c r="I476" s="509" t="s">
        <v>10</v>
      </c>
      <c r="J476" s="509" t="s">
        <v>11</v>
      </c>
      <c r="K476" s="509" t="s">
        <v>12</v>
      </c>
      <c r="L476" s="720"/>
      <c r="M476" s="721"/>
      <c r="N476" s="419" t="e">
        <f t="shared" si="134"/>
        <v>#DIV/0!</v>
      </c>
    </row>
    <row r="477" spans="1:14" ht="12.75" hidden="1" customHeight="1" x14ac:dyDescent="0.25">
      <c r="A477" s="456" t="s">
        <v>18</v>
      </c>
      <c r="B477" s="507" t="s">
        <v>19</v>
      </c>
      <c r="C477" s="429" t="s">
        <v>20</v>
      </c>
      <c r="D477" s="455" t="s">
        <v>21</v>
      </c>
      <c r="E477" s="429" t="s">
        <v>21</v>
      </c>
      <c r="F477" s="429" t="s">
        <v>21</v>
      </c>
      <c r="G477" s="429" t="s">
        <v>22</v>
      </c>
      <c r="H477" s="429" t="s">
        <v>23</v>
      </c>
      <c r="I477" s="429" t="s">
        <v>24</v>
      </c>
      <c r="J477" s="429" t="s">
        <v>25</v>
      </c>
      <c r="K477" s="429" t="s">
        <v>26</v>
      </c>
      <c r="L477" s="429" t="s">
        <v>27</v>
      </c>
      <c r="M477" s="434" t="s">
        <v>28</v>
      </c>
      <c r="N477" s="419">
        <f t="shared" si="134"/>
        <v>1.25</v>
      </c>
    </row>
    <row r="478" spans="1:14" ht="12.75" hidden="1" customHeight="1" x14ac:dyDescent="0.25">
      <c r="A478" s="451">
        <v>5393</v>
      </c>
      <c r="B478" s="423">
        <v>611400</v>
      </c>
      <c r="C478" s="424" t="s">
        <v>422</v>
      </c>
      <c r="D478" s="452"/>
      <c r="E478" s="435"/>
      <c r="F478" s="435"/>
      <c r="G478" s="436">
        <f t="shared" si="138"/>
        <v>0</v>
      </c>
      <c r="H478" s="435"/>
      <c r="I478" s="435"/>
      <c r="J478" s="435"/>
      <c r="K478" s="435"/>
      <c r="L478" s="435"/>
      <c r="M478" s="437"/>
      <c r="N478" s="419" t="e">
        <f t="shared" si="134"/>
        <v>#DIV/0!</v>
      </c>
    </row>
    <row r="479" spans="1:14" ht="12.75" hidden="1" customHeight="1" x14ac:dyDescent="0.25">
      <c r="A479" s="451">
        <v>5394</v>
      </c>
      <c r="B479" s="423">
        <v>611500</v>
      </c>
      <c r="C479" s="424" t="s">
        <v>423</v>
      </c>
      <c r="D479" s="452"/>
      <c r="E479" s="435"/>
      <c r="F479" s="435"/>
      <c r="G479" s="436">
        <f t="shared" si="138"/>
        <v>0</v>
      </c>
      <c r="H479" s="435"/>
      <c r="I479" s="435"/>
      <c r="J479" s="435"/>
      <c r="K479" s="435"/>
      <c r="L479" s="435"/>
      <c r="M479" s="437"/>
      <c r="N479" s="419" t="e">
        <f t="shared" si="134"/>
        <v>#DIV/0!</v>
      </c>
    </row>
    <row r="480" spans="1:14" ht="12.75" hidden="1" customHeight="1" x14ac:dyDescent="0.25">
      <c r="A480" s="451">
        <v>5395</v>
      </c>
      <c r="B480" s="423">
        <v>611600</v>
      </c>
      <c r="C480" s="424" t="s">
        <v>424</v>
      </c>
      <c r="D480" s="452"/>
      <c r="E480" s="435"/>
      <c r="F480" s="435"/>
      <c r="G480" s="436">
        <f t="shared" si="138"/>
        <v>0</v>
      </c>
      <c r="H480" s="435"/>
      <c r="I480" s="435"/>
      <c r="J480" s="435"/>
      <c r="K480" s="435"/>
      <c r="L480" s="435"/>
      <c r="M480" s="437"/>
      <c r="N480" s="419" t="e">
        <f t="shared" si="134"/>
        <v>#DIV/0!</v>
      </c>
    </row>
    <row r="481" spans="1:14" ht="12.75" hidden="1" customHeight="1" x14ac:dyDescent="0.25">
      <c r="A481" s="451">
        <v>5396</v>
      </c>
      <c r="B481" s="423">
        <v>611700</v>
      </c>
      <c r="C481" s="424" t="s">
        <v>425</v>
      </c>
      <c r="D481" s="452"/>
      <c r="E481" s="435"/>
      <c r="F481" s="435"/>
      <c r="G481" s="436">
        <f t="shared" si="138"/>
        <v>0</v>
      </c>
      <c r="H481" s="435"/>
      <c r="I481" s="435"/>
      <c r="J481" s="435"/>
      <c r="K481" s="435"/>
      <c r="L481" s="435"/>
      <c r="M481" s="437"/>
      <c r="N481" s="419" t="e">
        <f t="shared" si="134"/>
        <v>#DIV/0!</v>
      </c>
    </row>
    <row r="482" spans="1:14" ht="12.75" hidden="1" customHeight="1" x14ac:dyDescent="0.25">
      <c r="A482" s="451">
        <v>5397</v>
      </c>
      <c r="B482" s="423">
        <v>611800</v>
      </c>
      <c r="C482" s="424" t="s">
        <v>426</v>
      </c>
      <c r="D482" s="452"/>
      <c r="E482" s="435"/>
      <c r="F482" s="435"/>
      <c r="G482" s="436">
        <f t="shared" si="138"/>
        <v>0</v>
      </c>
      <c r="H482" s="435"/>
      <c r="I482" s="435"/>
      <c r="J482" s="435"/>
      <c r="K482" s="435"/>
      <c r="L482" s="435"/>
      <c r="M482" s="437"/>
      <c r="N482" s="419" t="e">
        <f t="shared" si="134"/>
        <v>#DIV/0!</v>
      </c>
    </row>
    <row r="483" spans="1:14" ht="12.75" hidden="1" customHeight="1" x14ac:dyDescent="0.25">
      <c r="A483" s="451">
        <v>5398</v>
      </c>
      <c r="B483" s="423">
        <v>611900</v>
      </c>
      <c r="C483" s="424" t="s">
        <v>165</v>
      </c>
      <c r="D483" s="452"/>
      <c r="E483" s="435"/>
      <c r="F483" s="435"/>
      <c r="G483" s="436">
        <f t="shared" si="138"/>
        <v>0</v>
      </c>
      <c r="H483" s="435"/>
      <c r="I483" s="435"/>
      <c r="J483" s="435"/>
      <c r="K483" s="435"/>
      <c r="L483" s="435"/>
      <c r="M483" s="437"/>
      <c r="N483" s="419" t="e">
        <f t="shared" si="134"/>
        <v>#DIV/0!</v>
      </c>
    </row>
    <row r="484" spans="1:14" ht="12.75" hidden="1" customHeight="1" x14ac:dyDescent="0.25">
      <c r="A484" s="450">
        <v>5399</v>
      </c>
      <c r="B484" s="506">
        <v>612000</v>
      </c>
      <c r="C484" s="416" t="s">
        <v>427</v>
      </c>
      <c r="D484" s="441">
        <f>SUM(D485:D491)</f>
        <v>0</v>
      </c>
      <c r="E484" s="417">
        <f>SUM(E485:E491)</f>
        <v>0</v>
      </c>
      <c r="F484" s="417">
        <f>SUM(F485:F491)</f>
        <v>0</v>
      </c>
      <c r="G484" s="417">
        <f t="shared" si="138"/>
        <v>0</v>
      </c>
      <c r="H484" s="417">
        <f t="shared" ref="H484:M484" si="154">SUM(H485:H491)</f>
        <v>0</v>
      </c>
      <c r="I484" s="417">
        <f t="shared" si="154"/>
        <v>0</v>
      </c>
      <c r="J484" s="417">
        <f t="shared" si="154"/>
        <v>0</v>
      </c>
      <c r="K484" s="417">
        <f t="shared" si="154"/>
        <v>0</v>
      </c>
      <c r="L484" s="417">
        <f t="shared" si="154"/>
        <v>0</v>
      </c>
      <c r="M484" s="418">
        <f t="shared" si="154"/>
        <v>0</v>
      </c>
      <c r="N484" s="419" t="e">
        <f t="shared" si="134"/>
        <v>#DIV/0!</v>
      </c>
    </row>
    <row r="485" spans="1:14" ht="12.75" hidden="1" customHeight="1" x14ac:dyDescent="0.25">
      <c r="A485" s="451">
        <v>5400</v>
      </c>
      <c r="B485" s="423">
        <v>612100</v>
      </c>
      <c r="C485" s="424" t="s">
        <v>428</v>
      </c>
      <c r="D485" s="452"/>
      <c r="E485" s="435"/>
      <c r="F485" s="435"/>
      <c r="G485" s="436">
        <f t="shared" si="138"/>
        <v>0</v>
      </c>
      <c r="H485" s="435"/>
      <c r="I485" s="435"/>
      <c r="J485" s="435"/>
      <c r="K485" s="435"/>
      <c r="L485" s="435"/>
      <c r="M485" s="437"/>
      <c r="N485" s="419" t="e">
        <f t="shared" si="134"/>
        <v>#DIV/0!</v>
      </c>
    </row>
    <row r="486" spans="1:14" ht="12.75" hidden="1" customHeight="1" x14ac:dyDescent="0.25">
      <c r="A486" s="451">
        <v>5401</v>
      </c>
      <c r="B486" s="423">
        <v>612200</v>
      </c>
      <c r="C486" s="424" t="s">
        <v>429</v>
      </c>
      <c r="D486" s="452"/>
      <c r="E486" s="435"/>
      <c r="F486" s="435"/>
      <c r="G486" s="436">
        <f t="shared" si="138"/>
        <v>0</v>
      </c>
      <c r="H486" s="435"/>
      <c r="I486" s="435"/>
      <c r="J486" s="435"/>
      <c r="K486" s="435"/>
      <c r="L486" s="435"/>
      <c r="M486" s="437"/>
      <c r="N486" s="419" t="e">
        <f t="shared" si="134"/>
        <v>#DIV/0!</v>
      </c>
    </row>
    <row r="487" spans="1:14" ht="12.75" hidden="1" customHeight="1" x14ac:dyDescent="0.25">
      <c r="A487" s="451">
        <v>5402</v>
      </c>
      <c r="B487" s="423">
        <v>612300</v>
      </c>
      <c r="C487" s="424" t="s">
        <v>430</v>
      </c>
      <c r="D487" s="452"/>
      <c r="E487" s="435"/>
      <c r="F487" s="435"/>
      <c r="G487" s="436">
        <f t="shared" si="138"/>
        <v>0</v>
      </c>
      <c r="H487" s="435"/>
      <c r="I487" s="435"/>
      <c r="J487" s="435"/>
      <c r="K487" s="435"/>
      <c r="L487" s="435"/>
      <c r="M487" s="437"/>
      <c r="N487" s="419" t="e">
        <f t="shared" si="134"/>
        <v>#DIV/0!</v>
      </c>
    </row>
    <row r="488" spans="1:14" ht="12.75" hidden="1" customHeight="1" x14ac:dyDescent="0.25">
      <c r="A488" s="451">
        <v>5403</v>
      </c>
      <c r="B488" s="423">
        <v>612400</v>
      </c>
      <c r="C488" s="424" t="s">
        <v>431</v>
      </c>
      <c r="D488" s="452"/>
      <c r="E488" s="435"/>
      <c r="F488" s="435"/>
      <c r="G488" s="436">
        <f t="shared" si="138"/>
        <v>0</v>
      </c>
      <c r="H488" s="435"/>
      <c r="I488" s="435"/>
      <c r="J488" s="435"/>
      <c r="K488" s="435"/>
      <c r="L488" s="435"/>
      <c r="M488" s="437"/>
      <c r="N488" s="419" t="e">
        <f t="shared" si="134"/>
        <v>#DIV/0!</v>
      </c>
    </row>
    <row r="489" spans="1:14" ht="12.75" hidden="1" customHeight="1" x14ac:dyDescent="0.25">
      <c r="A489" s="451">
        <v>5404</v>
      </c>
      <c r="B489" s="423">
        <v>612500</v>
      </c>
      <c r="C489" s="424" t="s">
        <v>432</v>
      </c>
      <c r="D489" s="452"/>
      <c r="E489" s="435"/>
      <c r="F489" s="435"/>
      <c r="G489" s="436">
        <f t="shared" si="138"/>
        <v>0</v>
      </c>
      <c r="H489" s="435"/>
      <c r="I489" s="435"/>
      <c r="J489" s="435"/>
      <c r="K489" s="435"/>
      <c r="L489" s="435"/>
      <c r="M489" s="437"/>
      <c r="N489" s="419" t="e">
        <f t="shared" si="134"/>
        <v>#DIV/0!</v>
      </c>
    </row>
    <row r="490" spans="1:14" ht="12.75" hidden="1" customHeight="1" x14ac:dyDescent="0.25">
      <c r="A490" s="451">
        <v>5405</v>
      </c>
      <c r="B490" s="423">
        <v>612600</v>
      </c>
      <c r="C490" s="424" t="s">
        <v>433</v>
      </c>
      <c r="D490" s="452"/>
      <c r="E490" s="435"/>
      <c r="F490" s="435"/>
      <c r="G490" s="436">
        <f t="shared" si="138"/>
        <v>0</v>
      </c>
      <c r="H490" s="435"/>
      <c r="I490" s="435"/>
      <c r="J490" s="435"/>
      <c r="K490" s="435"/>
      <c r="L490" s="435"/>
      <c r="M490" s="437"/>
      <c r="N490" s="419" t="e">
        <f t="shared" si="134"/>
        <v>#DIV/0!</v>
      </c>
    </row>
    <row r="491" spans="1:14" ht="12.75" hidden="1" customHeight="1" x14ac:dyDescent="0.25">
      <c r="A491" s="451">
        <v>5406</v>
      </c>
      <c r="B491" s="423">
        <v>612900</v>
      </c>
      <c r="C491" s="424" t="s">
        <v>173</v>
      </c>
      <c r="D491" s="452"/>
      <c r="E491" s="435"/>
      <c r="F491" s="435"/>
      <c r="G491" s="436">
        <f t="shared" si="138"/>
        <v>0</v>
      </c>
      <c r="H491" s="435"/>
      <c r="I491" s="435"/>
      <c r="J491" s="435"/>
      <c r="K491" s="435"/>
      <c r="L491" s="435"/>
      <c r="M491" s="437"/>
      <c r="N491" s="419" t="e">
        <f t="shared" si="134"/>
        <v>#DIV/0!</v>
      </c>
    </row>
    <row r="492" spans="1:14" ht="12.75" hidden="1" customHeight="1" x14ac:dyDescent="0.25">
      <c r="A492" s="450">
        <v>5407</v>
      </c>
      <c r="B492" s="506">
        <v>613000</v>
      </c>
      <c r="C492" s="416" t="s">
        <v>434</v>
      </c>
      <c r="D492" s="441">
        <f>D493</f>
        <v>0</v>
      </c>
      <c r="E492" s="417">
        <f>E493</f>
        <v>0</v>
      </c>
      <c r="F492" s="417">
        <f>F493</f>
        <v>0</v>
      </c>
      <c r="G492" s="417">
        <f t="shared" si="138"/>
        <v>0</v>
      </c>
      <c r="H492" s="417">
        <f t="shared" ref="H492:M492" si="155">H493</f>
        <v>0</v>
      </c>
      <c r="I492" s="417">
        <f t="shared" si="155"/>
        <v>0</v>
      </c>
      <c r="J492" s="417">
        <f t="shared" si="155"/>
        <v>0</v>
      </c>
      <c r="K492" s="417">
        <f t="shared" si="155"/>
        <v>0</v>
      </c>
      <c r="L492" s="417">
        <f t="shared" si="155"/>
        <v>0</v>
      </c>
      <c r="M492" s="418">
        <f t="shared" si="155"/>
        <v>0</v>
      </c>
      <c r="N492" s="419" t="e">
        <f t="shared" si="134"/>
        <v>#DIV/0!</v>
      </c>
    </row>
    <row r="493" spans="1:14" ht="12.75" hidden="1" customHeight="1" x14ac:dyDescent="0.25">
      <c r="A493" s="451">
        <v>5408</v>
      </c>
      <c r="B493" s="423">
        <v>613100</v>
      </c>
      <c r="C493" s="424" t="s">
        <v>435</v>
      </c>
      <c r="D493" s="452"/>
      <c r="E493" s="435"/>
      <c r="F493" s="435"/>
      <c r="G493" s="436">
        <f t="shared" si="138"/>
        <v>0</v>
      </c>
      <c r="H493" s="435"/>
      <c r="I493" s="435"/>
      <c r="J493" s="435"/>
      <c r="K493" s="435"/>
      <c r="L493" s="435"/>
      <c r="M493" s="437"/>
      <c r="N493" s="419" t="e">
        <f t="shared" si="134"/>
        <v>#DIV/0!</v>
      </c>
    </row>
    <row r="494" spans="1:14" ht="12.75" hidden="1" customHeight="1" x14ac:dyDescent="0.25">
      <c r="A494" s="450">
        <v>5409</v>
      </c>
      <c r="B494" s="506">
        <v>614000</v>
      </c>
      <c r="C494" s="416" t="s">
        <v>436</v>
      </c>
      <c r="D494" s="441">
        <f>D495</f>
        <v>0</v>
      </c>
      <c r="E494" s="417">
        <f>E495</f>
        <v>0</v>
      </c>
      <c r="F494" s="417">
        <f>F495</f>
        <v>0</v>
      </c>
      <c r="G494" s="417">
        <f t="shared" si="138"/>
        <v>0</v>
      </c>
      <c r="H494" s="417">
        <f t="shared" ref="H494:M496" si="156">H495</f>
        <v>0</v>
      </c>
      <c r="I494" s="417">
        <f t="shared" si="156"/>
        <v>0</v>
      </c>
      <c r="J494" s="417">
        <f t="shared" si="156"/>
        <v>0</v>
      </c>
      <c r="K494" s="417">
        <f t="shared" si="156"/>
        <v>0</v>
      </c>
      <c r="L494" s="417">
        <f t="shared" si="156"/>
        <v>0</v>
      </c>
      <c r="M494" s="418">
        <f t="shared" si="156"/>
        <v>0</v>
      </c>
      <c r="N494" s="419" t="e">
        <f t="shared" si="134"/>
        <v>#DIV/0!</v>
      </c>
    </row>
    <row r="495" spans="1:14" ht="12.75" hidden="1" customHeight="1" x14ac:dyDescent="0.25">
      <c r="A495" s="451">
        <v>5410</v>
      </c>
      <c r="B495" s="423">
        <v>614100</v>
      </c>
      <c r="C495" s="424" t="s">
        <v>437</v>
      </c>
      <c r="D495" s="452"/>
      <c r="E495" s="435"/>
      <c r="F495" s="435"/>
      <c r="G495" s="436">
        <f t="shared" si="138"/>
        <v>0</v>
      </c>
      <c r="H495" s="435"/>
      <c r="I495" s="435"/>
      <c r="J495" s="435"/>
      <c r="K495" s="435"/>
      <c r="L495" s="435"/>
      <c r="M495" s="437"/>
      <c r="N495" s="419" t="e">
        <f t="shared" si="134"/>
        <v>#DIV/0!</v>
      </c>
    </row>
    <row r="496" spans="1:14" ht="12.75" hidden="1" customHeight="1" x14ac:dyDescent="0.25">
      <c r="A496" s="450">
        <v>5411</v>
      </c>
      <c r="B496" s="506">
        <v>615000</v>
      </c>
      <c r="C496" s="416" t="s">
        <v>438</v>
      </c>
      <c r="D496" s="441">
        <f>D497</f>
        <v>0</v>
      </c>
      <c r="E496" s="417">
        <f>E497</f>
        <v>0</v>
      </c>
      <c r="F496" s="417">
        <f>F497</f>
        <v>0</v>
      </c>
      <c r="G496" s="417">
        <f t="shared" si="138"/>
        <v>0</v>
      </c>
      <c r="H496" s="417">
        <f t="shared" si="156"/>
        <v>0</v>
      </c>
      <c r="I496" s="417">
        <f t="shared" si="156"/>
        <v>0</v>
      </c>
      <c r="J496" s="417">
        <f t="shared" si="156"/>
        <v>0</v>
      </c>
      <c r="K496" s="417">
        <f t="shared" si="156"/>
        <v>0</v>
      </c>
      <c r="L496" s="417">
        <f t="shared" si="156"/>
        <v>0</v>
      </c>
      <c r="M496" s="418">
        <f t="shared" si="156"/>
        <v>0</v>
      </c>
      <c r="N496" s="419" t="e">
        <f t="shared" ref="N496:N524" si="157">G496/F496</f>
        <v>#DIV/0!</v>
      </c>
    </row>
    <row r="497" spans="1:14" ht="12.75" hidden="1" customHeight="1" x14ac:dyDescent="0.25">
      <c r="A497" s="451">
        <v>5412</v>
      </c>
      <c r="B497" s="423">
        <v>615100</v>
      </c>
      <c r="C497" s="424" t="s">
        <v>439</v>
      </c>
      <c r="D497" s="452"/>
      <c r="E497" s="435"/>
      <c r="F497" s="435"/>
      <c r="G497" s="436">
        <f t="shared" si="138"/>
        <v>0</v>
      </c>
      <c r="H497" s="435"/>
      <c r="I497" s="435"/>
      <c r="J497" s="435"/>
      <c r="K497" s="435"/>
      <c r="L497" s="435"/>
      <c r="M497" s="437"/>
      <c r="N497" s="419" t="e">
        <f t="shared" si="157"/>
        <v>#DIV/0!</v>
      </c>
    </row>
    <row r="498" spans="1:14" ht="12.75" hidden="1" customHeight="1" x14ac:dyDescent="0.25">
      <c r="A498" s="450">
        <v>5413</v>
      </c>
      <c r="B498" s="506">
        <v>620000</v>
      </c>
      <c r="C498" s="416" t="s">
        <v>440</v>
      </c>
      <c r="D498" s="441">
        <f>D499+D513+D522</f>
        <v>0</v>
      </c>
      <c r="E498" s="417">
        <f>E499+E513+E522</f>
        <v>0</v>
      </c>
      <c r="F498" s="417">
        <f>F499+F513+F522</f>
        <v>0</v>
      </c>
      <c r="G498" s="417">
        <f t="shared" si="138"/>
        <v>0</v>
      </c>
      <c r="H498" s="417">
        <f t="shared" ref="H498:M498" si="158">H499+H513+H522</f>
        <v>0</v>
      </c>
      <c r="I498" s="417">
        <f t="shared" si="158"/>
        <v>0</v>
      </c>
      <c r="J498" s="417">
        <f t="shared" si="158"/>
        <v>0</v>
      </c>
      <c r="K498" s="417">
        <f t="shared" si="158"/>
        <v>0</v>
      </c>
      <c r="L498" s="417">
        <f t="shared" si="158"/>
        <v>0</v>
      </c>
      <c r="M498" s="418">
        <f t="shared" si="158"/>
        <v>0</v>
      </c>
      <c r="N498" s="419" t="e">
        <f t="shared" si="157"/>
        <v>#DIV/0!</v>
      </c>
    </row>
    <row r="499" spans="1:14" ht="12.75" hidden="1" customHeight="1" x14ac:dyDescent="0.25">
      <c r="A499" s="450">
        <v>5414</v>
      </c>
      <c r="B499" s="506">
        <v>621000</v>
      </c>
      <c r="C499" s="416" t="s">
        <v>441</v>
      </c>
      <c r="D499" s="441">
        <f>SUM(D500:D512)</f>
        <v>0</v>
      </c>
      <c r="E499" s="417">
        <f>SUM(E500:E512)</f>
        <v>0</v>
      </c>
      <c r="F499" s="417">
        <f>SUM(F500:F512)</f>
        <v>0</v>
      </c>
      <c r="G499" s="417">
        <f t="shared" si="138"/>
        <v>0</v>
      </c>
      <c r="H499" s="417">
        <f t="shared" ref="H499:M499" si="159">SUM(H500:H512)</f>
        <v>0</v>
      </c>
      <c r="I499" s="417">
        <f t="shared" si="159"/>
        <v>0</v>
      </c>
      <c r="J499" s="417">
        <f t="shared" si="159"/>
        <v>0</v>
      </c>
      <c r="K499" s="417">
        <f t="shared" si="159"/>
        <v>0</v>
      </c>
      <c r="L499" s="417">
        <f t="shared" si="159"/>
        <v>0</v>
      </c>
      <c r="M499" s="418">
        <f t="shared" si="159"/>
        <v>0</v>
      </c>
      <c r="N499" s="419" t="e">
        <f t="shared" si="157"/>
        <v>#DIV/0!</v>
      </c>
    </row>
    <row r="500" spans="1:14" ht="12.75" hidden="1" customHeight="1" x14ac:dyDescent="0.25">
      <c r="A500" s="451">
        <v>5415</v>
      </c>
      <c r="B500" s="423">
        <v>621100</v>
      </c>
      <c r="C500" s="424" t="s">
        <v>442</v>
      </c>
      <c r="D500" s="452"/>
      <c r="E500" s="435"/>
      <c r="F500" s="435"/>
      <c r="G500" s="436">
        <f t="shared" si="138"/>
        <v>0</v>
      </c>
      <c r="H500" s="435"/>
      <c r="I500" s="435"/>
      <c r="J500" s="435"/>
      <c r="K500" s="435"/>
      <c r="L500" s="435"/>
      <c r="M500" s="437"/>
      <c r="N500" s="419" t="e">
        <f t="shared" si="157"/>
        <v>#DIV/0!</v>
      </c>
    </row>
    <row r="501" spans="1:14" ht="12.75" hidden="1" customHeight="1" x14ac:dyDescent="0.25">
      <c r="A501" s="717" t="s">
        <v>0</v>
      </c>
      <c r="B501" s="718" t="s">
        <v>1</v>
      </c>
      <c r="C501" s="719" t="s">
        <v>2</v>
      </c>
      <c r="D501" s="455" t="s">
        <v>217</v>
      </c>
      <c r="E501" s="719" t="s">
        <v>217</v>
      </c>
      <c r="F501" s="508" t="s">
        <v>217</v>
      </c>
      <c r="G501" s="714" t="s">
        <v>198</v>
      </c>
      <c r="H501" s="720"/>
      <c r="I501" s="720"/>
      <c r="J501" s="720"/>
      <c r="K501" s="720"/>
      <c r="L501" s="720"/>
      <c r="M501" s="721"/>
      <c r="N501" s="419" t="e">
        <f t="shared" si="157"/>
        <v>#VALUE!</v>
      </c>
    </row>
    <row r="502" spans="1:14" ht="12.75" hidden="1" customHeight="1" x14ac:dyDescent="0.25">
      <c r="A502" s="717"/>
      <c r="B502" s="718"/>
      <c r="C502" s="719"/>
      <c r="D502" s="455"/>
      <c r="E502" s="719"/>
      <c r="F502" s="508"/>
      <c r="G502" s="714" t="s">
        <v>199</v>
      </c>
      <c r="H502" s="714" t="s">
        <v>200</v>
      </c>
      <c r="I502" s="720"/>
      <c r="J502" s="720"/>
      <c r="K502" s="720"/>
      <c r="L502" s="714" t="s">
        <v>7</v>
      </c>
      <c r="M502" s="722" t="s">
        <v>8</v>
      </c>
      <c r="N502" s="419" t="e">
        <f t="shared" si="157"/>
        <v>#VALUE!</v>
      </c>
    </row>
    <row r="503" spans="1:14" ht="12.75" hidden="1" customHeight="1" x14ac:dyDescent="0.25">
      <c r="A503" s="717"/>
      <c r="B503" s="718"/>
      <c r="C503" s="719"/>
      <c r="D503" s="455"/>
      <c r="E503" s="719"/>
      <c r="F503" s="508"/>
      <c r="G503" s="720"/>
      <c r="H503" s="509" t="s">
        <v>201</v>
      </c>
      <c r="I503" s="509" t="s">
        <v>10</v>
      </c>
      <c r="J503" s="509" t="s">
        <v>11</v>
      </c>
      <c r="K503" s="509" t="s">
        <v>12</v>
      </c>
      <c r="L503" s="720"/>
      <c r="M503" s="721"/>
      <c r="N503" s="419" t="e">
        <f t="shared" si="157"/>
        <v>#DIV/0!</v>
      </c>
    </row>
    <row r="504" spans="1:14" ht="12.75" hidden="1" customHeight="1" x14ac:dyDescent="0.25">
      <c r="A504" s="456" t="s">
        <v>18</v>
      </c>
      <c r="B504" s="507" t="s">
        <v>19</v>
      </c>
      <c r="C504" s="429" t="s">
        <v>20</v>
      </c>
      <c r="D504" s="455" t="s">
        <v>21</v>
      </c>
      <c r="E504" s="429" t="s">
        <v>21</v>
      </c>
      <c r="F504" s="429" t="s">
        <v>21</v>
      </c>
      <c r="G504" s="429" t="s">
        <v>22</v>
      </c>
      <c r="H504" s="429" t="s">
        <v>23</v>
      </c>
      <c r="I504" s="429" t="s">
        <v>24</v>
      </c>
      <c r="J504" s="429" t="s">
        <v>25</v>
      </c>
      <c r="K504" s="429" t="s">
        <v>26</v>
      </c>
      <c r="L504" s="429" t="s">
        <v>27</v>
      </c>
      <c r="M504" s="434" t="s">
        <v>28</v>
      </c>
      <c r="N504" s="419">
        <f t="shared" si="157"/>
        <v>1.25</v>
      </c>
    </row>
    <row r="505" spans="1:14" ht="12.75" hidden="1" customHeight="1" x14ac:dyDescent="0.25">
      <c r="A505" s="451">
        <v>5416</v>
      </c>
      <c r="B505" s="423">
        <v>621200</v>
      </c>
      <c r="C505" s="424" t="s">
        <v>443</v>
      </c>
      <c r="D505" s="452"/>
      <c r="E505" s="435"/>
      <c r="F505" s="435"/>
      <c r="G505" s="436">
        <f t="shared" si="138"/>
        <v>0</v>
      </c>
      <c r="H505" s="435"/>
      <c r="I505" s="435"/>
      <c r="J505" s="435"/>
      <c r="K505" s="435"/>
      <c r="L505" s="435"/>
      <c r="M505" s="437"/>
      <c r="N505" s="419" t="e">
        <f t="shared" si="157"/>
        <v>#DIV/0!</v>
      </c>
    </row>
    <row r="506" spans="1:14" ht="12.75" hidden="1" customHeight="1" x14ac:dyDescent="0.25">
      <c r="A506" s="451">
        <v>5417</v>
      </c>
      <c r="B506" s="423">
        <v>621300</v>
      </c>
      <c r="C506" s="424" t="s">
        <v>444</v>
      </c>
      <c r="D506" s="452"/>
      <c r="E506" s="435"/>
      <c r="F506" s="435"/>
      <c r="G506" s="436">
        <f t="shared" si="138"/>
        <v>0</v>
      </c>
      <c r="H506" s="435"/>
      <c r="I506" s="435"/>
      <c r="J506" s="435"/>
      <c r="K506" s="435"/>
      <c r="L506" s="435"/>
      <c r="M506" s="437"/>
      <c r="N506" s="419" t="e">
        <f t="shared" si="157"/>
        <v>#DIV/0!</v>
      </c>
    </row>
    <row r="507" spans="1:14" ht="12.75" hidden="1" customHeight="1" x14ac:dyDescent="0.25">
      <c r="A507" s="451">
        <v>5418</v>
      </c>
      <c r="B507" s="423">
        <v>621400</v>
      </c>
      <c r="C507" s="424" t="s">
        <v>445</v>
      </c>
      <c r="D507" s="452"/>
      <c r="E507" s="435"/>
      <c r="F507" s="435"/>
      <c r="G507" s="436">
        <f t="shared" si="138"/>
        <v>0</v>
      </c>
      <c r="H507" s="435"/>
      <c r="I507" s="435"/>
      <c r="J507" s="435"/>
      <c r="K507" s="435"/>
      <c r="L507" s="435"/>
      <c r="M507" s="437"/>
      <c r="N507" s="419" t="e">
        <f t="shared" si="157"/>
        <v>#DIV/0!</v>
      </c>
    </row>
    <row r="508" spans="1:14" ht="12.75" hidden="1" customHeight="1" x14ac:dyDescent="0.25">
      <c r="A508" s="451">
        <v>5419</v>
      </c>
      <c r="B508" s="423">
        <v>621500</v>
      </c>
      <c r="C508" s="424" t="s">
        <v>446</v>
      </c>
      <c r="D508" s="452"/>
      <c r="E508" s="435"/>
      <c r="F508" s="435"/>
      <c r="G508" s="436">
        <f t="shared" si="138"/>
        <v>0</v>
      </c>
      <c r="H508" s="435"/>
      <c r="I508" s="435"/>
      <c r="J508" s="435"/>
      <c r="K508" s="435"/>
      <c r="L508" s="435"/>
      <c r="M508" s="437"/>
      <c r="N508" s="419" t="e">
        <f t="shared" si="157"/>
        <v>#DIV/0!</v>
      </c>
    </row>
    <row r="509" spans="1:14" ht="12.75" hidden="1" customHeight="1" x14ac:dyDescent="0.25">
      <c r="A509" s="451">
        <v>5420</v>
      </c>
      <c r="B509" s="423">
        <v>621600</v>
      </c>
      <c r="C509" s="424" t="s">
        <v>447</v>
      </c>
      <c r="D509" s="452"/>
      <c r="E509" s="435"/>
      <c r="F509" s="435"/>
      <c r="G509" s="436">
        <f t="shared" si="138"/>
        <v>0</v>
      </c>
      <c r="H509" s="435"/>
      <c r="I509" s="435"/>
      <c r="J509" s="435"/>
      <c r="K509" s="435"/>
      <c r="L509" s="435"/>
      <c r="M509" s="437"/>
      <c r="N509" s="419" t="e">
        <f t="shared" si="157"/>
        <v>#DIV/0!</v>
      </c>
    </row>
    <row r="510" spans="1:14" ht="12.75" hidden="1" customHeight="1" x14ac:dyDescent="0.25">
      <c r="A510" s="451">
        <v>5421</v>
      </c>
      <c r="B510" s="423">
        <v>621700</v>
      </c>
      <c r="C510" s="424" t="s">
        <v>448</v>
      </c>
      <c r="D510" s="452"/>
      <c r="E510" s="435"/>
      <c r="F510" s="435"/>
      <c r="G510" s="436">
        <f t="shared" si="138"/>
        <v>0</v>
      </c>
      <c r="H510" s="435"/>
      <c r="I510" s="435"/>
      <c r="J510" s="435"/>
      <c r="K510" s="435"/>
      <c r="L510" s="435"/>
      <c r="M510" s="437"/>
      <c r="N510" s="419" t="e">
        <f t="shared" si="157"/>
        <v>#DIV/0!</v>
      </c>
    </row>
    <row r="511" spans="1:14" ht="12.75" hidden="1" customHeight="1" x14ac:dyDescent="0.25">
      <c r="A511" s="451">
        <v>5422</v>
      </c>
      <c r="B511" s="423">
        <v>621800</v>
      </c>
      <c r="C511" s="424" t="s">
        <v>449</v>
      </c>
      <c r="D511" s="452"/>
      <c r="E511" s="435"/>
      <c r="F511" s="435"/>
      <c r="G511" s="436">
        <f t="shared" si="138"/>
        <v>0</v>
      </c>
      <c r="H511" s="435"/>
      <c r="I511" s="435"/>
      <c r="J511" s="435"/>
      <c r="K511" s="435"/>
      <c r="L511" s="435"/>
      <c r="M511" s="437"/>
      <c r="N511" s="419" t="e">
        <f t="shared" si="157"/>
        <v>#DIV/0!</v>
      </c>
    </row>
    <row r="512" spans="1:14" ht="12.75" hidden="1" customHeight="1" x14ac:dyDescent="0.25">
      <c r="A512" s="451">
        <v>5423</v>
      </c>
      <c r="B512" s="423">
        <v>621900</v>
      </c>
      <c r="C512" s="424" t="s">
        <v>450</v>
      </c>
      <c r="D512" s="452"/>
      <c r="E512" s="435"/>
      <c r="F512" s="435"/>
      <c r="G512" s="436">
        <f t="shared" si="138"/>
        <v>0</v>
      </c>
      <c r="H512" s="435"/>
      <c r="I512" s="435"/>
      <c r="J512" s="435"/>
      <c r="K512" s="435"/>
      <c r="L512" s="435"/>
      <c r="M512" s="437"/>
      <c r="N512" s="419" t="e">
        <f t="shared" si="157"/>
        <v>#DIV/0!</v>
      </c>
    </row>
    <row r="513" spans="1:14" ht="12.75" hidden="1" customHeight="1" x14ac:dyDescent="0.25">
      <c r="A513" s="450">
        <v>5424</v>
      </c>
      <c r="B513" s="506">
        <v>622000</v>
      </c>
      <c r="C513" s="416" t="s">
        <v>451</v>
      </c>
      <c r="D513" s="441">
        <f>SUM(D514:D521)</f>
        <v>0</v>
      </c>
      <c r="E513" s="417">
        <f>SUM(E514:E521)</f>
        <v>0</v>
      </c>
      <c r="F513" s="417">
        <f>SUM(F514:F521)</f>
        <v>0</v>
      </c>
      <c r="G513" s="417">
        <f t="shared" si="138"/>
        <v>0</v>
      </c>
      <c r="H513" s="417">
        <f t="shared" ref="H513:M513" si="160">SUM(H514:H521)</f>
        <v>0</v>
      </c>
      <c r="I513" s="417">
        <f t="shared" si="160"/>
        <v>0</v>
      </c>
      <c r="J513" s="417">
        <f t="shared" si="160"/>
        <v>0</v>
      </c>
      <c r="K513" s="417">
        <f t="shared" si="160"/>
        <v>0</v>
      </c>
      <c r="L513" s="417">
        <f t="shared" si="160"/>
        <v>0</v>
      </c>
      <c r="M513" s="418">
        <f t="shared" si="160"/>
        <v>0</v>
      </c>
      <c r="N513" s="419" t="e">
        <f t="shared" si="157"/>
        <v>#DIV/0!</v>
      </c>
    </row>
    <row r="514" spans="1:14" ht="12.75" hidden="1" customHeight="1" x14ac:dyDescent="0.25">
      <c r="A514" s="451">
        <v>5425</v>
      </c>
      <c r="B514" s="423">
        <v>622100</v>
      </c>
      <c r="C514" s="424" t="s">
        <v>452</v>
      </c>
      <c r="D514" s="452"/>
      <c r="E514" s="435"/>
      <c r="F514" s="435"/>
      <c r="G514" s="436">
        <f t="shared" si="138"/>
        <v>0</v>
      </c>
      <c r="H514" s="435"/>
      <c r="I514" s="435"/>
      <c r="J514" s="435"/>
      <c r="K514" s="435"/>
      <c r="L514" s="435"/>
      <c r="M514" s="437"/>
      <c r="N514" s="419" t="e">
        <f t="shared" si="157"/>
        <v>#DIV/0!</v>
      </c>
    </row>
    <row r="515" spans="1:14" ht="12.75" hidden="1" customHeight="1" x14ac:dyDescent="0.25">
      <c r="A515" s="451">
        <v>5426</v>
      </c>
      <c r="B515" s="423">
        <v>622200</v>
      </c>
      <c r="C515" s="424" t="s">
        <v>453</v>
      </c>
      <c r="D515" s="452"/>
      <c r="E515" s="435"/>
      <c r="F515" s="435"/>
      <c r="G515" s="436">
        <f t="shared" si="138"/>
        <v>0</v>
      </c>
      <c r="H515" s="435"/>
      <c r="I515" s="435"/>
      <c r="J515" s="435"/>
      <c r="K515" s="435"/>
      <c r="L515" s="435"/>
      <c r="M515" s="437"/>
      <c r="N515" s="419" t="e">
        <f t="shared" si="157"/>
        <v>#DIV/0!</v>
      </c>
    </row>
    <row r="516" spans="1:14" ht="12.75" hidden="1" customHeight="1" x14ac:dyDescent="0.25">
      <c r="A516" s="451">
        <v>5427</v>
      </c>
      <c r="B516" s="423">
        <v>622300</v>
      </c>
      <c r="C516" s="424" t="s">
        <v>454</v>
      </c>
      <c r="D516" s="452"/>
      <c r="E516" s="435"/>
      <c r="F516" s="435"/>
      <c r="G516" s="436">
        <f t="shared" si="138"/>
        <v>0</v>
      </c>
      <c r="H516" s="435"/>
      <c r="I516" s="435"/>
      <c r="J516" s="435"/>
      <c r="K516" s="435"/>
      <c r="L516" s="435"/>
      <c r="M516" s="437"/>
      <c r="N516" s="419" t="e">
        <f t="shared" si="157"/>
        <v>#DIV/0!</v>
      </c>
    </row>
    <row r="517" spans="1:14" ht="12.75" hidden="1" customHeight="1" x14ac:dyDescent="0.25">
      <c r="A517" s="451">
        <v>5428</v>
      </c>
      <c r="B517" s="423">
        <v>622400</v>
      </c>
      <c r="C517" s="424" t="s">
        <v>455</v>
      </c>
      <c r="D517" s="452"/>
      <c r="E517" s="435"/>
      <c r="F517" s="435"/>
      <c r="G517" s="436">
        <f t="shared" si="138"/>
        <v>0</v>
      </c>
      <c r="H517" s="435"/>
      <c r="I517" s="435"/>
      <c r="J517" s="435"/>
      <c r="K517" s="435"/>
      <c r="L517" s="435"/>
      <c r="M517" s="437"/>
      <c r="N517" s="419" t="e">
        <f t="shared" si="157"/>
        <v>#DIV/0!</v>
      </c>
    </row>
    <row r="518" spans="1:14" ht="12.75" hidden="1" customHeight="1" x14ac:dyDescent="0.25">
      <c r="A518" s="451">
        <v>5429</v>
      </c>
      <c r="B518" s="423">
        <v>622500</v>
      </c>
      <c r="C518" s="424" t="s">
        <v>456</v>
      </c>
      <c r="D518" s="452"/>
      <c r="E518" s="435"/>
      <c r="F518" s="435"/>
      <c r="G518" s="436">
        <f t="shared" si="138"/>
        <v>0</v>
      </c>
      <c r="H518" s="435"/>
      <c r="I518" s="435"/>
      <c r="J518" s="435"/>
      <c r="K518" s="435"/>
      <c r="L518" s="435"/>
      <c r="M518" s="437"/>
      <c r="N518" s="419" t="e">
        <f t="shared" si="157"/>
        <v>#DIV/0!</v>
      </c>
    </row>
    <row r="519" spans="1:14" ht="12.75" hidden="1" customHeight="1" x14ac:dyDescent="0.25">
      <c r="A519" s="451">
        <v>5430</v>
      </c>
      <c r="B519" s="423">
        <v>622600</v>
      </c>
      <c r="C519" s="424" t="s">
        <v>457</v>
      </c>
      <c r="D519" s="452"/>
      <c r="E519" s="435"/>
      <c r="F519" s="435"/>
      <c r="G519" s="436">
        <f t="shared" ref="G519:G524" si="161">SUM(H519:M519)</f>
        <v>0</v>
      </c>
      <c r="H519" s="435"/>
      <c r="I519" s="435"/>
      <c r="J519" s="435"/>
      <c r="K519" s="435"/>
      <c r="L519" s="435"/>
      <c r="M519" s="437"/>
      <c r="N519" s="419" t="e">
        <f t="shared" si="157"/>
        <v>#DIV/0!</v>
      </c>
    </row>
    <row r="520" spans="1:14" ht="12.75" hidden="1" customHeight="1" x14ac:dyDescent="0.25">
      <c r="A520" s="451">
        <v>5431</v>
      </c>
      <c r="B520" s="423">
        <v>622700</v>
      </c>
      <c r="C520" s="424" t="s">
        <v>458</v>
      </c>
      <c r="D520" s="452"/>
      <c r="E520" s="435"/>
      <c r="F520" s="435"/>
      <c r="G520" s="436">
        <f t="shared" si="161"/>
        <v>0</v>
      </c>
      <c r="H520" s="435"/>
      <c r="I520" s="435"/>
      <c r="J520" s="435"/>
      <c r="K520" s="435"/>
      <c r="L520" s="435"/>
      <c r="M520" s="437"/>
      <c r="N520" s="419" t="e">
        <f t="shared" si="157"/>
        <v>#DIV/0!</v>
      </c>
    </row>
    <row r="521" spans="1:14" ht="12.75" hidden="1" customHeight="1" x14ac:dyDescent="0.25">
      <c r="A521" s="451">
        <v>5432</v>
      </c>
      <c r="B521" s="423">
        <v>622800</v>
      </c>
      <c r="C521" s="424" t="s">
        <v>459</v>
      </c>
      <c r="D521" s="452"/>
      <c r="E521" s="435"/>
      <c r="F521" s="435"/>
      <c r="G521" s="436">
        <f t="shared" si="161"/>
        <v>0</v>
      </c>
      <c r="H521" s="435"/>
      <c r="I521" s="435"/>
      <c r="J521" s="435"/>
      <c r="K521" s="435"/>
      <c r="L521" s="435"/>
      <c r="M521" s="437"/>
      <c r="N521" s="419" t="e">
        <f t="shared" si="157"/>
        <v>#DIV/0!</v>
      </c>
    </row>
    <row r="522" spans="1:14" ht="12.75" hidden="1" customHeight="1" x14ac:dyDescent="0.25">
      <c r="A522" s="450">
        <v>5433</v>
      </c>
      <c r="B522" s="506">
        <v>623000</v>
      </c>
      <c r="C522" s="416" t="s">
        <v>460</v>
      </c>
      <c r="D522" s="441">
        <f>D523</f>
        <v>0</v>
      </c>
      <c r="E522" s="417">
        <f>E523</f>
        <v>0</v>
      </c>
      <c r="F522" s="417">
        <f>F523</f>
        <v>0</v>
      </c>
      <c r="G522" s="417">
        <f t="shared" si="161"/>
        <v>0</v>
      </c>
      <c r="H522" s="417">
        <f t="shared" ref="H522:M522" si="162">H523</f>
        <v>0</v>
      </c>
      <c r="I522" s="417">
        <f t="shared" si="162"/>
        <v>0</v>
      </c>
      <c r="J522" s="417">
        <f t="shared" si="162"/>
        <v>0</v>
      </c>
      <c r="K522" s="417">
        <f t="shared" si="162"/>
        <v>0</v>
      </c>
      <c r="L522" s="417">
        <f t="shared" si="162"/>
        <v>0</v>
      </c>
      <c r="M522" s="418">
        <f t="shared" si="162"/>
        <v>0</v>
      </c>
      <c r="N522" s="419" t="e">
        <f t="shared" si="157"/>
        <v>#DIV/0!</v>
      </c>
    </row>
    <row r="523" spans="1:14" ht="12.75" hidden="1" customHeight="1" x14ac:dyDescent="0.25">
      <c r="A523" s="451">
        <v>5434</v>
      </c>
      <c r="B523" s="423">
        <v>623100</v>
      </c>
      <c r="C523" s="424" t="s">
        <v>461</v>
      </c>
      <c r="D523" s="452"/>
      <c r="E523" s="435"/>
      <c r="F523" s="435"/>
      <c r="G523" s="436">
        <f t="shared" si="161"/>
        <v>0</v>
      </c>
      <c r="H523" s="435"/>
      <c r="I523" s="435"/>
      <c r="J523" s="435"/>
      <c r="K523" s="435"/>
      <c r="L523" s="435"/>
      <c r="M523" s="437"/>
      <c r="N523" s="419" t="e">
        <f t="shared" si="157"/>
        <v>#DIV/0!</v>
      </c>
    </row>
    <row r="524" spans="1:14" ht="12.75" customHeight="1" thickBot="1" x14ac:dyDescent="0.3">
      <c r="A524" s="460">
        <v>5435</v>
      </c>
      <c r="B524" s="443"/>
      <c r="C524" s="444" t="s">
        <v>462</v>
      </c>
      <c r="D524" s="461">
        <f>D220+D468</f>
        <v>69812</v>
      </c>
      <c r="E524" s="445">
        <f>E220+E468</f>
        <v>1652217</v>
      </c>
      <c r="F524" s="445">
        <f>F220+F468</f>
        <v>1722029</v>
      </c>
      <c r="G524" s="445">
        <f t="shared" si="161"/>
        <v>1222111</v>
      </c>
      <c r="H524" s="445">
        <f t="shared" ref="H524:M524" si="163">H220+H468</f>
        <v>3148</v>
      </c>
      <c r="I524" s="445">
        <f t="shared" si="163"/>
        <v>0</v>
      </c>
      <c r="J524" s="445">
        <f t="shared" si="163"/>
        <v>5865</v>
      </c>
      <c r="K524" s="445">
        <f t="shared" si="163"/>
        <v>1203879</v>
      </c>
      <c r="L524" s="445">
        <f t="shared" si="163"/>
        <v>0</v>
      </c>
      <c r="M524" s="446">
        <f t="shared" si="163"/>
        <v>9219</v>
      </c>
      <c r="N524" s="447">
        <f t="shared" si="157"/>
        <v>0.70969246162521071</v>
      </c>
    </row>
    <row r="525" spans="1:14" ht="18.75" customHeight="1" x14ac:dyDescent="0.25">
      <c r="A525" s="448"/>
      <c r="B525" s="449"/>
      <c r="C525" s="449"/>
      <c r="D525" s="449"/>
      <c r="E525" s="449"/>
      <c r="F525" s="449"/>
      <c r="G525" s="449"/>
      <c r="H525" s="449"/>
      <c r="I525" s="449"/>
      <c r="J525" s="449"/>
      <c r="K525" s="449"/>
      <c r="L525" s="449"/>
      <c r="M525" s="449"/>
    </row>
    <row r="526" spans="1:14" ht="12.75" customHeight="1" x14ac:dyDescent="0.25">
      <c r="A526" s="414" t="s">
        <v>516</v>
      </c>
      <c r="B526" s="449"/>
      <c r="C526" s="449"/>
      <c r="D526" s="449"/>
      <c r="E526" s="449"/>
      <c r="F526" s="449"/>
      <c r="G526" s="449"/>
      <c r="H526" s="449"/>
      <c r="I526" s="449"/>
      <c r="J526" s="449"/>
      <c r="K526" s="449"/>
      <c r="L526" s="449"/>
      <c r="M526" s="449"/>
    </row>
    <row r="527" spans="1:14" ht="12.75" customHeight="1" thickBot="1" x14ac:dyDescent="0.3">
      <c r="A527" s="448"/>
      <c r="B527" s="449"/>
      <c r="C527" s="449"/>
      <c r="D527" s="449"/>
      <c r="E527" s="449"/>
      <c r="F527" s="449"/>
      <c r="G527" s="449"/>
      <c r="H527" s="449"/>
      <c r="I527" s="449"/>
      <c r="J527" s="449"/>
      <c r="K527" s="449"/>
      <c r="L527" s="449"/>
      <c r="M527" s="449"/>
    </row>
    <row r="528" spans="1:14" ht="12.75" customHeight="1" thickBot="1" x14ac:dyDescent="0.3">
      <c r="A528" s="709" t="s">
        <v>0</v>
      </c>
      <c r="B528" s="711" t="s">
        <v>1</v>
      </c>
      <c r="C528" s="713" t="s">
        <v>2</v>
      </c>
      <c r="D528" s="715" t="s">
        <v>560</v>
      </c>
      <c r="E528" s="715" t="s">
        <v>517</v>
      </c>
      <c r="F528" s="715" t="s">
        <v>547</v>
      </c>
      <c r="G528" s="705" t="s">
        <v>518</v>
      </c>
      <c r="H528" s="705"/>
      <c r="I528" s="705"/>
      <c r="J528" s="705"/>
      <c r="K528" s="705"/>
      <c r="L528" s="705"/>
      <c r="M528" s="706"/>
    </row>
    <row r="529" spans="1:13" ht="12.75" customHeight="1" thickBot="1" x14ac:dyDescent="0.3">
      <c r="A529" s="710"/>
      <c r="B529" s="712"/>
      <c r="C529" s="714"/>
      <c r="D529" s="716"/>
      <c r="E529" s="716"/>
      <c r="F529" s="716"/>
      <c r="G529" s="707" t="s">
        <v>553</v>
      </c>
      <c r="H529" s="707" t="s">
        <v>519</v>
      </c>
      <c r="I529" s="707"/>
      <c r="J529" s="707"/>
      <c r="K529" s="707"/>
      <c r="L529" s="707" t="s">
        <v>7</v>
      </c>
      <c r="M529" s="708" t="s">
        <v>8</v>
      </c>
    </row>
    <row r="530" spans="1:13" s="469" customFormat="1" ht="54" customHeight="1" x14ac:dyDescent="0.25">
      <c r="A530" s="710"/>
      <c r="B530" s="712"/>
      <c r="C530" s="714"/>
      <c r="D530" s="716"/>
      <c r="E530" s="716"/>
      <c r="F530" s="716"/>
      <c r="G530" s="707"/>
      <c r="H530" s="503" t="s">
        <v>9</v>
      </c>
      <c r="I530" s="503" t="s">
        <v>10</v>
      </c>
      <c r="J530" s="503" t="s">
        <v>554</v>
      </c>
      <c r="K530" s="503" t="s">
        <v>12</v>
      </c>
      <c r="L530" s="707"/>
      <c r="M530" s="708"/>
    </row>
    <row r="531" spans="1:13" s="469" customFormat="1" ht="12.75" customHeight="1" x14ac:dyDescent="0.25">
      <c r="A531" s="505">
        <v>1</v>
      </c>
      <c r="B531" s="506">
        <v>2</v>
      </c>
      <c r="C531" s="509">
        <v>3</v>
      </c>
      <c r="D531" s="503">
        <v>4</v>
      </c>
      <c r="E531" s="503">
        <v>5</v>
      </c>
      <c r="F531" s="503" t="s">
        <v>551</v>
      </c>
      <c r="G531" s="503">
        <v>7</v>
      </c>
      <c r="H531" s="503">
        <v>8</v>
      </c>
      <c r="I531" s="503">
        <v>7</v>
      </c>
      <c r="J531" s="503">
        <v>9</v>
      </c>
      <c r="K531" s="503">
        <v>10</v>
      </c>
      <c r="L531" s="503">
        <v>10</v>
      </c>
      <c r="M531" s="472">
        <v>11</v>
      </c>
    </row>
    <row r="532" spans="1:13" s="469" customFormat="1" ht="12.75" customHeight="1" x14ac:dyDescent="0.25">
      <c r="A532" s="505">
        <v>5436</v>
      </c>
      <c r="B532" s="506"/>
      <c r="C532" s="416" t="s">
        <v>520</v>
      </c>
      <c r="D532" s="462">
        <f>D9</f>
        <v>63655</v>
      </c>
      <c r="E532" s="417">
        <f>E9</f>
        <v>1652212</v>
      </c>
      <c r="F532" s="417">
        <f>D532+E532</f>
        <v>1715867</v>
      </c>
      <c r="G532" s="417">
        <f>SUM(H532:M532)</f>
        <v>1215103</v>
      </c>
      <c r="H532" s="417">
        <f t="shared" ref="H532:M532" si="164">H9</f>
        <v>2482</v>
      </c>
      <c r="I532" s="417">
        <f t="shared" si="164"/>
        <v>0</v>
      </c>
      <c r="J532" s="417">
        <f t="shared" si="164"/>
        <v>0</v>
      </c>
      <c r="K532" s="417">
        <f t="shared" si="164"/>
        <v>1202204</v>
      </c>
      <c r="L532" s="417">
        <f t="shared" si="164"/>
        <v>0</v>
      </c>
      <c r="M532" s="463">
        <f t="shared" si="164"/>
        <v>10417</v>
      </c>
    </row>
    <row r="533" spans="1:13" s="469" customFormat="1" ht="12.75" customHeight="1" x14ac:dyDescent="0.25">
      <c r="A533" s="505">
        <v>5437</v>
      </c>
      <c r="B533" s="506"/>
      <c r="C533" s="416" t="s">
        <v>521</v>
      </c>
      <c r="D533" s="462">
        <f>D220</f>
        <v>69812</v>
      </c>
      <c r="E533" s="417">
        <f>E220</f>
        <v>1652217</v>
      </c>
      <c r="F533" s="417">
        <f>D533+E533</f>
        <v>1722029</v>
      </c>
      <c r="G533" s="417">
        <f>SUM(H533:M533)</f>
        <v>1222111</v>
      </c>
      <c r="H533" s="417">
        <f t="shared" ref="H533:M533" si="165">H220</f>
        <v>3148</v>
      </c>
      <c r="I533" s="417">
        <f t="shared" si="165"/>
        <v>0</v>
      </c>
      <c r="J533" s="417">
        <f t="shared" si="165"/>
        <v>5865</v>
      </c>
      <c r="K533" s="417">
        <f t="shared" si="165"/>
        <v>1203879</v>
      </c>
      <c r="L533" s="417">
        <f t="shared" si="165"/>
        <v>0</v>
      </c>
      <c r="M533" s="463">
        <f t="shared" si="165"/>
        <v>9219</v>
      </c>
    </row>
    <row r="534" spans="1:13" s="469" customFormat="1" ht="12.75" customHeight="1" x14ac:dyDescent="0.25">
      <c r="A534" s="422">
        <v>5438</v>
      </c>
      <c r="B534" s="423"/>
      <c r="C534" s="424" t="s">
        <v>522</v>
      </c>
      <c r="D534" s="464">
        <f>IF((D532-D533)&gt;0,D532-D533,0)</f>
        <v>0</v>
      </c>
      <c r="E534" s="436">
        <f>IF((E532-E533)&gt;0,E532-E533,0)</f>
        <v>0</v>
      </c>
      <c r="F534" s="436">
        <f>IF((F532-F533)&gt;0,F532-F533,0)</f>
        <v>0</v>
      </c>
      <c r="G534" s="436">
        <f>IF((G532-G533)&gt;0,G532-G533,0)</f>
        <v>0</v>
      </c>
      <c r="H534" s="436">
        <f t="shared" ref="H534:M534" si="166">IF((H532-H533)&gt;0,H532-H533,0)</f>
        <v>0</v>
      </c>
      <c r="I534" s="436">
        <f t="shared" si="166"/>
        <v>0</v>
      </c>
      <c r="J534" s="436">
        <f t="shared" si="166"/>
        <v>0</v>
      </c>
      <c r="K534" s="436">
        <f t="shared" si="166"/>
        <v>0</v>
      </c>
      <c r="L534" s="436">
        <f t="shared" si="166"/>
        <v>0</v>
      </c>
      <c r="M534" s="465">
        <f t="shared" si="166"/>
        <v>1198</v>
      </c>
    </row>
    <row r="535" spans="1:13" s="469" customFormat="1" ht="12.75" customHeight="1" x14ac:dyDescent="0.25">
      <c r="A535" s="422">
        <v>5439</v>
      </c>
      <c r="B535" s="423"/>
      <c r="C535" s="424" t="s">
        <v>523</v>
      </c>
      <c r="D535" s="464">
        <f>IF((D533-D532)&gt;0,D533-D532,0)</f>
        <v>6157</v>
      </c>
      <c r="E535" s="436">
        <f>IF((E533-E532)&gt;0,E533-E532,0)</f>
        <v>5</v>
      </c>
      <c r="F535" s="436">
        <f>IF((F533-F532)&gt;0,F533-F532,0)</f>
        <v>6162</v>
      </c>
      <c r="G535" s="436">
        <f>IF((G533-G532)&gt;0,G533-G532,0)</f>
        <v>7008</v>
      </c>
      <c r="H535" s="436">
        <f t="shared" ref="H535:M535" si="167">IF((H533-H532)&gt;0,H533-H532,0)</f>
        <v>666</v>
      </c>
      <c r="I535" s="436">
        <f t="shared" si="167"/>
        <v>0</v>
      </c>
      <c r="J535" s="436">
        <f t="shared" si="167"/>
        <v>5865</v>
      </c>
      <c r="K535" s="436">
        <f t="shared" si="167"/>
        <v>1675</v>
      </c>
      <c r="L535" s="436">
        <f t="shared" si="167"/>
        <v>0</v>
      </c>
      <c r="M535" s="465">
        <f t="shared" si="167"/>
        <v>0</v>
      </c>
    </row>
    <row r="536" spans="1:13" s="469" customFormat="1" ht="12.75" customHeight="1" x14ac:dyDescent="0.25">
      <c r="A536" s="505">
        <v>5440</v>
      </c>
      <c r="B536" s="506">
        <v>900000</v>
      </c>
      <c r="C536" s="416" t="s">
        <v>524</v>
      </c>
      <c r="D536" s="416"/>
      <c r="E536" s="417">
        <f>E163</f>
        <v>0</v>
      </c>
      <c r="F536" s="417"/>
      <c r="G536" s="417">
        <f>SUM(H536:M536)</f>
        <v>0</v>
      </c>
      <c r="H536" s="417">
        <f t="shared" ref="H536:M536" si="168">H163</f>
        <v>0</v>
      </c>
      <c r="I536" s="417">
        <f t="shared" si="168"/>
        <v>0</v>
      </c>
      <c r="J536" s="417">
        <f t="shared" si="168"/>
        <v>0</v>
      </c>
      <c r="K536" s="417">
        <f t="shared" si="168"/>
        <v>0</v>
      </c>
      <c r="L536" s="417">
        <f t="shared" si="168"/>
        <v>0</v>
      </c>
      <c r="M536" s="463">
        <f t="shared" si="168"/>
        <v>0</v>
      </c>
    </row>
    <row r="537" spans="1:13" s="469" customFormat="1" ht="12.75" customHeight="1" x14ac:dyDescent="0.25">
      <c r="A537" s="505">
        <v>5441</v>
      </c>
      <c r="B537" s="506">
        <v>600000</v>
      </c>
      <c r="C537" s="416" t="s">
        <v>525</v>
      </c>
      <c r="D537" s="416"/>
      <c r="E537" s="417">
        <f>E468</f>
        <v>0</v>
      </c>
      <c r="F537" s="417"/>
      <c r="G537" s="417">
        <f>SUM(H537:M537)</f>
        <v>0</v>
      </c>
      <c r="H537" s="417">
        <f t="shared" ref="H537:M537" si="169">H468</f>
        <v>0</v>
      </c>
      <c r="I537" s="417">
        <f t="shared" si="169"/>
        <v>0</v>
      </c>
      <c r="J537" s="417">
        <f t="shared" si="169"/>
        <v>0</v>
      </c>
      <c r="K537" s="417">
        <f t="shared" si="169"/>
        <v>0</v>
      </c>
      <c r="L537" s="417">
        <f t="shared" si="169"/>
        <v>0</v>
      </c>
      <c r="M537" s="463">
        <f t="shared" si="169"/>
        <v>0</v>
      </c>
    </row>
    <row r="538" spans="1:13" s="469" customFormat="1" ht="12.75" customHeight="1" x14ac:dyDescent="0.25">
      <c r="A538" s="505">
        <v>5442</v>
      </c>
      <c r="B538" s="506"/>
      <c r="C538" s="416" t="s">
        <v>526</v>
      </c>
      <c r="D538" s="416"/>
      <c r="E538" s="417">
        <f>IF((E536-E537)&gt;0,E536-E537,0)</f>
        <v>0</v>
      </c>
      <c r="F538" s="417"/>
      <c r="G538" s="417">
        <f>IF((G536-G537)&gt;0,G536-G537,0)</f>
        <v>0</v>
      </c>
      <c r="H538" s="417">
        <f t="shared" ref="H538:M538" si="170">IF((H536-H537)&gt;0,H536-H537,0)</f>
        <v>0</v>
      </c>
      <c r="I538" s="417">
        <f t="shared" si="170"/>
        <v>0</v>
      </c>
      <c r="J538" s="417">
        <f t="shared" si="170"/>
        <v>0</v>
      </c>
      <c r="K538" s="417">
        <f t="shared" si="170"/>
        <v>0</v>
      </c>
      <c r="L538" s="417">
        <f t="shared" si="170"/>
        <v>0</v>
      </c>
      <c r="M538" s="463">
        <f t="shared" si="170"/>
        <v>0</v>
      </c>
    </row>
    <row r="539" spans="1:13" s="469" customFormat="1" ht="12.75" customHeight="1" x14ac:dyDescent="0.25">
      <c r="A539" s="505">
        <v>5443</v>
      </c>
      <c r="B539" s="506"/>
      <c r="C539" s="416" t="s">
        <v>527</v>
      </c>
      <c r="D539" s="416"/>
      <c r="E539" s="417">
        <f>IF((E537-E536)&gt;0,E537-E536,0)</f>
        <v>0</v>
      </c>
      <c r="F539" s="417"/>
      <c r="G539" s="417">
        <f>IF((G537-G536)&gt;0,G537-G536,0)</f>
        <v>0</v>
      </c>
      <c r="H539" s="417">
        <f t="shared" ref="H539:M539" si="171">IF((H537-H536)&gt;0,H537-H536,0)</f>
        <v>0</v>
      </c>
      <c r="I539" s="417">
        <f t="shared" si="171"/>
        <v>0</v>
      </c>
      <c r="J539" s="417">
        <f t="shared" si="171"/>
        <v>0</v>
      </c>
      <c r="K539" s="417">
        <f t="shared" si="171"/>
        <v>0</v>
      </c>
      <c r="L539" s="417">
        <f t="shared" si="171"/>
        <v>0</v>
      </c>
      <c r="M539" s="463">
        <f t="shared" si="171"/>
        <v>0</v>
      </c>
    </row>
    <row r="540" spans="1:13" s="469" customFormat="1" ht="12.75" customHeight="1" x14ac:dyDescent="0.25">
      <c r="A540" s="505">
        <v>5444</v>
      </c>
      <c r="B540" s="506"/>
      <c r="C540" s="416" t="s">
        <v>528</v>
      </c>
      <c r="D540" s="416"/>
      <c r="E540" s="417">
        <f t="shared" ref="E540:M540" si="172">IF(E211-E524&gt;0,E211-E524,0)</f>
        <v>0</v>
      </c>
      <c r="F540" s="417"/>
      <c r="G540" s="417">
        <f t="shared" si="172"/>
        <v>0</v>
      </c>
      <c r="H540" s="417">
        <f t="shared" si="172"/>
        <v>0</v>
      </c>
      <c r="I540" s="417">
        <f t="shared" si="172"/>
        <v>0</v>
      </c>
      <c r="J540" s="417">
        <f t="shared" si="172"/>
        <v>0</v>
      </c>
      <c r="K540" s="417">
        <f t="shared" si="172"/>
        <v>0</v>
      </c>
      <c r="L540" s="417">
        <f t="shared" si="172"/>
        <v>0</v>
      </c>
      <c r="M540" s="463">
        <f t="shared" si="172"/>
        <v>1198</v>
      </c>
    </row>
    <row r="541" spans="1:13" s="469" customFormat="1" ht="12.75" customHeight="1" thickBot="1" x14ac:dyDescent="0.3">
      <c r="A541" s="442">
        <v>5445</v>
      </c>
      <c r="B541" s="466"/>
      <c r="C541" s="444" t="s">
        <v>529</v>
      </c>
      <c r="D541" s="467">
        <f t="shared" ref="D541:M541" si="173">IF(D524-D211&gt;0,D524-D211,0)</f>
        <v>6157</v>
      </c>
      <c r="E541" s="445">
        <f t="shared" si="173"/>
        <v>5</v>
      </c>
      <c r="F541" s="445">
        <f t="shared" si="173"/>
        <v>6162</v>
      </c>
      <c r="G541" s="445">
        <f t="shared" si="173"/>
        <v>7008</v>
      </c>
      <c r="H541" s="445">
        <f t="shared" si="173"/>
        <v>666</v>
      </c>
      <c r="I541" s="445">
        <f t="shared" si="173"/>
        <v>0</v>
      </c>
      <c r="J541" s="445">
        <f t="shared" si="173"/>
        <v>5865</v>
      </c>
      <c r="K541" s="445">
        <f t="shared" si="173"/>
        <v>1675</v>
      </c>
      <c r="L541" s="445">
        <f t="shared" si="173"/>
        <v>0</v>
      </c>
      <c r="M541" s="468">
        <f t="shared" si="173"/>
        <v>0</v>
      </c>
    </row>
  </sheetData>
  <mergeCells count="197">
    <mergeCell ref="G5:M5"/>
    <mergeCell ref="N5:N7"/>
    <mergeCell ref="G6:G7"/>
    <mergeCell ref="H6:K6"/>
    <mergeCell ref="L6:L7"/>
    <mergeCell ref="M6:M7"/>
    <mergeCell ref="A5:A7"/>
    <mergeCell ref="B5:B7"/>
    <mergeCell ref="C5:C7"/>
    <mergeCell ref="D5:D7"/>
    <mergeCell ref="E5:E7"/>
    <mergeCell ref="F5:F7"/>
    <mergeCell ref="A14:A16"/>
    <mergeCell ref="B14:B16"/>
    <mergeCell ref="C14:C16"/>
    <mergeCell ref="E14:E16"/>
    <mergeCell ref="G14:M14"/>
    <mergeCell ref="G15:G16"/>
    <mergeCell ref="H15:K15"/>
    <mergeCell ref="L15:L16"/>
    <mergeCell ref="M15:M16"/>
    <mergeCell ref="A46:A48"/>
    <mergeCell ref="B46:B48"/>
    <mergeCell ref="C46:C48"/>
    <mergeCell ref="E46:E48"/>
    <mergeCell ref="G46:M46"/>
    <mergeCell ref="G47:G48"/>
    <mergeCell ref="H47:K47"/>
    <mergeCell ref="L47:L48"/>
    <mergeCell ref="M47:M48"/>
    <mergeCell ref="A73:A75"/>
    <mergeCell ref="B73:B75"/>
    <mergeCell ref="C73:C75"/>
    <mergeCell ref="E73:E75"/>
    <mergeCell ref="G73:M73"/>
    <mergeCell ref="G74:G75"/>
    <mergeCell ref="H74:K74"/>
    <mergeCell ref="L74:L75"/>
    <mergeCell ref="M74:M75"/>
    <mergeCell ref="A103:A105"/>
    <mergeCell ref="B103:B105"/>
    <mergeCell ref="C103:C105"/>
    <mergeCell ref="E103:E105"/>
    <mergeCell ref="G103:M103"/>
    <mergeCell ref="G104:G105"/>
    <mergeCell ref="H104:K104"/>
    <mergeCell ref="L104:L105"/>
    <mergeCell ref="M104:M105"/>
    <mergeCell ref="A129:A131"/>
    <mergeCell ref="B129:B131"/>
    <mergeCell ref="C129:C131"/>
    <mergeCell ref="E129:E131"/>
    <mergeCell ref="G129:M129"/>
    <mergeCell ref="G130:G131"/>
    <mergeCell ref="H130:K130"/>
    <mergeCell ref="L130:L131"/>
    <mergeCell ref="M130:M131"/>
    <mergeCell ref="A156:A158"/>
    <mergeCell ref="B156:B158"/>
    <mergeCell ref="C156:C158"/>
    <mergeCell ref="E156:E158"/>
    <mergeCell ref="G156:M156"/>
    <mergeCell ref="G157:G158"/>
    <mergeCell ref="H157:K157"/>
    <mergeCell ref="L157:L158"/>
    <mergeCell ref="M157:M158"/>
    <mergeCell ref="A182:A184"/>
    <mergeCell ref="B182:B184"/>
    <mergeCell ref="C182:C184"/>
    <mergeCell ref="E182:E184"/>
    <mergeCell ref="G182:M182"/>
    <mergeCell ref="G183:G184"/>
    <mergeCell ref="H183:K183"/>
    <mergeCell ref="L183:L184"/>
    <mergeCell ref="M183:M184"/>
    <mergeCell ref="A204:A206"/>
    <mergeCell ref="B204:B206"/>
    <mergeCell ref="C204:C206"/>
    <mergeCell ref="E204:E206"/>
    <mergeCell ref="G204:M204"/>
    <mergeCell ref="G205:G206"/>
    <mergeCell ref="H205:K205"/>
    <mergeCell ref="L205:L206"/>
    <mergeCell ref="M205:M206"/>
    <mergeCell ref="G216:M216"/>
    <mergeCell ref="N216:N218"/>
    <mergeCell ref="G217:G218"/>
    <mergeCell ref="H217:K217"/>
    <mergeCell ref="L217:L218"/>
    <mergeCell ref="M217:M218"/>
    <mergeCell ref="A216:A218"/>
    <mergeCell ref="B216:B218"/>
    <mergeCell ref="C216:C218"/>
    <mergeCell ref="D216:D218"/>
    <mergeCell ref="E216:E218"/>
    <mergeCell ref="F216:F218"/>
    <mergeCell ref="A235:A237"/>
    <mergeCell ref="B235:B237"/>
    <mergeCell ref="C235:C237"/>
    <mergeCell ref="E235:E237"/>
    <mergeCell ref="G235:M235"/>
    <mergeCell ref="G236:G237"/>
    <mergeCell ref="H236:K236"/>
    <mergeCell ref="L236:L237"/>
    <mergeCell ref="M236:M237"/>
    <mergeCell ref="A271:A273"/>
    <mergeCell ref="B271:B273"/>
    <mergeCell ref="C271:C273"/>
    <mergeCell ref="E271:E273"/>
    <mergeCell ref="G271:M271"/>
    <mergeCell ref="G272:G273"/>
    <mergeCell ref="H272:K272"/>
    <mergeCell ref="L272:L273"/>
    <mergeCell ref="M272:M273"/>
    <mergeCell ref="A302:A304"/>
    <mergeCell ref="B302:B304"/>
    <mergeCell ref="C302:C304"/>
    <mergeCell ref="E302:E304"/>
    <mergeCell ref="G302:M302"/>
    <mergeCell ref="G303:G304"/>
    <mergeCell ref="H303:K303"/>
    <mergeCell ref="L303:L304"/>
    <mergeCell ref="M303:M304"/>
    <mergeCell ref="A332:A334"/>
    <mergeCell ref="B332:B334"/>
    <mergeCell ref="C332:C334"/>
    <mergeCell ref="E332:E334"/>
    <mergeCell ref="G332:M332"/>
    <mergeCell ref="G333:G334"/>
    <mergeCell ref="H333:K333"/>
    <mergeCell ref="L333:L334"/>
    <mergeCell ref="M333:M334"/>
    <mergeCell ref="A358:A360"/>
    <mergeCell ref="B358:B360"/>
    <mergeCell ref="C358:C360"/>
    <mergeCell ref="E358:E360"/>
    <mergeCell ref="G358:M358"/>
    <mergeCell ref="G359:G360"/>
    <mergeCell ref="H359:K359"/>
    <mergeCell ref="L359:L360"/>
    <mergeCell ref="M359:M360"/>
    <mergeCell ref="A383:A385"/>
    <mergeCell ref="B383:B385"/>
    <mergeCell ref="C383:C385"/>
    <mergeCell ref="E383:E385"/>
    <mergeCell ref="G383:M383"/>
    <mergeCell ref="G384:G385"/>
    <mergeCell ref="H384:K384"/>
    <mergeCell ref="L384:L385"/>
    <mergeCell ref="M384:M385"/>
    <mergeCell ref="A411:A413"/>
    <mergeCell ref="B411:B413"/>
    <mergeCell ref="C411:C413"/>
    <mergeCell ref="E411:E413"/>
    <mergeCell ref="G411:M411"/>
    <mergeCell ref="G412:G413"/>
    <mergeCell ref="H412:K412"/>
    <mergeCell ref="L412:L413"/>
    <mergeCell ref="M412:M413"/>
    <mergeCell ref="A446:A448"/>
    <mergeCell ref="B446:B448"/>
    <mergeCell ref="C446:C448"/>
    <mergeCell ref="E446:E448"/>
    <mergeCell ref="G446:M446"/>
    <mergeCell ref="G447:G448"/>
    <mergeCell ref="H447:K447"/>
    <mergeCell ref="L447:L448"/>
    <mergeCell ref="M447:M448"/>
    <mergeCell ref="A474:A476"/>
    <mergeCell ref="B474:B476"/>
    <mergeCell ref="C474:C476"/>
    <mergeCell ref="E474:E476"/>
    <mergeCell ref="G474:M474"/>
    <mergeCell ref="G475:G476"/>
    <mergeCell ref="H475:K475"/>
    <mergeCell ref="L475:L476"/>
    <mergeCell ref="M475:M476"/>
    <mergeCell ref="A501:A503"/>
    <mergeCell ref="B501:B503"/>
    <mergeCell ref="C501:C503"/>
    <mergeCell ref="E501:E503"/>
    <mergeCell ref="G501:M501"/>
    <mergeCell ref="G502:G503"/>
    <mergeCell ref="H502:K502"/>
    <mergeCell ref="L502:L503"/>
    <mergeCell ref="M502:M503"/>
    <mergeCell ref="G528:M528"/>
    <mergeCell ref="G529:G530"/>
    <mergeCell ref="H529:K529"/>
    <mergeCell ref="L529:L530"/>
    <mergeCell ref="M529:M530"/>
    <mergeCell ref="A528:A530"/>
    <mergeCell ref="B528:B530"/>
    <mergeCell ref="C528:C530"/>
    <mergeCell ref="D528:D530"/>
    <mergeCell ref="E528:E530"/>
    <mergeCell ref="F528:F530"/>
  </mergeCells>
  <dataValidations count="1">
    <dataValidation type="whole" allowBlank="1" showErrorMessage="1" errorTitle="Upozorenje" error="Niste uneli korektnu vrednost!_x000a_Ponovite unos." sqref="E9:M13 E208:M211 F235:F301 E18:M45 E50:M72 E133:M155 E160:M181 E186:M203 E220:M234 E505:M524 E306:M331 E336:M357 E362:M382 E478:M500 E450:M473 E387:M410 E415:M445 E77:E102 G77:M102 E107:E128 G107:M128 E239:E270 G239:M270 E275:E301 F77:F128 G275:M301">
      <formula1>0</formula1>
      <formula2>999999999</formula2>
    </dataValidation>
  </dataValidations>
  <pageMargins left="0.16" right="0.16" top="0.56999999999999995" bottom="0.26" header="0.22" footer="0.3"/>
  <pageSetup paperSize="9" scale="95" orientation="landscape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99FF"/>
  </sheetPr>
  <dimension ref="A1:Q541"/>
  <sheetViews>
    <sheetView tabSelected="1" workbookViewId="0">
      <selection sqref="A1:XFD1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10.42578125" style="12" customWidth="1"/>
    <col min="7" max="7" width="1" style="12" hidden="1" customWidth="1"/>
    <col min="8" max="8" width="8.7109375" style="12" customWidth="1"/>
    <col min="9" max="9" width="7.5703125" style="12" hidden="1" customWidth="1"/>
    <col min="10" max="10" width="4" style="12" hidden="1" customWidth="1"/>
    <col min="11" max="11" width="5.5703125" style="12" customWidth="1"/>
    <col min="12" max="12" width="6.28515625" style="12" hidden="1" customWidth="1"/>
    <col min="13" max="13" width="10.28515625" style="12" customWidth="1"/>
    <col min="14" max="14" width="9.140625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18" width="9.140625" style="12"/>
    <col min="19" max="19" width="20.7109375" style="12" customWidth="1"/>
    <col min="20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51.75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1856610</v>
      </c>
      <c r="G6" s="19">
        <f t="shared" ref="G6:Q6" si="0">G7+G133</f>
        <v>3052719</v>
      </c>
      <c r="H6" s="19">
        <f t="shared" si="0"/>
        <v>218671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>M7+M133</f>
        <v>1623939</v>
      </c>
      <c r="N6" s="19">
        <f t="shared" si="0"/>
        <v>1398192</v>
      </c>
      <c r="O6" s="19">
        <f t="shared" si="0"/>
        <v>0</v>
      </c>
      <c r="P6" s="19">
        <f t="shared" si="0"/>
        <v>13000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1856410</v>
      </c>
      <c r="G7" s="19">
        <f>G8+G60+G74+G86+G115+G122+G126</f>
        <v>3052535</v>
      </c>
      <c r="H7" s="19">
        <f t="shared" ref="H7:Q7" si="1">H8+H60+H74+H86+H115+H122+H126</f>
        <v>218671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>M8+M60+M74+M86+M115+M122+M126</f>
        <v>1623939</v>
      </c>
      <c r="N7" s="19">
        <f t="shared" si="1"/>
        <v>1398192</v>
      </c>
      <c r="O7" s="19">
        <f t="shared" si="1"/>
        <v>0</v>
      </c>
      <c r="P7" s="19">
        <f t="shared" si="1"/>
        <v>12800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90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90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15124</v>
      </c>
      <c r="G86" s="19">
        <f t="shared" ref="G86:Q86" si="21">G87+G94+G99+G110+G113</f>
        <v>14780</v>
      </c>
      <c r="H86" s="19">
        <f>H87+H94+H99+H110+H113</f>
        <v>1000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f>M87+M94+M120</f>
        <v>1324</v>
      </c>
      <c r="N86" s="19">
        <f t="shared" si="21"/>
        <v>1130</v>
      </c>
      <c r="O86" s="19">
        <f t="shared" si="21"/>
        <v>0</v>
      </c>
      <c r="P86" s="19">
        <f>P87+P94+P99+P110+P113+P120</f>
        <v>12800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659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659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659</v>
      </c>
      <c r="G91" s="37">
        <f>SUM(I91:Q91)-K91-M91-P91</f>
        <v>1130</v>
      </c>
      <c r="H91" s="37"/>
      <c r="I91" s="38"/>
      <c r="J91" s="38"/>
      <c r="K91" s="38"/>
      <c r="L91" s="38"/>
      <c r="M91" s="38">
        <f>1500-841</f>
        <v>659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1000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12700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1000</v>
      </c>
      <c r="I97" s="36">
        <v>1165</v>
      </c>
      <c r="J97" s="36"/>
      <c r="K97" s="36"/>
      <c r="L97" s="36"/>
      <c r="M97" s="36"/>
      <c r="N97" s="36"/>
      <c r="O97" s="36"/>
      <c r="P97" s="36">
        <v>7700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90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17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17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17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17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17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17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17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17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765</v>
      </c>
      <c r="G120" s="19">
        <f t="shared" ref="G120:L120" si="32">G121+G122</f>
        <v>3019677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>
        <f>M121</f>
        <v>665</v>
      </c>
      <c r="P120" s="19">
        <f>P121</f>
        <v>100</v>
      </c>
    </row>
    <row r="121" spans="1:17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765</v>
      </c>
      <c r="G121" s="36"/>
      <c r="H121" s="36"/>
      <c r="I121" s="36"/>
      <c r="J121" s="36"/>
      <c r="K121" s="36"/>
      <c r="L121" s="36"/>
      <c r="M121" s="36">
        <v>665</v>
      </c>
      <c r="P121" s="352">
        <v>100</v>
      </c>
    </row>
    <row r="122" spans="1:17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1622615</v>
      </c>
      <c r="G122" s="19">
        <f t="shared" ref="G122:Q122" si="33">G123</f>
        <v>3019677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1622615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17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1622615</v>
      </c>
      <c r="G123" s="19">
        <f t="shared" ref="G123:Q123" si="34">G124+G125</f>
        <v>3019677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1622615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17" ht="26.25" x14ac:dyDescent="0.25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1622615</v>
      </c>
      <c r="G124" s="37">
        <f>SUM(I124:Q124)</f>
        <v>3019677</v>
      </c>
      <c r="H124" s="37"/>
      <c r="I124" s="36"/>
      <c r="J124" s="36"/>
      <c r="K124" s="36"/>
      <c r="L124" s="36"/>
      <c r="M124" s="36">
        <f>1597834+3040+8678+13063</f>
        <v>1622615</v>
      </c>
      <c r="N124" s="36">
        <v>1397062</v>
      </c>
      <c r="O124" s="36"/>
      <c r="P124" s="36"/>
      <c r="Q124" s="72"/>
    </row>
    <row r="125" spans="1:17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17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218671</v>
      </c>
      <c r="G126" s="19">
        <f t="shared" ref="G126:Q126" si="36">G127</f>
        <v>18078</v>
      </c>
      <c r="H126" s="19">
        <f>H127</f>
        <v>217671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17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218671</v>
      </c>
      <c r="G127" s="19">
        <f t="shared" ref="G127:Q127" si="37">G132</f>
        <v>18078</v>
      </c>
      <c r="H127" s="19">
        <f t="shared" si="37"/>
        <v>217671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17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17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17" ht="90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17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17" x14ac:dyDescent="0.25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218671</v>
      </c>
      <c r="G132" s="389">
        <f>SUM(I132:Q132)-K132-M132-P132</f>
        <v>18078</v>
      </c>
      <c r="H132" s="389">
        <f>25000+4200+162615+25321+535</f>
        <v>217671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</row>
    <row r="133" spans="1:17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17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>K135+K137+K139</f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17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17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17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17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17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17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17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17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17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17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90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90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90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7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7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1856610</v>
      </c>
      <c r="G210" s="42">
        <f t="shared" si="61"/>
        <v>3052719</v>
      </c>
      <c r="H210" s="42">
        <f t="shared" si="61"/>
        <v>218671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1623939</v>
      </c>
      <c r="N210" s="42">
        <f t="shared" si="61"/>
        <v>1398192</v>
      </c>
      <c r="O210" s="42">
        <f t="shared" si="61"/>
        <v>0</v>
      </c>
      <c r="P210" s="42">
        <f t="shared" si="61"/>
        <v>13000</v>
      </c>
      <c r="Q210" s="74">
        <f t="shared" si="61"/>
        <v>12669</v>
      </c>
    </row>
    <row r="211" spans="1:17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7" ht="3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7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7" ht="3.75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7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7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7" ht="90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7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7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1857550</v>
      </c>
      <c r="G219" s="19">
        <f t="shared" si="62"/>
        <v>1138166</v>
      </c>
      <c r="H219" s="19">
        <f t="shared" si="62"/>
        <v>218671</v>
      </c>
      <c r="I219" s="19">
        <f t="shared" si="62"/>
        <v>1577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1624856</v>
      </c>
      <c r="N219" s="19">
        <f t="shared" si="62"/>
        <v>1125638</v>
      </c>
      <c r="O219" s="19">
        <f t="shared" si="62"/>
        <v>0</v>
      </c>
      <c r="P219" s="19">
        <f t="shared" si="62"/>
        <v>13023</v>
      </c>
      <c r="Q219" s="19">
        <f t="shared" si="62"/>
        <v>9668</v>
      </c>
    </row>
    <row r="220" spans="1:17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1637713</v>
      </c>
      <c r="G220" s="19">
        <f t="shared" ref="G220:Q220" si="63">G221+G247+G314+G333+G361+G374+G394+G413</f>
        <v>1134903</v>
      </c>
      <c r="H220" s="19">
        <f t="shared" si="63"/>
        <v>1535</v>
      </c>
      <c r="I220" s="19">
        <f t="shared" si="63"/>
        <v>127</v>
      </c>
      <c r="J220" s="19">
        <f t="shared" si="63"/>
        <v>0</v>
      </c>
      <c r="K220" s="19">
        <f t="shared" si="63"/>
        <v>0</v>
      </c>
      <c r="L220" s="19">
        <f t="shared" si="63"/>
        <v>1273</v>
      </c>
      <c r="M220" s="19">
        <f t="shared" si="63"/>
        <v>1624856</v>
      </c>
      <c r="N220" s="19">
        <f t="shared" si="63"/>
        <v>1125638</v>
      </c>
      <c r="O220" s="19">
        <f t="shared" si="63"/>
        <v>0</v>
      </c>
      <c r="P220" s="19">
        <f t="shared" si="63"/>
        <v>11322</v>
      </c>
      <c r="Q220" s="19">
        <f t="shared" si="63"/>
        <v>7855</v>
      </c>
    </row>
    <row r="221" spans="1:17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1216506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1212877</v>
      </c>
      <c r="N221" s="19">
        <f t="shared" si="64"/>
        <v>1025065</v>
      </c>
      <c r="O221" s="19">
        <f t="shared" si="64"/>
        <v>0</v>
      </c>
      <c r="P221" s="19">
        <f t="shared" si="64"/>
        <v>3629</v>
      </c>
      <c r="Q221" s="19">
        <f t="shared" si="64"/>
        <v>2600</v>
      </c>
    </row>
    <row r="222" spans="1:17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1010985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1008061</v>
      </c>
      <c r="N222" s="19">
        <f t="shared" si="65"/>
        <v>849796</v>
      </c>
      <c r="O222" s="19">
        <f t="shared" si="65"/>
        <v>0</v>
      </c>
      <c r="P222" s="19">
        <f t="shared" si="65"/>
        <v>2924</v>
      </c>
      <c r="Q222" s="19">
        <f t="shared" si="65"/>
        <v>1989</v>
      </c>
    </row>
    <row r="223" spans="1:17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1010985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1008061</v>
      </c>
      <c r="N223" s="36">
        <f>851785-1989</f>
        <v>849796</v>
      </c>
      <c r="O223" s="36"/>
      <c r="P223" s="36">
        <v>2924</v>
      </c>
      <c r="Q223" s="36">
        <v>1989</v>
      </c>
    </row>
    <row r="224" spans="1:17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153194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152721</v>
      </c>
      <c r="N224" s="19">
        <f t="shared" si="66"/>
        <v>141535</v>
      </c>
      <c r="O224" s="19">
        <f t="shared" si="66"/>
        <v>0</v>
      </c>
      <c r="P224" s="19">
        <f t="shared" si="66"/>
        <v>473</v>
      </c>
      <c r="Q224" s="19">
        <f t="shared" si="66"/>
        <v>331</v>
      </c>
    </row>
    <row r="225" spans="1:17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101128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100806</v>
      </c>
      <c r="N225" s="36">
        <f>97986-229</f>
        <v>97757</v>
      </c>
      <c r="O225" s="36"/>
      <c r="P225" s="36">
        <v>322</v>
      </c>
      <c r="Q225" s="36">
        <v>229</v>
      </c>
    </row>
    <row r="226" spans="1:17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52066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51915</v>
      </c>
      <c r="N226" s="36">
        <f>43880-102</f>
        <v>43778</v>
      </c>
      <c r="O226" s="36"/>
      <c r="P226" s="36">
        <v>151</v>
      </c>
      <c r="Q226" s="36">
        <v>102</v>
      </c>
    </row>
    <row r="227" spans="1:17" ht="15" hidden="1" customHeight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17" ht="15" hidden="1" customHeight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17" ht="15" hidden="1" customHeight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17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9632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9400</v>
      </c>
      <c r="N230" s="19">
        <f t="shared" si="69"/>
        <v>4959</v>
      </c>
      <c r="O230" s="19">
        <f t="shared" si="69"/>
        <v>0</v>
      </c>
      <c r="P230" s="19">
        <f t="shared" si="69"/>
        <v>232</v>
      </c>
      <c r="Q230" s="19">
        <f t="shared" si="69"/>
        <v>280</v>
      </c>
    </row>
    <row r="231" spans="1:17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17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17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8432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v>8200</v>
      </c>
      <c r="N233" s="36">
        <v>3654</v>
      </c>
      <c r="O233" s="36"/>
      <c r="P233" s="36">
        <v>232</v>
      </c>
      <c r="Q233" s="36">
        <v>280</v>
      </c>
    </row>
    <row r="234" spans="1:17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17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17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17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17" ht="51.75" x14ac:dyDescent="0.25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1200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1200</v>
      </c>
      <c r="N238" s="36">
        <v>1305</v>
      </c>
      <c r="O238" s="36"/>
      <c r="P238" s="36"/>
      <c r="Q238" s="36"/>
    </row>
    <row r="239" spans="1:17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28788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28788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17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28788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28788</v>
      </c>
      <c r="N240" s="36">
        <v>19632</v>
      </c>
      <c r="O240" s="36"/>
      <c r="P240" s="36"/>
      <c r="Q240" s="36"/>
    </row>
    <row r="241" spans="1:17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13907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13907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7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13907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13907</v>
      </c>
      <c r="N242" s="36">
        <v>9143</v>
      </c>
      <c r="O242" s="36"/>
      <c r="P242" s="36"/>
      <c r="Q242" s="36"/>
    </row>
    <row r="243" spans="1:17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7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7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7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7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410227</v>
      </c>
      <c r="G247" s="19">
        <f t="shared" si="74"/>
        <v>99459</v>
      </c>
      <c r="H247" s="19">
        <f t="shared" si="74"/>
        <v>1535</v>
      </c>
      <c r="I247" s="19">
        <f t="shared" si="74"/>
        <v>127</v>
      </c>
      <c r="J247" s="19">
        <f t="shared" si="74"/>
        <v>0</v>
      </c>
      <c r="K247" s="19">
        <f t="shared" si="74"/>
        <v>0</v>
      </c>
      <c r="L247" s="19">
        <f t="shared" si="74"/>
        <v>1273</v>
      </c>
      <c r="M247" s="19">
        <f t="shared" si="74"/>
        <v>401899</v>
      </c>
      <c r="N247" s="19">
        <f t="shared" si="74"/>
        <v>93155</v>
      </c>
      <c r="O247" s="19">
        <f t="shared" si="74"/>
        <v>0</v>
      </c>
      <c r="P247" s="19">
        <f t="shared" si="74"/>
        <v>6793</v>
      </c>
      <c r="Q247" s="19">
        <f t="shared" si="74"/>
        <v>4904</v>
      </c>
    </row>
    <row r="248" spans="1:17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98970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97827</v>
      </c>
      <c r="N248" s="19">
        <f t="shared" si="75"/>
        <v>80545</v>
      </c>
      <c r="O248" s="19">
        <f t="shared" si="75"/>
        <v>0</v>
      </c>
      <c r="P248" s="19">
        <f t="shared" si="75"/>
        <v>1143</v>
      </c>
      <c r="Q248" s="19">
        <f t="shared" si="75"/>
        <v>453</v>
      </c>
    </row>
    <row r="249" spans="1:17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1080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f>1500-500</f>
        <v>1000</v>
      </c>
      <c r="N249" s="36">
        <v>1243</v>
      </c>
      <c r="O249" s="36"/>
      <c r="P249" s="36">
        <v>80</v>
      </c>
      <c r="Q249" s="36">
        <v>57</v>
      </c>
    </row>
    <row r="250" spans="1:17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81299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f>98306-17257</f>
        <v>81049</v>
      </c>
      <c r="N250" s="36">
        <v>65188</v>
      </c>
      <c r="O250" s="36"/>
      <c r="P250" s="36">
        <v>250</v>
      </c>
      <c r="Q250" s="36">
        <v>320</v>
      </c>
    </row>
    <row r="251" spans="1:17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11326</v>
      </c>
      <c r="G251" s="37">
        <f t="shared" si="76"/>
        <v>9465</v>
      </c>
      <c r="H251" s="37"/>
      <c r="I251" s="36"/>
      <c r="J251" s="36"/>
      <c r="K251" s="36"/>
      <c r="L251" s="36"/>
      <c r="M251" s="513">
        <f>11500-360-414</f>
        <v>10726</v>
      </c>
      <c r="N251" s="36">
        <v>9410</v>
      </c>
      <c r="O251" s="36"/>
      <c r="P251" s="36">
        <v>600</v>
      </c>
      <c r="Q251" s="36">
        <v>55</v>
      </c>
    </row>
    <row r="252" spans="1:17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2040</v>
      </c>
      <c r="G252" s="37">
        <f t="shared" si="76"/>
        <v>2113</v>
      </c>
      <c r="H252" s="37"/>
      <c r="I252" s="36"/>
      <c r="J252" s="36"/>
      <c r="K252" s="36"/>
      <c r="L252" s="36"/>
      <c r="M252" s="36">
        <f>2016+24</f>
        <v>2040</v>
      </c>
      <c r="N252" s="36">
        <v>2113</v>
      </c>
      <c r="O252" s="36"/>
      <c r="P252" s="36"/>
      <c r="Q252" s="36"/>
    </row>
    <row r="253" spans="1:17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3225</v>
      </c>
      <c r="G253" s="37">
        <f t="shared" si="76"/>
        <v>2612</v>
      </c>
      <c r="H253" s="37"/>
      <c r="I253" s="36"/>
      <c r="J253" s="36"/>
      <c r="K253" s="36"/>
      <c r="L253" s="36"/>
      <c r="M253" s="36">
        <f>3000+12</f>
        <v>3012</v>
      </c>
      <c r="N253" s="36">
        <v>2591</v>
      </c>
      <c r="O253" s="36"/>
      <c r="P253" s="36">
        <f>200+13</f>
        <v>213</v>
      </c>
      <c r="Q253" s="36">
        <v>21</v>
      </c>
    </row>
    <row r="254" spans="1:17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7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7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554</v>
      </c>
      <c r="G256" s="19">
        <f t="shared" si="77"/>
        <v>451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114</v>
      </c>
      <c r="N256" s="19">
        <f t="shared" si="77"/>
        <v>0</v>
      </c>
      <c r="O256" s="19">
        <f t="shared" si="77"/>
        <v>0</v>
      </c>
      <c r="P256" s="19">
        <f t="shared" si="77"/>
        <v>440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554</v>
      </c>
      <c r="G257" s="37">
        <f t="shared" ref="G257" si="78">SUM(I257:Q257)-K257-M257-P257</f>
        <v>451</v>
      </c>
      <c r="H257" s="37"/>
      <c r="I257" s="36"/>
      <c r="J257" s="36"/>
      <c r="K257" s="36"/>
      <c r="L257" s="36"/>
      <c r="M257" s="36">
        <f>184-70</f>
        <v>114</v>
      </c>
      <c r="N257" s="36"/>
      <c r="O257" s="36"/>
      <c r="P257" s="36">
        <v>440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9887</v>
      </c>
      <c r="G262" s="19">
        <f t="shared" si="79"/>
        <v>70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7274</v>
      </c>
      <c r="N262" s="19">
        <f t="shared" si="79"/>
        <v>0</v>
      </c>
      <c r="O262" s="19">
        <f t="shared" si="79"/>
        <v>0</v>
      </c>
      <c r="P262" s="19">
        <f t="shared" si="79"/>
        <v>2613</v>
      </c>
      <c r="Q262" s="19">
        <f t="shared" si="79"/>
        <v>70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3852</v>
      </c>
      <c r="G264" s="37">
        <f t="shared" ref="G264" si="80">SUM(I264:Q264)-K264-M264-P264</f>
        <v>70</v>
      </c>
      <c r="H264" s="37"/>
      <c r="I264" s="36"/>
      <c r="J264" s="36"/>
      <c r="K264" s="36"/>
      <c r="L264" s="36"/>
      <c r="M264" s="520">
        <f>3900-48</f>
        <v>3852</v>
      </c>
      <c r="N264" s="36"/>
      <c r="O264" s="36"/>
      <c r="P264" s="36"/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3790</v>
      </c>
      <c r="G265" s="37"/>
      <c r="H265" s="37"/>
      <c r="I265" s="36"/>
      <c r="J265" s="36"/>
      <c r="K265" s="36"/>
      <c r="L265" s="36"/>
      <c r="M265" s="36">
        <f>2800+522</f>
        <v>3322</v>
      </c>
      <c r="N265" s="36"/>
      <c r="O265" s="36"/>
      <c r="P265" s="36">
        <f>900-522+72+18</f>
        <v>468</v>
      </c>
      <c r="Q265" s="36"/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100</v>
      </c>
      <c r="G266" s="37"/>
      <c r="H266" s="37"/>
      <c r="I266" s="36"/>
      <c r="J266" s="36"/>
      <c r="K266" s="36"/>
      <c r="L266" s="36"/>
      <c r="M266" s="36">
        <v>100</v>
      </c>
      <c r="N266" s="36"/>
      <c r="O266" s="36"/>
      <c r="P266" s="36"/>
      <c r="Q266" s="36"/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1667</v>
      </c>
      <c r="G267" s="37"/>
      <c r="H267" s="37"/>
      <c r="I267" s="36"/>
      <c r="J267" s="36"/>
      <c r="K267" s="36"/>
      <c r="L267" s="36"/>
      <c r="M267" s="36"/>
      <c r="N267" s="36"/>
      <c r="O267" s="36"/>
      <c r="P267" s="36">
        <v>1667</v>
      </c>
      <c r="Q267" s="36"/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/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/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/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/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/>
      <c r="H271" s="476"/>
      <c r="I271" s="544"/>
      <c r="J271" s="545"/>
      <c r="K271" s="545"/>
      <c r="L271" s="545"/>
      <c r="M271" s="545"/>
      <c r="N271" s="545"/>
      <c r="O271" s="544"/>
      <c r="P271" s="476"/>
      <c r="Q271" s="544"/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/>
      <c r="J272" s="476"/>
      <c r="K272" s="476"/>
      <c r="L272" s="476"/>
      <c r="M272" s="476"/>
      <c r="N272" s="476"/>
      <c r="O272" s="545"/>
      <c r="P272" s="477"/>
      <c r="Q272" s="545"/>
    </row>
    <row r="273" spans="1:17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/>
      <c r="H273" s="475"/>
      <c r="I273" s="475"/>
      <c r="J273" s="475"/>
      <c r="K273" s="475"/>
      <c r="L273" s="475"/>
      <c r="M273" s="475"/>
      <c r="N273" s="475"/>
      <c r="O273" s="475"/>
      <c r="P273" s="475"/>
      <c r="Q273" s="475"/>
    </row>
    <row r="274" spans="1:17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278</v>
      </c>
      <c r="G274" s="37"/>
      <c r="H274" s="37"/>
      <c r="I274" s="36"/>
      <c r="J274" s="36"/>
      <c r="K274" s="36"/>
      <c r="L274" s="36"/>
      <c r="M274" s="36"/>
      <c r="N274" s="36"/>
      <c r="O274" s="36"/>
      <c r="P274" s="36">
        <v>278</v>
      </c>
      <c r="Q274" s="36"/>
    </row>
    <row r="275" spans="1:17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1">SUM(F276:F282)</f>
        <v>3389</v>
      </c>
      <c r="G275" s="19">
        <f t="shared" si="81"/>
        <v>450</v>
      </c>
      <c r="H275" s="19">
        <f t="shared" si="81"/>
        <v>535</v>
      </c>
      <c r="I275" s="19">
        <f t="shared" si="81"/>
        <v>0</v>
      </c>
      <c r="J275" s="19">
        <f t="shared" si="81"/>
        <v>0</v>
      </c>
      <c r="K275" s="19">
        <f t="shared" si="81"/>
        <v>0</v>
      </c>
      <c r="L275" s="19">
        <f t="shared" si="81"/>
        <v>0</v>
      </c>
      <c r="M275" s="19">
        <f t="shared" si="81"/>
        <v>2740</v>
      </c>
      <c r="N275" s="19">
        <f t="shared" si="81"/>
        <v>0</v>
      </c>
      <c r="O275" s="19">
        <f t="shared" si="81"/>
        <v>0</v>
      </c>
      <c r="P275" s="19">
        <f t="shared" si="81"/>
        <v>114</v>
      </c>
      <c r="Q275" s="19">
        <f t="shared" si="81"/>
        <v>450</v>
      </c>
    </row>
    <row r="276" spans="1:17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17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17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1136</v>
      </c>
      <c r="G278" s="37">
        <f t="shared" ref="G278" si="82">SUM(I278:Q278)-K278-M278-P278</f>
        <v>109</v>
      </c>
      <c r="H278" s="37"/>
      <c r="I278" s="36"/>
      <c r="J278" s="36"/>
      <c r="K278" s="36"/>
      <c r="L278" s="36"/>
      <c r="M278" s="36">
        <f>1400-264</f>
        <v>1136</v>
      </c>
      <c r="N278" s="36"/>
      <c r="O278" s="36"/>
      <c r="P278" s="36"/>
      <c r="Q278" s="36">
        <v>109</v>
      </c>
    </row>
    <row r="279" spans="1:17" ht="15" hidden="1" customHeight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17" ht="26.25" hidden="1" customHeight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17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330</v>
      </c>
      <c r="G281" s="37">
        <f t="shared" ref="G281:G282" si="83">SUM(I281:Q281)-K281-M281-P281</f>
        <v>51</v>
      </c>
      <c r="H281" s="37"/>
      <c r="I281" s="36"/>
      <c r="J281" s="36"/>
      <c r="K281" s="36"/>
      <c r="L281" s="36"/>
      <c r="M281" s="512">
        <f>300-72-12</f>
        <v>216</v>
      </c>
      <c r="N281" s="36"/>
      <c r="O281" s="36"/>
      <c r="P281" s="36">
        <v>114</v>
      </c>
      <c r="Q281" s="36">
        <v>51</v>
      </c>
    </row>
    <row r="282" spans="1:17" x14ac:dyDescent="0.2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1923</v>
      </c>
      <c r="G282" s="37">
        <f t="shared" si="83"/>
        <v>290</v>
      </c>
      <c r="H282" s="37">
        <v>535</v>
      </c>
      <c r="I282" s="36"/>
      <c r="J282" s="36"/>
      <c r="K282" s="36"/>
      <c r="L282" s="36"/>
      <c r="M282" s="36">
        <f>1600+108-60-283+36-13</f>
        <v>1388</v>
      </c>
      <c r="N282" s="36"/>
      <c r="O282" s="36"/>
      <c r="P282" s="36">
        <f>212-212</f>
        <v>0</v>
      </c>
      <c r="Q282" s="36">
        <v>290</v>
      </c>
    </row>
    <row r="283" spans="1:17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4">F284+F285</f>
        <v>22630</v>
      </c>
      <c r="G283" s="19">
        <f t="shared" si="84"/>
        <v>755</v>
      </c>
      <c r="H283" s="19">
        <f t="shared" si="84"/>
        <v>0</v>
      </c>
      <c r="I283" s="19">
        <f t="shared" si="84"/>
        <v>0</v>
      </c>
      <c r="J283" s="19">
        <f t="shared" si="84"/>
        <v>0</v>
      </c>
      <c r="K283" s="19">
        <f t="shared" si="84"/>
        <v>0</v>
      </c>
      <c r="L283" s="19">
        <f t="shared" si="84"/>
        <v>0</v>
      </c>
      <c r="M283" s="19">
        <f t="shared" si="84"/>
        <v>22630</v>
      </c>
      <c r="N283" s="19">
        <f t="shared" si="84"/>
        <v>100</v>
      </c>
      <c r="O283" s="19">
        <f t="shared" si="84"/>
        <v>0</v>
      </c>
      <c r="P283" s="19">
        <f t="shared" si="84"/>
        <v>0</v>
      </c>
      <c r="Q283" s="19">
        <f t="shared" si="84"/>
        <v>655</v>
      </c>
    </row>
    <row r="284" spans="1:17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5569</v>
      </c>
      <c r="G284" s="37">
        <f t="shared" ref="G284:G285" si="85">SUM(I284:Q284)-K284-M284-P284</f>
        <v>100</v>
      </c>
      <c r="H284" s="37"/>
      <c r="I284" s="36"/>
      <c r="J284" s="36"/>
      <c r="K284" s="36"/>
      <c r="L284" s="36"/>
      <c r="M284" s="36">
        <f>5000+600+2534-31-2534</f>
        <v>5569</v>
      </c>
      <c r="N284" s="36">
        <v>100</v>
      </c>
      <c r="O284" s="36"/>
      <c r="P284" s="36"/>
      <c r="Q284" s="36"/>
    </row>
    <row r="285" spans="1:17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17061</v>
      </c>
      <c r="G285" s="37">
        <f t="shared" si="85"/>
        <v>655</v>
      </c>
      <c r="H285" s="37"/>
      <c r="I285" s="36"/>
      <c r="J285" s="36"/>
      <c r="K285" s="36"/>
      <c r="L285" s="36"/>
      <c r="M285" s="520">
        <f>10500-362-24-108-346-24+7428-3</f>
        <v>17061</v>
      </c>
      <c r="N285" s="36"/>
      <c r="O285" s="36"/>
      <c r="P285" s="36"/>
      <c r="Q285" s="36">
        <v>655</v>
      </c>
    </row>
    <row r="286" spans="1:17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274797</v>
      </c>
      <c r="G286" s="19">
        <f>SUM(G287:G313)</f>
        <v>16735</v>
      </c>
      <c r="H286" s="19">
        <f t="shared" ref="H286:Q286" si="86">SUM(H287:H313)</f>
        <v>1000</v>
      </c>
      <c r="I286" s="19">
        <f t="shared" si="86"/>
        <v>127</v>
      </c>
      <c r="J286" s="19">
        <f t="shared" si="86"/>
        <v>0</v>
      </c>
      <c r="K286" s="19">
        <f t="shared" si="86"/>
        <v>0</v>
      </c>
      <c r="L286" s="19">
        <f t="shared" si="86"/>
        <v>1273</v>
      </c>
      <c r="M286" s="19">
        <f>M287+M289+M290+M293+M311+M312+M313</f>
        <v>271314</v>
      </c>
      <c r="N286" s="19">
        <f t="shared" si="86"/>
        <v>12510</v>
      </c>
      <c r="O286" s="19">
        <f t="shared" si="86"/>
        <v>0</v>
      </c>
      <c r="P286" s="19">
        <f>P287+P289+P290+P293+P311+P312+P313</f>
        <v>2483</v>
      </c>
      <c r="Q286" s="19">
        <f t="shared" si="86"/>
        <v>2825</v>
      </c>
    </row>
    <row r="287" spans="1:17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5451</v>
      </c>
      <c r="G287" s="37">
        <f t="shared" ref="G287" si="87">SUM(I287:Q287)-K287-M287-P287</f>
        <v>0</v>
      </c>
      <c r="H287" s="37"/>
      <c r="I287" s="36"/>
      <c r="J287" s="36"/>
      <c r="K287" s="36"/>
      <c r="L287" s="36"/>
      <c r="M287" s="520">
        <f>4500-520-12+1164</f>
        <v>5132</v>
      </c>
      <c r="N287" s="36"/>
      <c r="O287" s="36"/>
      <c r="P287" s="36">
        <f>510-191</f>
        <v>319</v>
      </c>
      <c r="Q287" s="36"/>
    </row>
    <row r="288" spans="1:17" ht="15" hidden="1" customHeight="1" x14ac:dyDescent="0.25">
      <c r="A288" s="45">
        <v>5233</v>
      </c>
      <c r="B288" s="23">
        <v>426200</v>
      </c>
      <c r="C288" s="9" t="s">
        <v>264</v>
      </c>
      <c r="D288" s="9"/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7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122</v>
      </c>
      <c r="G289" s="37">
        <f t="shared" ref="G289:G290" si="88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f>110+12</f>
        <v>122</v>
      </c>
      <c r="Q289" s="36">
        <v>147</v>
      </c>
    </row>
    <row r="290" spans="1:17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2040</v>
      </c>
      <c r="G290" s="37">
        <f t="shared" si="88"/>
        <v>7</v>
      </c>
      <c r="H290" s="37"/>
      <c r="I290" s="38"/>
      <c r="J290" s="38"/>
      <c r="K290" s="38"/>
      <c r="L290" s="38"/>
      <c r="M290" s="38">
        <v>2040</v>
      </c>
      <c r="N290" s="38"/>
      <c r="O290" s="38"/>
      <c r="P290" s="38"/>
      <c r="Q290" s="38">
        <v>7</v>
      </c>
    </row>
    <row r="291" spans="1:17" ht="26.25" hidden="1" customHeight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89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7" ht="26.25" hidden="1" customHeight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89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7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232509</v>
      </c>
      <c r="G293" s="37">
        <f t="shared" ref="G293:G313" si="90">SUM(I293:Q293)-K293-M293-P293</f>
        <v>1917</v>
      </c>
      <c r="H293" s="37"/>
      <c r="I293" s="36">
        <v>127</v>
      </c>
      <c r="J293" s="36"/>
      <c r="K293" s="36"/>
      <c r="L293" s="36"/>
      <c r="M293" s="48">
        <f>M294+M299+M300+M303+M309+M310</f>
        <v>231249</v>
      </c>
      <c r="N293" s="48">
        <f t="shared" ref="N293:P293" si="91">N294+N299+N300+N303+N309+N310</f>
        <v>0</v>
      </c>
      <c r="O293" s="48">
        <f t="shared" si="91"/>
        <v>0</v>
      </c>
      <c r="P293" s="48">
        <f t="shared" si="91"/>
        <v>1260</v>
      </c>
      <c r="Q293" s="36">
        <v>1790</v>
      </c>
    </row>
    <row r="294" spans="1:17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115890</v>
      </c>
      <c r="G294" s="37"/>
      <c r="H294" s="37"/>
      <c r="I294" s="36"/>
      <c r="J294" s="36"/>
      <c r="K294" s="36"/>
      <c r="L294" s="36"/>
      <c r="M294" s="48">
        <f>M295+M296+M297+M298</f>
        <v>115890</v>
      </c>
      <c r="N294" s="36"/>
      <c r="O294" s="36"/>
      <c r="P294" s="36"/>
      <c r="Q294" s="36"/>
    </row>
    <row r="295" spans="1:17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65179</v>
      </c>
      <c r="G295" s="37"/>
      <c r="H295" s="37"/>
      <c r="I295" s="36"/>
      <c r="J295" s="36"/>
      <c r="K295" s="36"/>
      <c r="L295" s="36"/>
      <c r="M295" s="38">
        <f>46590+18589</f>
        <v>65179</v>
      </c>
      <c r="N295" s="36"/>
      <c r="O295" s="36"/>
      <c r="P295" s="36"/>
      <c r="Q295" s="36"/>
    </row>
    <row r="296" spans="1:17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14305</v>
      </c>
      <c r="G296" s="37"/>
      <c r="H296" s="37"/>
      <c r="I296" s="36"/>
      <c r="J296" s="36"/>
      <c r="K296" s="36"/>
      <c r="L296" s="36"/>
      <c r="M296" s="38">
        <f>14745-440</f>
        <v>14305</v>
      </c>
      <c r="N296" s="36"/>
      <c r="O296" s="36"/>
      <c r="P296" s="36"/>
      <c r="Q296" s="36"/>
    </row>
    <row r="297" spans="1:17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7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14540</v>
      </c>
      <c r="G298" s="37"/>
      <c r="H298" s="37"/>
      <c r="I298" s="36"/>
      <c r="J298" s="36"/>
      <c r="K298" s="36"/>
      <c r="L298" s="36"/>
      <c r="M298" s="38">
        <f>5862+8678</f>
        <v>14540</v>
      </c>
      <c r="N298" s="36"/>
      <c r="O298" s="36"/>
      <c r="P298" s="36"/>
      <c r="Q298" s="36"/>
    </row>
    <row r="299" spans="1:17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7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67969</v>
      </c>
      <c r="G300" s="54"/>
      <c r="H300" s="54"/>
      <c r="I300" s="48"/>
      <c r="J300" s="48"/>
      <c r="K300" s="48"/>
      <c r="L300" s="48"/>
      <c r="M300" s="48">
        <f>M301+M302</f>
        <v>67969</v>
      </c>
      <c r="N300" s="48">
        <f t="shared" ref="N300:P300" si="93">N301+N302</f>
        <v>0</v>
      </c>
      <c r="O300" s="48">
        <f t="shared" si="93"/>
        <v>0</v>
      </c>
      <c r="P300" s="48">
        <f t="shared" si="93"/>
        <v>1260</v>
      </c>
      <c r="Q300" s="48"/>
    </row>
    <row r="301" spans="1:17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36195</v>
      </c>
      <c r="G301" s="37"/>
      <c r="H301" s="37"/>
      <c r="I301" s="36"/>
      <c r="J301" s="36"/>
      <c r="K301" s="36"/>
      <c r="L301" s="36"/>
      <c r="M301" s="38">
        <f>36195+15324-15324</f>
        <v>36195</v>
      </c>
      <c r="N301" s="36"/>
      <c r="O301" s="36"/>
      <c r="P301" s="36"/>
      <c r="Q301" s="36"/>
    </row>
    <row r="302" spans="1:17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31774</v>
      </c>
      <c r="G302" s="37"/>
      <c r="H302" s="37"/>
      <c r="I302" s="36"/>
      <c r="J302" s="36"/>
      <c r="K302" s="36"/>
      <c r="L302" s="36"/>
      <c r="M302" s="38">
        <f>2212+15324+240+935+13063</f>
        <v>31774</v>
      </c>
      <c r="N302" s="36"/>
      <c r="O302" s="36"/>
      <c r="P302" s="36">
        <f>1400-140</f>
        <v>1260</v>
      </c>
      <c r="Q302" s="36"/>
    </row>
    <row r="303" spans="1:17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14091</v>
      </c>
      <c r="G303" s="54"/>
      <c r="H303" s="54"/>
      <c r="I303" s="48"/>
      <c r="J303" s="48"/>
      <c r="K303" s="48"/>
      <c r="L303" s="48"/>
      <c r="M303" s="48">
        <f>M304+M305+M306</f>
        <v>14091</v>
      </c>
      <c r="N303" s="48"/>
      <c r="O303" s="48"/>
      <c r="P303" s="48"/>
      <c r="Q303" s="48"/>
    </row>
    <row r="304" spans="1:17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8361</v>
      </c>
      <c r="G304" s="37"/>
      <c r="H304" s="37"/>
      <c r="I304" s="36"/>
      <c r="J304" s="36"/>
      <c r="K304" s="36"/>
      <c r="L304" s="36"/>
      <c r="M304" s="38">
        <f>5321+3040</f>
        <v>8361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2867</v>
      </c>
      <c r="G305" s="37"/>
      <c r="H305" s="37"/>
      <c r="I305" s="36"/>
      <c r="J305" s="36"/>
      <c r="K305" s="36"/>
      <c r="L305" s="36"/>
      <c r="M305" s="38">
        <f>5402-2040-495</f>
        <v>2867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2863</v>
      </c>
      <c r="G306" s="37"/>
      <c r="H306" s="37"/>
      <c r="I306" s="36"/>
      <c r="J306" s="36"/>
      <c r="K306" s="36"/>
      <c r="L306" s="36"/>
      <c r="M306" s="38">
        <f>M307+M308</f>
        <v>2863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1038</v>
      </c>
      <c r="G307" s="58"/>
      <c r="H307" s="58"/>
      <c r="I307" s="57"/>
      <c r="J307" s="57"/>
      <c r="K307" s="57"/>
      <c r="L307" s="57"/>
      <c r="M307" s="57">
        <f>438+600</f>
        <v>1038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1825</v>
      </c>
      <c r="G308" s="58"/>
      <c r="H308" s="58"/>
      <c r="I308" s="57"/>
      <c r="J308" s="57"/>
      <c r="K308" s="57"/>
      <c r="L308" s="57"/>
      <c r="M308" s="57">
        <f>625+1200</f>
        <v>1825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23614</v>
      </c>
      <c r="G309" s="54"/>
      <c r="H309" s="54"/>
      <c r="I309" s="48"/>
      <c r="J309" s="48"/>
      <c r="K309" s="48"/>
      <c r="L309" s="48"/>
      <c r="M309" s="48">
        <f>25692-2078</f>
        <v>23614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7000</v>
      </c>
      <c r="G310" s="54"/>
      <c r="H310" s="54"/>
      <c r="I310" s="48"/>
      <c r="J310" s="48"/>
      <c r="K310" s="48"/>
      <c r="L310" s="48"/>
      <c r="M310" s="48">
        <v>7000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14278</v>
      </c>
      <c r="G311" s="37">
        <f t="shared" si="90"/>
        <v>9570</v>
      </c>
      <c r="H311" s="37"/>
      <c r="I311" s="36"/>
      <c r="J311" s="36"/>
      <c r="K311" s="36"/>
      <c r="L311" s="36"/>
      <c r="M311" s="36">
        <f>12200+2078</f>
        <v>14278</v>
      </c>
      <c r="N311" s="36">
        <v>9570</v>
      </c>
      <c r="O311" s="36"/>
      <c r="P311" s="36"/>
      <c r="Q311" s="36"/>
    </row>
    <row r="312" spans="1:17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6893</v>
      </c>
      <c r="G312" s="37">
        <f t="shared" si="90"/>
        <v>2940</v>
      </c>
      <c r="H312" s="37"/>
      <c r="I312" s="36"/>
      <c r="J312" s="36"/>
      <c r="K312" s="36"/>
      <c r="L312" s="36"/>
      <c r="M312" s="530">
        <f>2500+2160-427+264+2315-175</f>
        <v>6637</v>
      </c>
      <c r="N312" s="36">
        <f>12522-12-9570</f>
        <v>2940</v>
      </c>
      <c r="O312" s="36"/>
      <c r="P312" s="36">
        <v>256</v>
      </c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8">
        <f>H313+K313+M313+P313</f>
        <v>13504</v>
      </c>
      <c r="G313" s="389">
        <f t="shared" si="90"/>
        <v>2154</v>
      </c>
      <c r="H313" s="389">
        <v>1000</v>
      </c>
      <c r="I313" s="38"/>
      <c r="J313" s="38"/>
      <c r="K313" s="38"/>
      <c r="L313" s="38">
        <v>1273</v>
      </c>
      <c r="M313" s="521">
        <f>4485-1230-90+84-60+942+4944-60-3+815+2151</f>
        <v>11978</v>
      </c>
      <c r="N313" s="38"/>
      <c r="O313" s="38"/>
      <c r="P313" s="38">
        <f>492+4+30</f>
        <v>526</v>
      </c>
      <c r="Q313" s="36">
        <v>881</v>
      </c>
    </row>
    <row r="314" spans="1:17" ht="51.75" hidden="1" customHeight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89"/>
        <v>0</v>
      </c>
      <c r="H314" s="19"/>
      <c r="I314" s="19">
        <f t="shared" ref="I314:Q314" si="94">I315+I323+I325+I327+I331</f>
        <v>0</v>
      </c>
      <c r="J314" s="19">
        <f t="shared" si="94"/>
        <v>0</v>
      </c>
      <c r="K314" s="19"/>
      <c r="L314" s="19">
        <f t="shared" si="94"/>
        <v>0</v>
      </c>
      <c r="M314" s="19"/>
      <c r="N314" s="19">
        <f t="shared" si="94"/>
        <v>0</v>
      </c>
      <c r="O314" s="19">
        <f t="shared" si="94"/>
        <v>0</v>
      </c>
      <c r="P314" s="19"/>
      <c r="Q314" s="19">
        <f t="shared" si="94"/>
        <v>0</v>
      </c>
    </row>
    <row r="315" spans="1:17" ht="39" hidden="1" customHeight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89"/>
        <v>0</v>
      </c>
      <c r="H315" s="19"/>
      <c r="I315" s="19">
        <f t="shared" ref="I315:Q315" si="95">SUM(I316:I318)</f>
        <v>0</v>
      </c>
      <c r="J315" s="19">
        <f t="shared" si="95"/>
        <v>0</v>
      </c>
      <c r="K315" s="19"/>
      <c r="L315" s="19">
        <f t="shared" si="95"/>
        <v>0</v>
      </c>
      <c r="M315" s="19"/>
      <c r="N315" s="19">
        <f t="shared" si="95"/>
        <v>0</v>
      </c>
      <c r="O315" s="19">
        <f t="shared" si="95"/>
        <v>0</v>
      </c>
      <c r="P315" s="19"/>
      <c r="Q315" s="19">
        <f t="shared" si="95"/>
        <v>0</v>
      </c>
    </row>
    <row r="316" spans="1:17" ht="26.25" hidden="1" customHeight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89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89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89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90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89"/>
        <v>0</v>
      </c>
      <c r="H323" s="19"/>
      <c r="I323" s="19">
        <f t="shared" ref="I323:Q323" si="96">I324</f>
        <v>0</v>
      </c>
      <c r="J323" s="19">
        <f t="shared" si="96"/>
        <v>0</v>
      </c>
      <c r="K323" s="19"/>
      <c r="L323" s="19">
        <f t="shared" si="96"/>
        <v>0</v>
      </c>
      <c r="M323" s="19"/>
      <c r="N323" s="19">
        <f t="shared" si="96"/>
        <v>0</v>
      </c>
      <c r="O323" s="19">
        <f t="shared" si="96"/>
        <v>0</v>
      </c>
      <c r="P323" s="19"/>
      <c r="Q323" s="19">
        <f t="shared" si="96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89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89"/>
        <v>0</v>
      </c>
      <c r="H325" s="19"/>
      <c r="I325" s="19">
        <f t="shared" ref="I325:Q325" si="97">I326</f>
        <v>0</v>
      </c>
      <c r="J325" s="19">
        <f t="shared" si="97"/>
        <v>0</v>
      </c>
      <c r="K325" s="19"/>
      <c r="L325" s="19">
        <f t="shared" si="97"/>
        <v>0</v>
      </c>
      <c r="M325" s="19"/>
      <c r="N325" s="19">
        <f t="shared" si="97"/>
        <v>0</v>
      </c>
      <c r="O325" s="19">
        <f t="shared" si="97"/>
        <v>0</v>
      </c>
      <c r="P325" s="19"/>
      <c r="Q325" s="19">
        <f t="shared" si="97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89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89"/>
        <v>0</v>
      </c>
      <c r="H327" s="19"/>
      <c r="I327" s="19">
        <f t="shared" ref="I327:Q327" si="98">SUM(I328:I330)</f>
        <v>0</v>
      </c>
      <c r="J327" s="19">
        <f t="shared" si="98"/>
        <v>0</v>
      </c>
      <c r="K327" s="19"/>
      <c r="L327" s="19">
        <f t="shared" si="98"/>
        <v>0</v>
      </c>
      <c r="M327" s="19"/>
      <c r="N327" s="19">
        <f t="shared" si="98"/>
        <v>0</v>
      </c>
      <c r="O327" s="19">
        <f t="shared" si="98"/>
        <v>0</v>
      </c>
      <c r="P327" s="19"/>
      <c r="Q327" s="19">
        <f t="shared" si="98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89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89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89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89"/>
        <v>0</v>
      </c>
      <c r="H331" s="19"/>
      <c r="I331" s="19">
        <f t="shared" ref="I331:Q331" si="99">I332</f>
        <v>0</v>
      </c>
      <c r="J331" s="19">
        <f t="shared" si="99"/>
        <v>0</v>
      </c>
      <c r="K331" s="19"/>
      <c r="L331" s="19">
        <f t="shared" si="99"/>
        <v>0</v>
      </c>
      <c r="M331" s="19"/>
      <c r="N331" s="19">
        <f t="shared" si="99"/>
        <v>0</v>
      </c>
      <c r="O331" s="19">
        <f t="shared" si="99"/>
        <v>0</v>
      </c>
      <c r="P331" s="19"/>
      <c r="Q331" s="19">
        <f t="shared" si="99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89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100">F334+F344+F355+F357</f>
        <v>600</v>
      </c>
      <c r="G333" s="19">
        <f t="shared" si="100"/>
        <v>251</v>
      </c>
      <c r="H333" s="19">
        <f t="shared" si="100"/>
        <v>0</v>
      </c>
      <c r="I333" s="19">
        <f t="shared" si="100"/>
        <v>0</v>
      </c>
      <c r="J333" s="19">
        <f t="shared" si="100"/>
        <v>0</v>
      </c>
      <c r="K333" s="19">
        <f t="shared" si="100"/>
        <v>0</v>
      </c>
      <c r="L333" s="19">
        <f t="shared" si="100"/>
        <v>0</v>
      </c>
      <c r="M333" s="19">
        <f t="shared" si="100"/>
        <v>0</v>
      </c>
      <c r="N333" s="19">
        <f t="shared" si="100"/>
        <v>0</v>
      </c>
      <c r="O333" s="19">
        <f t="shared" si="100"/>
        <v>0</v>
      </c>
      <c r="P333" s="19">
        <f t="shared" si="100"/>
        <v>600</v>
      </c>
      <c r="Q333" s="19">
        <f t="shared" si="100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1">SUM(F335:F343)</f>
        <v>600</v>
      </c>
      <c r="G334" s="19">
        <f t="shared" si="101"/>
        <v>251</v>
      </c>
      <c r="H334" s="19">
        <f t="shared" si="101"/>
        <v>0</v>
      </c>
      <c r="I334" s="19">
        <f t="shared" si="101"/>
        <v>0</v>
      </c>
      <c r="J334" s="19">
        <f t="shared" si="101"/>
        <v>0</v>
      </c>
      <c r="K334" s="19">
        <f t="shared" si="101"/>
        <v>0</v>
      </c>
      <c r="L334" s="19">
        <f t="shared" si="101"/>
        <v>0</v>
      </c>
      <c r="M334" s="19">
        <f t="shared" si="101"/>
        <v>0</v>
      </c>
      <c r="N334" s="19">
        <f t="shared" si="101"/>
        <v>0</v>
      </c>
      <c r="O334" s="19">
        <f t="shared" si="101"/>
        <v>0</v>
      </c>
      <c r="P334" s="19">
        <f t="shared" si="101"/>
        <v>600</v>
      </c>
      <c r="Q334" s="19">
        <f t="shared" si="101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89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89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89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89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600</v>
      </c>
      <c r="G339" s="37">
        <f t="shared" ref="G339" si="102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600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89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89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89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89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89"/>
        <v>0</v>
      </c>
      <c r="H344" s="19"/>
      <c r="I344" s="19">
        <f t="shared" ref="I344:Q344" si="103">SUM(I345:I354)</f>
        <v>0</v>
      </c>
      <c r="J344" s="19">
        <f t="shared" si="103"/>
        <v>0</v>
      </c>
      <c r="K344" s="19"/>
      <c r="L344" s="19">
        <f t="shared" si="103"/>
        <v>0</v>
      </c>
      <c r="M344" s="19"/>
      <c r="N344" s="19">
        <f t="shared" si="103"/>
        <v>0</v>
      </c>
      <c r="O344" s="19">
        <f t="shared" si="103"/>
        <v>0</v>
      </c>
      <c r="P344" s="19"/>
      <c r="Q344" s="19">
        <f t="shared" si="103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89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89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89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89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90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89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89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89"/>
        <v>0</v>
      </c>
      <c r="H355" s="19"/>
      <c r="I355" s="19">
        <f t="shared" ref="I355:Q355" si="104">I356</f>
        <v>0</v>
      </c>
      <c r="J355" s="19">
        <f t="shared" si="104"/>
        <v>0</v>
      </c>
      <c r="K355" s="19"/>
      <c r="L355" s="19">
        <f t="shared" si="104"/>
        <v>0</v>
      </c>
      <c r="M355" s="19"/>
      <c r="N355" s="19">
        <f t="shared" si="104"/>
        <v>0</v>
      </c>
      <c r="O355" s="19">
        <f t="shared" si="104"/>
        <v>0</v>
      </c>
      <c r="P355" s="19"/>
      <c r="Q355" s="19">
        <f t="shared" si="104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89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89"/>
        <v>0</v>
      </c>
      <c r="H357" s="19"/>
      <c r="I357" s="19">
        <f t="shared" ref="I357:Q357" si="105">SUM(I358:I360)</f>
        <v>0</v>
      </c>
      <c r="J357" s="19">
        <f t="shared" si="105"/>
        <v>0</v>
      </c>
      <c r="K357" s="19"/>
      <c r="L357" s="19">
        <f t="shared" si="105"/>
        <v>0</v>
      </c>
      <c r="M357" s="19"/>
      <c r="N357" s="19">
        <f t="shared" si="105"/>
        <v>0</v>
      </c>
      <c r="O357" s="19">
        <f t="shared" si="105"/>
        <v>0</v>
      </c>
      <c r="P357" s="19"/>
      <c r="Q357" s="19">
        <f t="shared" si="105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89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89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89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89"/>
        <v>0</v>
      </c>
      <c r="H361" s="19"/>
      <c r="I361" s="19">
        <f t="shared" ref="I361:Q361" si="106">I362+I365+I368+I371</f>
        <v>0</v>
      </c>
      <c r="J361" s="19">
        <f t="shared" si="106"/>
        <v>0</v>
      </c>
      <c r="K361" s="19"/>
      <c r="L361" s="19">
        <f t="shared" si="106"/>
        <v>0</v>
      </c>
      <c r="M361" s="19"/>
      <c r="N361" s="19">
        <f t="shared" si="106"/>
        <v>0</v>
      </c>
      <c r="O361" s="19">
        <f t="shared" si="106"/>
        <v>0</v>
      </c>
      <c r="P361" s="19"/>
      <c r="Q361" s="19">
        <f t="shared" si="106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89"/>
        <v>0</v>
      </c>
      <c r="H362" s="19"/>
      <c r="I362" s="19">
        <f t="shared" ref="I362:Q362" si="107">I363+I364</f>
        <v>0</v>
      </c>
      <c r="J362" s="19">
        <f t="shared" si="107"/>
        <v>0</v>
      </c>
      <c r="K362" s="19"/>
      <c r="L362" s="19">
        <f t="shared" si="107"/>
        <v>0</v>
      </c>
      <c r="M362" s="19"/>
      <c r="N362" s="19">
        <f t="shared" si="107"/>
        <v>0</v>
      </c>
      <c r="O362" s="19">
        <f t="shared" si="107"/>
        <v>0</v>
      </c>
      <c r="P362" s="19"/>
      <c r="Q362" s="19">
        <f t="shared" si="107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89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89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89"/>
        <v>0</v>
      </c>
      <c r="H365" s="19"/>
      <c r="I365" s="19">
        <f t="shared" ref="I365:Q365" si="108">I366+I367</f>
        <v>0</v>
      </c>
      <c r="J365" s="19">
        <f t="shared" si="108"/>
        <v>0</v>
      </c>
      <c r="K365" s="19"/>
      <c r="L365" s="19">
        <f t="shared" si="108"/>
        <v>0</v>
      </c>
      <c r="M365" s="19"/>
      <c r="N365" s="19">
        <f t="shared" si="108"/>
        <v>0</v>
      </c>
      <c r="O365" s="19">
        <f t="shared" si="108"/>
        <v>0</v>
      </c>
      <c r="P365" s="19"/>
      <c r="Q365" s="19">
        <f t="shared" si="108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89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89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89"/>
        <v>0</v>
      </c>
      <c r="H368" s="19"/>
      <c r="I368" s="19">
        <f t="shared" ref="I368:Q368" si="109">I369+I370</f>
        <v>0</v>
      </c>
      <c r="J368" s="19">
        <f t="shared" si="109"/>
        <v>0</v>
      </c>
      <c r="K368" s="19"/>
      <c r="L368" s="19">
        <f t="shared" si="109"/>
        <v>0</v>
      </c>
      <c r="M368" s="19"/>
      <c r="N368" s="19">
        <f t="shared" si="109"/>
        <v>0</v>
      </c>
      <c r="O368" s="19">
        <f t="shared" si="109"/>
        <v>0</v>
      </c>
      <c r="P368" s="19"/>
      <c r="Q368" s="19">
        <f t="shared" si="109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89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89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89"/>
        <v>0</v>
      </c>
      <c r="H371" s="19"/>
      <c r="I371" s="19">
        <f t="shared" ref="I371:Q371" si="110">I372+I373</f>
        <v>0</v>
      </c>
      <c r="J371" s="19">
        <f t="shared" si="110"/>
        <v>0</v>
      </c>
      <c r="K371" s="19"/>
      <c r="L371" s="19">
        <f t="shared" si="110"/>
        <v>0</v>
      </c>
      <c r="M371" s="19"/>
      <c r="N371" s="19">
        <f t="shared" si="110"/>
        <v>0</v>
      </c>
      <c r="O371" s="19">
        <f t="shared" si="110"/>
        <v>0</v>
      </c>
      <c r="P371" s="19"/>
      <c r="Q371" s="19">
        <f t="shared" si="110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89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89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1">F379+F382+F385+F388+F391</f>
        <v>10080</v>
      </c>
      <c r="G374" s="19">
        <f t="shared" si="111"/>
        <v>7410</v>
      </c>
      <c r="H374" s="37">
        <f t="shared" si="111"/>
        <v>0</v>
      </c>
      <c r="I374" s="19">
        <f t="shared" si="111"/>
        <v>0</v>
      </c>
      <c r="J374" s="19">
        <f t="shared" si="111"/>
        <v>0</v>
      </c>
      <c r="K374" s="19">
        <f t="shared" si="111"/>
        <v>0</v>
      </c>
      <c r="L374" s="19">
        <f t="shared" si="111"/>
        <v>0</v>
      </c>
      <c r="M374" s="19">
        <f t="shared" si="111"/>
        <v>10080</v>
      </c>
      <c r="N374" s="19">
        <f t="shared" si="111"/>
        <v>7410</v>
      </c>
      <c r="O374" s="19">
        <f t="shared" si="111"/>
        <v>0</v>
      </c>
      <c r="P374" s="19">
        <f t="shared" si="111"/>
        <v>0</v>
      </c>
      <c r="Q374" s="19">
        <f t="shared" si="111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90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89"/>
        <v>0</v>
      </c>
      <c r="H379" s="19"/>
      <c r="I379" s="19">
        <f t="shared" ref="I379:Q379" si="112">I380+I381</f>
        <v>0</v>
      </c>
      <c r="J379" s="19">
        <f t="shared" si="112"/>
        <v>0</v>
      </c>
      <c r="K379" s="19"/>
      <c r="L379" s="19">
        <f t="shared" si="112"/>
        <v>0</v>
      </c>
      <c r="M379" s="19"/>
      <c r="N379" s="19">
        <f t="shared" si="112"/>
        <v>0</v>
      </c>
      <c r="O379" s="19">
        <f t="shared" si="112"/>
        <v>0</v>
      </c>
      <c r="P379" s="19"/>
      <c r="Q379" s="19">
        <f t="shared" si="112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89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89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89"/>
        <v>0</v>
      </c>
      <c r="H382" s="19"/>
      <c r="I382" s="19">
        <f t="shared" ref="I382:Q382" si="113">I383+I384</f>
        <v>0</v>
      </c>
      <c r="J382" s="19">
        <f t="shared" si="113"/>
        <v>0</v>
      </c>
      <c r="K382" s="19"/>
      <c r="L382" s="19">
        <f t="shared" si="113"/>
        <v>0</v>
      </c>
      <c r="M382" s="19"/>
      <c r="N382" s="19">
        <f t="shared" si="113"/>
        <v>0</v>
      </c>
      <c r="O382" s="19">
        <f t="shared" si="113"/>
        <v>0</v>
      </c>
      <c r="P382" s="19"/>
      <c r="Q382" s="19">
        <f t="shared" si="113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89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89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4">SUM(I385:Q385)</f>
        <v>0</v>
      </c>
      <c r="H385" s="19"/>
      <c r="I385" s="19">
        <f t="shared" ref="I385:Q385" si="115">I386+I387</f>
        <v>0</v>
      </c>
      <c r="J385" s="19">
        <f t="shared" si="115"/>
        <v>0</v>
      </c>
      <c r="K385" s="19"/>
      <c r="L385" s="19">
        <f t="shared" si="115"/>
        <v>0</v>
      </c>
      <c r="M385" s="19"/>
      <c r="N385" s="19">
        <f t="shared" si="115"/>
        <v>0</v>
      </c>
      <c r="O385" s="19">
        <f t="shared" si="115"/>
        <v>0</v>
      </c>
      <c r="P385" s="19"/>
      <c r="Q385" s="19">
        <f t="shared" si="115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4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4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4"/>
        <v>0</v>
      </c>
      <c r="H388" s="19"/>
      <c r="I388" s="19">
        <f t="shared" ref="I388:Q388" si="116">I389+I390</f>
        <v>0</v>
      </c>
      <c r="J388" s="19">
        <f t="shared" si="116"/>
        <v>0</v>
      </c>
      <c r="K388" s="19"/>
      <c r="L388" s="19">
        <f t="shared" si="116"/>
        <v>0</v>
      </c>
      <c r="M388" s="19"/>
      <c r="N388" s="19">
        <f t="shared" si="116"/>
        <v>0</v>
      </c>
      <c r="O388" s="19">
        <f t="shared" si="116"/>
        <v>0</v>
      </c>
      <c r="P388" s="19"/>
      <c r="Q388" s="19">
        <f t="shared" si="116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4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4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7">F392+F393</f>
        <v>10080</v>
      </c>
      <c r="G391" s="19">
        <f t="shared" si="117"/>
        <v>7410</v>
      </c>
      <c r="H391" s="19">
        <f t="shared" si="117"/>
        <v>0</v>
      </c>
      <c r="I391" s="19">
        <f t="shared" si="117"/>
        <v>0</v>
      </c>
      <c r="J391" s="19">
        <f t="shared" si="117"/>
        <v>0</v>
      </c>
      <c r="K391" s="19">
        <f t="shared" si="117"/>
        <v>0</v>
      </c>
      <c r="L391" s="19">
        <f t="shared" si="117"/>
        <v>0</v>
      </c>
      <c r="M391" s="19">
        <f t="shared" si="117"/>
        <v>10080</v>
      </c>
      <c r="N391" s="19">
        <f t="shared" si="117"/>
        <v>7410</v>
      </c>
      <c r="O391" s="19">
        <f t="shared" si="117"/>
        <v>0</v>
      </c>
      <c r="P391" s="19">
        <f t="shared" si="117"/>
        <v>0</v>
      </c>
      <c r="Q391" s="19">
        <f t="shared" si="117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10080</v>
      </c>
      <c r="G392" s="37">
        <f t="shared" ref="G392" si="118">SUM(I392:Q392)-K392-M392-P392</f>
        <v>7410</v>
      </c>
      <c r="H392" s="37"/>
      <c r="I392" s="36"/>
      <c r="J392" s="36"/>
      <c r="K392" s="36"/>
      <c r="L392" s="36"/>
      <c r="M392" s="36">
        <v>10080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4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4"/>
        <v>0</v>
      </c>
      <c r="H394" s="19"/>
      <c r="I394" s="19">
        <f t="shared" ref="I394:Q394" si="119">I395+I399</f>
        <v>0</v>
      </c>
      <c r="J394" s="19">
        <f t="shared" si="119"/>
        <v>0</v>
      </c>
      <c r="K394" s="19"/>
      <c r="L394" s="19">
        <f t="shared" si="119"/>
        <v>0</v>
      </c>
      <c r="M394" s="19"/>
      <c r="N394" s="19">
        <f t="shared" si="119"/>
        <v>0</v>
      </c>
      <c r="O394" s="19">
        <f t="shared" si="119"/>
        <v>0</v>
      </c>
      <c r="P394" s="19"/>
      <c r="Q394" s="19">
        <f t="shared" si="119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4"/>
        <v>0</v>
      </c>
      <c r="H395" s="19"/>
      <c r="I395" s="19">
        <f t="shared" ref="I395:Q395" si="120">SUM(I396:I398)</f>
        <v>0</v>
      </c>
      <c r="J395" s="19">
        <f t="shared" si="120"/>
        <v>0</v>
      </c>
      <c r="K395" s="19"/>
      <c r="L395" s="19">
        <f t="shared" si="120"/>
        <v>0</v>
      </c>
      <c r="M395" s="19"/>
      <c r="N395" s="19">
        <f t="shared" si="120"/>
        <v>0</v>
      </c>
      <c r="O395" s="19">
        <f t="shared" si="120"/>
        <v>0</v>
      </c>
      <c r="P395" s="19"/>
      <c r="Q395" s="19">
        <f t="shared" si="120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4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4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4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4"/>
        <v>0</v>
      </c>
      <c r="H399" s="19"/>
      <c r="I399" s="19">
        <f t="shared" ref="I399:Q399" si="121">SUM(I404:I412)</f>
        <v>0</v>
      </c>
      <c r="J399" s="19">
        <f t="shared" si="121"/>
        <v>0</v>
      </c>
      <c r="K399" s="19"/>
      <c r="L399" s="19">
        <f t="shared" si="121"/>
        <v>0</v>
      </c>
      <c r="M399" s="19"/>
      <c r="N399" s="19">
        <f t="shared" si="121"/>
        <v>0</v>
      </c>
      <c r="O399" s="19">
        <f t="shared" si="121"/>
        <v>0</v>
      </c>
      <c r="P399" s="19"/>
      <c r="Q399" s="19">
        <f t="shared" si="121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90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4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4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4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4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4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4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4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4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4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2">F414+F417+F421+F423+F426+F432</f>
        <v>300</v>
      </c>
      <c r="G413" s="19">
        <f t="shared" si="122"/>
        <v>118</v>
      </c>
      <c r="H413" s="19">
        <f t="shared" si="122"/>
        <v>0</v>
      </c>
      <c r="I413" s="19">
        <f t="shared" si="122"/>
        <v>0</v>
      </c>
      <c r="J413" s="19">
        <f t="shared" si="122"/>
        <v>0</v>
      </c>
      <c r="K413" s="19">
        <f t="shared" si="122"/>
        <v>0</v>
      </c>
      <c r="L413" s="19">
        <f t="shared" si="122"/>
        <v>0</v>
      </c>
      <c r="M413" s="19">
        <f t="shared" si="122"/>
        <v>0</v>
      </c>
      <c r="N413" s="19">
        <f t="shared" si="122"/>
        <v>8</v>
      </c>
      <c r="O413" s="19">
        <f t="shared" si="122"/>
        <v>0</v>
      </c>
      <c r="P413" s="19">
        <f t="shared" si="122"/>
        <v>300</v>
      </c>
      <c r="Q413" s="19">
        <f t="shared" si="122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3">F415+F416</f>
        <v>35</v>
      </c>
      <c r="G414" s="19">
        <f t="shared" si="123"/>
        <v>35</v>
      </c>
      <c r="H414" s="19">
        <f t="shared" si="123"/>
        <v>0</v>
      </c>
      <c r="I414" s="19">
        <f t="shared" si="123"/>
        <v>0</v>
      </c>
      <c r="J414" s="19">
        <f t="shared" si="123"/>
        <v>0</v>
      </c>
      <c r="K414" s="19">
        <f t="shared" si="123"/>
        <v>0</v>
      </c>
      <c r="L414" s="19">
        <f t="shared" si="123"/>
        <v>0</v>
      </c>
      <c r="M414" s="19">
        <f t="shared" si="123"/>
        <v>0</v>
      </c>
      <c r="N414" s="19">
        <f t="shared" si="123"/>
        <v>0</v>
      </c>
      <c r="O414" s="19">
        <f t="shared" si="123"/>
        <v>0</v>
      </c>
      <c r="P414" s="19">
        <f t="shared" si="123"/>
        <v>35</v>
      </c>
      <c r="Q414" s="19">
        <f t="shared" si="123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4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4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17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5">SUM(F418:F420)</f>
        <v>65</v>
      </c>
      <c r="G417" s="19">
        <f t="shared" si="125"/>
        <v>68</v>
      </c>
      <c r="H417" s="19">
        <f t="shared" si="125"/>
        <v>0</v>
      </c>
      <c r="I417" s="19">
        <f t="shared" si="125"/>
        <v>0</v>
      </c>
      <c r="J417" s="19">
        <f t="shared" si="125"/>
        <v>0</v>
      </c>
      <c r="K417" s="19">
        <f t="shared" si="125"/>
        <v>0</v>
      </c>
      <c r="L417" s="19">
        <f t="shared" si="125"/>
        <v>0</v>
      </c>
      <c r="M417" s="19">
        <f t="shared" si="125"/>
        <v>0</v>
      </c>
      <c r="N417" s="19">
        <f t="shared" si="125"/>
        <v>8</v>
      </c>
      <c r="O417" s="19">
        <f t="shared" si="125"/>
        <v>0</v>
      </c>
      <c r="P417" s="19">
        <f t="shared" si="125"/>
        <v>65</v>
      </c>
      <c r="Q417" s="19">
        <f t="shared" si="125"/>
        <v>50</v>
      </c>
    </row>
    <row r="418" spans="1:17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30</v>
      </c>
      <c r="G418" s="37">
        <f t="shared" ref="G418:G419" si="126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30</v>
      </c>
      <c r="Q418" s="36">
        <v>9</v>
      </c>
    </row>
    <row r="419" spans="1:17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25</v>
      </c>
      <c r="G419" s="37">
        <f t="shared" si="126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25</v>
      </c>
      <c r="Q419" s="36">
        <v>41</v>
      </c>
    </row>
    <row r="420" spans="1:17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4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17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7">F422</f>
        <v>200</v>
      </c>
      <c r="G421" s="19">
        <f t="shared" si="127"/>
        <v>15</v>
      </c>
      <c r="H421" s="19">
        <f t="shared" si="127"/>
        <v>0</v>
      </c>
      <c r="I421" s="19">
        <f t="shared" si="127"/>
        <v>0</v>
      </c>
      <c r="J421" s="19">
        <f t="shared" si="127"/>
        <v>0</v>
      </c>
      <c r="K421" s="19">
        <f t="shared" si="127"/>
        <v>0</v>
      </c>
      <c r="L421" s="19">
        <f t="shared" si="127"/>
        <v>0</v>
      </c>
      <c r="M421" s="19">
        <f t="shared" si="127"/>
        <v>0</v>
      </c>
      <c r="N421" s="19">
        <f t="shared" si="127"/>
        <v>0</v>
      </c>
      <c r="O421" s="19">
        <f t="shared" si="127"/>
        <v>0</v>
      </c>
      <c r="P421" s="19">
        <f t="shared" si="127"/>
        <v>200</v>
      </c>
      <c r="Q421" s="19">
        <f t="shared" si="127"/>
        <v>15</v>
      </c>
    </row>
    <row r="422" spans="1:17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200</v>
      </c>
      <c r="G422" s="37">
        <f t="shared" ref="G422" si="128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200</v>
      </c>
      <c r="Q422" s="36">
        <v>15</v>
      </c>
    </row>
    <row r="423" spans="1:17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4"/>
        <v>0</v>
      </c>
      <c r="H423" s="19"/>
      <c r="I423" s="19">
        <f t="shared" ref="I423:Q423" si="129">I424+I425</f>
        <v>0</v>
      </c>
      <c r="J423" s="19">
        <f t="shared" si="129"/>
        <v>0</v>
      </c>
      <c r="K423" s="19"/>
      <c r="L423" s="19">
        <f t="shared" si="129"/>
        <v>0</v>
      </c>
      <c r="M423" s="19"/>
      <c r="N423" s="19">
        <f t="shared" si="129"/>
        <v>0</v>
      </c>
      <c r="O423" s="19">
        <f t="shared" si="129"/>
        <v>0</v>
      </c>
      <c r="P423" s="19"/>
      <c r="Q423" s="19">
        <f t="shared" si="129"/>
        <v>0</v>
      </c>
    </row>
    <row r="424" spans="1:17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4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17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4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17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4"/>
        <v>0</v>
      </c>
      <c r="H426" s="19"/>
      <c r="I426" s="19">
        <f t="shared" ref="I426:Q426" si="130">I427</f>
        <v>0</v>
      </c>
      <c r="J426" s="19">
        <f t="shared" si="130"/>
        <v>0</v>
      </c>
      <c r="K426" s="19"/>
      <c r="L426" s="19">
        <f t="shared" si="130"/>
        <v>0</v>
      </c>
      <c r="M426" s="19"/>
      <c r="N426" s="19">
        <f t="shared" si="130"/>
        <v>0</v>
      </c>
      <c r="O426" s="19">
        <f t="shared" si="130"/>
        <v>0</v>
      </c>
      <c r="P426" s="19"/>
      <c r="Q426" s="19">
        <f t="shared" si="130"/>
        <v>0</v>
      </c>
    </row>
    <row r="427" spans="1:17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4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17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17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17" ht="90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17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17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4"/>
        <v>0</v>
      </c>
      <c r="H432" s="19"/>
      <c r="I432" s="19">
        <f t="shared" ref="I432:Q432" si="131">I433</f>
        <v>0</v>
      </c>
      <c r="J432" s="19">
        <f t="shared" si="131"/>
        <v>0</v>
      </c>
      <c r="K432" s="19"/>
      <c r="L432" s="19">
        <f t="shared" si="131"/>
        <v>0</v>
      </c>
      <c r="M432" s="19"/>
      <c r="N432" s="19">
        <f t="shared" si="131"/>
        <v>0</v>
      </c>
      <c r="O432" s="19">
        <f t="shared" si="131"/>
        <v>0</v>
      </c>
      <c r="P432" s="19"/>
      <c r="Q432" s="19">
        <f t="shared" si="131"/>
        <v>0</v>
      </c>
    </row>
    <row r="433" spans="1:17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4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17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2">F435+F458+F471+F474+F482</f>
        <v>219837</v>
      </c>
      <c r="G434" s="19">
        <f t="shared" si="132"/>
        <v>3263</v>
      </c>
      <c r="H434" s="19">
        <f t="shared" si="132"/>
        <v>217136</v>
      </c>
      <c r="I434" s="19">
        <f t="shared" si="132"/>
        <v>1450</v>
      </c>
      <c r="J434" s="19">
        <f t="shared" si="132"/>
        <v>0</v>
      </c>
      <c r="K434" s="19">
        <f t="shared" si="132"/>
        <v>1000</v>
      </c>
      <c r="L434" s="19">
        <f t="shared" si="132"/>
        <v>0</v>
      </c>
      <c r="M434" s="19">
        <f t="shared" si="132"/>
        <v>0</v>
      </c>
      <c r="N434" s="19">
        <f t="shared" si="132"/>
        <v>0</v>
      </c>
      <c r="O434" s="19">
        <f t="shared" si="132"/>
        <v>0</v>
      </c>
      <c r="P434" s="19">
        <f t="shared" si="132"/>
        <v>1701</v>
      </c>
      <c r="Q434" s="19">
        <f t="shared" si="132"/>
        <v>1813</v>
      </c>
    </row>
    <row r="435" spans="1:17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3">F436+F441+F452+F454+F456</f>
        <v>219837</v>
      </c>
      <c r="G435" s="19">
        <f t="shared" si="133"/>
        <v>3263</v>
      </c>
      <c r="H435" s="19">
        <f t="shared" si="133"/>
        <v>217136</v>
      </c>
      <c r="I435" s="19">
        <f t="shared" si="133"/>
        <v>1450</v>
      </c>
      <c r="J435" s="19">
        <f t="shared" si="133"/>
        <v>0</v>
      </c>
      <c r="K435" s="19">
        <f t="shared" si="133"/>
        <v>1000</v>
      </c>
      <c r="L435" s="19">
        <f t="shared" si="133"/>
        <v>0</v>
      </c>
      <c r="M435" s="19">
        <f t="shared" si="133"/>
        <v>0</v>
      </c>
      <c r="N435" s="19">
        <f t="shared" si="133"/>
        <v>0</v>
      </c>
      <c r="O435" s="19">
        <f t="shared" si="133"/>
        <v>0</v>
      </c>
      <c r="P435" s="19">
        <f t="shared" si="133"/>
        <v>1701</v>
      </c>
      <c r="Q435" s="19">
        <f t="shared" si="133"/>
        <v>1813</v>
      </c>
    </row>
    <row r="436" spans="1:17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4">SUM(F437:F440)</f>
        <v>5000</v>
      </c>
      <c r="G436" s="19">
        <f t="shared" si="134"/>
        <v>1450</v>
      </c>
      <c r="H436" s="19">
        <f t="shared" si="134"/>
        <v>5000</v>
      </c>
      <c r="I436" s="19">
        <f t="shared" si="134"/>
        <v>1450</v>
      </c>
      <c r="J436" s="19">
        <f t="shared" si="134"/>
        <v>0</v>
      </c>
      <c r="K436" s="19">
        <f t="shared" si="134"/>
        <v>0</v>
      </c>
      <c r="L436" s="19">
        <f t="shared" si="134"/>
        <v>0</v>
      </c>
      <c r="M436" s="19">
        <f t="shared" si="134"/>
        <v>0</v>
      </c>
      <c r="N436" s="19">
        <f t="shared" si="134"/>
        <v>0</v>
      </c>
      <c r="O436" s="19">
        <f t="shared" si="134"/>
        <v>0</v>
      </c>
      <c r="P436" s="19">
        <f t="shared" si="134"/>
        <v>0</v>
      </c>
      <c r="Q436" s="19">
        <f t="shared" si="134"/>
        <v>0</v>
      </c>
    </row>
    <row r="437" spans="1:17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4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17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4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17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5000</v>
      </c>
      <c r="G439" s="37">
        <f t="shared" ref="G439" si="135">SUM(I439:Q439)-K439-M439-P439</f>
        <v>1450</v>
      </c>
      <c r="H439" s="37">
        <v>5000</v>
      </c>
      <c r="I439" s="36">
        <v>1450</v>
      </c>
      <c r="J439" s="36"/>
      <c r="K439" s="36"/>
      <c r="L439" s="36"/>
      <c r="M439" s="36"/>
      <c r="N439" s="36"/>
      <c r="O439" s="36"/>
      <c r="P439" s="36"/>
      <c r="Q439" s="36"/>
    </row>
    <row r="440" spans="1:17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4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17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6">SUM(F442:F451)</f>
        <v>214837</v>
      </c>
      <c r="G441" s="19">
        <f t="shared" si="136"/>
        <v>1813</v>
      </c>
      <c r="H441" s="19">
        <f t="shared" si="136"/>
        <v>212136</v>
      </c>
      <c r="I441" s="19">
        <f t="shared" si="136"/>
        <v>0</v>
      </c>
      <c r="J441" s="19">
        <f t="shared" si="136"/>
        <v>0</v>
      </c>
      <c r="K441" s="19">
        <f t="shared" si="136"/>
        <v>1000</v>
      </c>
      <c r="L441" s="19">
        <f t="shared" si="136"/>
        <v>0</v>
      </c>
      <c r="M441" s="19">
        <f t="shared" si="136"/>
        <v>0</v>
      </c>
      <c r="N441" s="19">
        <f t="shared" si="136"/>
        <v>0</v>
      </c>
      <c r="O441" s="19">
        <f t="shared" si="136"/>
        <v>0</v>
      </c>
      <c r="P441" s="19">
        <f t="shared" si="136"/>
        <v>1701</v>
      </c>
      <c r="Q441" s="19">
        <f t="shared" si="136"/>
        <v>1813</v>
      </c>
    </row>
    <row r="442" spans="1:17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4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17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0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/>
      <c r="Q443" s="36"/>
    </row>
    <row r="444" spans="1:17" x14ac:dyDescent="0.2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5590</v>
      </c>
      <c r="G444" s="37">
        <f t="shared" ref="G444" si="137">SUM(I444:Q444)-K444-M444-P444</f>
        <v>1258</v>
      </c>
      <c r="H444" s="37">
        <v>4200</v>
      </c>
      <c r="I444" s="36"/>
      <c r="J444" s="36"/>
      <c r="K444" s="36"/>
      <c r="L444" s="36"/>
      <c r="M444" s="36"/>
      <c r="N444" s="36"/>
      <c r="O444" s="36"/>
      <c r="P444" s="513">
        <f>918+100+372</f>
        <v>1390</v>
      </c>
      <c r="Q444" s="36">
        <v>1258</v>
      </c>
    </row>
    <row r="445" spans="1:17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4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17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4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17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209247</v>
      </c>
      <c r="G447" s="37">
        <f t="shared" ref="G447" si="138">SUM(I447:Q447)-K447-M447-P447</f>
        <v>555</v>
      </c>
      <c r="H447" s="37">
        <f>20000+162615+25321</f>
        <v>207936</v>
      </c>
      <c r="I447" s="36"/>
      <c r="J447" s="36"/>
      <c r="K447" s="36">
        <v>1000</v>
      </c>
      <c r="L447" s="36"/>
      <c r="M447" s="36"/>
      <c r="N447" s="36"/>
      <c r="O447" s="36"/>
      <c r="P447" s="38">
        <v>311</v>
      </c>
      <c r="Q447" s="36">
        <v>555</v>
      </c>
    </row>
    <row r="448" spans="1:17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4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4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4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4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4"/>
        <v>0</v>
      </c>
      <c r="H452" s="19"/>
      <c r="I452" s="19">
        <f t="shared" ref="I452:Q452" si="139">I453</f>
        <v>0</v>
      </c>
      <c r="J452" s="19">
        <f t="shared" si="139"/>
        <v>0</v>
      </c>
      <c r="K452" s="19"/>
      <c r="L452" s="19">
        <f t="shared" si="139"/>
        <v>0</v>
      </c>
      <c r="M452" s="19"/>
      <c r="N452" s="19">
        <f t="shared" si="139"/>
        <v>0</v>
      </c>
      <c r="O452" s="19">
        <f t="shared" si="139"/>
        <v>0</v>
      </c>
      <c r="P452" s="19"/>
      <c r="Q452" s="19">
        <f t="shared" si="139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4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4"/>
        <v>0</v>
      </c>
      <c r="H454" s="19"/>
      <c r="I454" s="19">
        <f t="shared" ref="I454:Q454" si="140">I455</f>
        <v>0</v>
      </c>
      <c r="J454" s="19">
        <f t="shared" si="140"/>
        <v>0</v>
      </c>
      <c r="K454" s="19"/>
      <c r="L454" s="19">
        <f t="shared" si="140"/>
        <v>0</v>
      </c>
      <c r="M454" s="19"/>
      <c r="N454" s="19">
        <f t="shared" si="140"/>
        <v>0</v>
      </c>
      <c r="O454" s="19">
        <f t="shared" si="140"/>
        <v>0</v>
      </c>
      <c r="P454" s="19"/>
      <c r="Q454" s="19">
        <f t="shared" si="140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4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hidden="1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1">F457</f>
        <v>0</v>
      </c>
      <c r="G456" s="19">
        <f t="shared" si="141"/>
        <v>0</v>
      </c>
      <c r="H456" s="19">
        <f t="shared" si="141"/>
        <v>0</v>
      </c>
      <c r="I456" s="19">
        <f t="shared" si="141"/>
        <v>0</v>
      </c>
      <c r="J456" s="19">
        <f t="shared" si="141"/>
        <v>0</v>
      </c>
      <c r="K456" s="19">
        <f t="shared" si="141"/>
        <v>0</v>
      </c>
      <c r="L456" s="19">
        <f t="shared" si="141"/>
        <v>0</v>
      </c>
      <c r="M456" s="19">
        <f t="shared" si="141"/>
        <v>0</v>
      </c>
      <c r="N456" s="19">
        <f t="shared" si="141"/>
        <v>0</v>
      </c>
      <c r="O456" s="19">
        <f t="shared" si="141"/>
        <v>0</v>
      </c>
      <c r="P456" s="19">
        <f t="shared" si="141"/>
        <v>0</v>
      </c>
      <c r="Q456" s="19">
        <f t="shared" si="141"/>
        <v>0</v>
      </c>
    </row>
    <row r="457" spans="1:17" hidden="1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0</v>
      </c>
      <c r="G457" s="37">
        <f t="shared" si="114"/>
        <v>0</v>
      </c>
      <c r="H457" s="37"/>
      <c r="I457" s="36"/>
      <c r="J457" s="36"/>
      <c r="K457" s="36"/>
      <c r="L457" s="36"/>
      <c r="M457" s="36"/>
      <c r="N457" s="36"/>
      <c r="O457" s="36"/>
      <c r="P457" s="36">
        <v>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2">SUM(I458:Q458)</f>
        <v>0</v>
      </c>
      <c r="H458" s="19"/>
      <c r="I458" s="19">
        <f t="shared" ref="I458:Q458" si="143">I459+I461+I469</f>
        <v>0</v>
      </c>
      <c r="J458" s="19">
        <f t="shared" si="143"/>
        <v>0</v>
      </c>
      <c r="K458" s="19"/>
      <c r="L458" s="19">
        <f t="shared" si="143"/>
        <v>0</v>
      </c>
      <c r="M458" s="19"/>
      <c r="N458" s="19">
        <f t="shared" si="143"/>
        <v>0</v>
      </c>
      <c r="O458" s="19">
        <f t="shared" si="143"/>
        <v>0</v>
      </c>
      <c r="P458" s="19"/>
      <c r="Q458" s="19">
        <f t="shared" si="143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2"/>
        <v>0</v>
      </c>
      <c r="H459" s="19"/>
      <c r="I459" s="19">
        <f t="shared" ref="I459:Q459" si="144">I460</f>
        <v>0</v>
      </c>
      <c r="J459" s="19">
        <f t="shared" si="144"/>
        <v>0</v>
      </c>
      <c r="K459" s="19"/>
      <c r="L459" s="19">
        <f t="shared" si="144"/>
        <v>0</v>
      </c>
      <c r="M459" s="19"/>
      <c r="N459" s="19">
        <f t="shared" si="144"/>
        <v>0</v>
      </c>
      <c r="O459" s="19">
        <f t="shared" si="144"/>
        <v>0</v>
      </c>
      <c r="P459" s="19"/>
      <c r="Q459" s="19">
        <f t="shared" si="144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2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2"/>
        <v>0</v>
      </c>
      <c r="H461" s="19"/>
      <c r="I461" s="19">
        <f t="shared" ref="I461:Q461" si="145">SUM(I462:I468)</f>
        <v>0</v>
      </c>
      <c r="J461" s="19">
        <f t="shared" si="145"/>
        <v>0</v>
      </c>
      <c r="K461" s="19"/>
      <c r="L461" s="19">
        <f t="shared" si="145"/>
        <v>0</v>
      </c>
      <c r="M461" s="19"/>
      <c r="N461" s="19">
        <f t="shared" si="145"/>
        <v>0</v>
      </c>
      <c r="O461" s="19">
        <f t="shared" si="145"/>
        <v>0</v>
      </c>
      <c r="P461" s="19"/>
      <c r="Q461" s="19">
        <f t="shared" si="145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2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90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2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2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2"/>
        <v>0</v>
      </c>
      <c r="H469" s="19"/>
      <c r="I469" s="19">
        <f t="shared" ref="I469:Q469" si="146">I470</f>
        <v>0</v>
      </c>
      <c r="J469" s="19">
        <f t="shared" si="146"/>
        <v>0</v>
      </c>
      <c r="K469" s="19"/>
      <c r="L469" s="19">
        <f t="shared" si="146"/>
        <v>0</v>
      </c>
      <c r="M469" s="19"/>
      <c r="N469" s="19">
        <f t="shared" si="146"/>
        <v>0</v>
      </c>
      <c r="O469" s="19">
        <f t="shared" si="146"/>
        <v>0</v>
      </c>
      <c r="P469" s="19"/>
      <c r="Q469" s="19">
        <f t="shared" si="146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2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2"/>
        <v>0</v>
      </c>
      <c r="H471" s="19"/>
      <c r="I471" s="19">
        <f t="shared" ref="I471:Q472" si="147">I472</f>
        <v>0</v>
      </c>
      <c r="J471" s="19">
        <f t="shared" si="147"/>
        <v>0</v>
      </c>
      <c r="K471" s="19"/>
      <c r="L471" s="19">
        <f t="shared" si="147"/>
        <v>0</v>
      </c>
      <c r="M471" s="19"/>
      <c r="N471" s="19">
        <f t="shared" si="147"/>
        <v>0</v>
      </c>
      <c r="O471" s="19">
        <f t="shared" si="147"/>
        <v>0</v>
      </c>
      <c r="P471" s="19"/>
      <c r="Q471" s="19">
        <f t="shared" si="147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2"/>
        <v>0</v>
      </c>
      <c r="H472" s="19"/>
      <c r="I472" s="19">
        <f t="shared" si="147"/>
        <v>0</v>
      </c>
      <c r="J472" s="19">
        <f t="shared" si="147"/>
        <v>0</v>
      </c>
      <c r="K472" s="19"/>
      <c r="L472" s="19">
        <f t="shared" si="147"/>
        <v>0</v>
      </c>
      <c r="M472" s="19"/>
      <c r="N472" s="19">
        <f t="shared" si="147"/>
        <v>0</v>
      </c>
      <c r="O472" s="19">
        <f t="shared" si="147"/>
        <v>0</v>
      </c>
      <c r="P472" s="19"/>
      <c r="Q472" s="19">
        <f t="shared" si="147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2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2"/>
        <v>0</v>
      </c>
      <c r="H474" s="19"/>
      <c r="I474" s="19">
        <f t="shared" ref="I474:Q474" si="148">I475+I477+I479</f>
        <v>0</v>
      </c>
      <c r="J474" s="19">
        <f t="shared" si="148"/>
        <v>0</v>
      </c>
      <c r="K474" s="19"/>
      <c r="L474" s="19">
        <f t="shared" si="148"/>
        <v>0</v>
      </c>
      <c r="M474" s="19"/>
      <c r="N474" s="19">
        <f t="shared" si="148"/>
        <v>0</v>
      </c>
      <c r="O474" s="19">
        <f t="shared" si="148"/>
        <v>0</v>
      </c>
      <c r="P474" s="19"/>
      <c r="Q474" s="19">
        <f t="shared" si="148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2"/>
        <v>0</v>
      </c>
      <c r="H475" s="19"/>
      <c r="I475" s="19">
        <f t="shared" ref="I475:Q475" si="149">I476</f>
        <v>0</v>
      </c>
      <c r="J475" s="19">
        <f t="shared" si="149"/>
        <v>0</v>
      </c>
      <c r="K475" s="19"/>
      <c r="L475" s="19">
        <f t="shared" si="149"/>
        <v>0</v>
      </c>
      <c r="M475" s="19"/>
      <c r="N475" s="19">
        <f t="shared" si="149"/>
        <v>0</v>
      </c>
      <c r="O475" s="19">
        <f t="shared" si="149"/>
        <v>0</v>
      </c>
      <c r="P475" s="19"/>
      <c r="Q475" s="19">
        <f t="shared" si="149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2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2"/>
        <v>0</v>
      </c>
      <c r="H477" s="19"/>
      <c r="I477" s="19">
        <f t="shared" ref="I477:Q477" si="150">I478</f>
        <v>0</v>
      </c>
      <c r="J477" s="19">
        <f t="shared" si="150"/>
        <v>0</v>
      </c>
      <c r="K477" s="19"/>
      <c r="L477" s="19">
        <f t="shared" si="150"/>
        <v>0</v>
      </c>
      <c r="M477" s="19"/>
      <c r="N477" s="19">
        <f t="shared" si="150"/>
        <v>0</v>
      </c>
      <c r="O477" s="19">
        <f t="shared" si="150"/>
        <v>0</v>
      </c>
      <c r="P477" s="19"/>
      <c r="Q477" s="19">
        <f t="shared" si="150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2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2"/>
        <v>0</v>
      </c>
      <c r="H479" s="19"/>
      <c r="I479" s="19">
        <f t="shared" ref="I479:Q479" si="151">I480+I481</f>
        <v>0</v>
      </c>
      <c r="J479" s="19">
        <f t="shared" si="151"/>
        <v>0</v>
      </c>
      <c r="K479" s="19"/>
      <c r="L479" s="19">
        <f t="shared" si="151"/>
        <v>0</v>
      </c>
      <c r="M479" s="19"/>
      <c r="N479" s="19">
        <f t="shared" si="151"/>
        <v>0</v>
      </c>
      <c r="O479" s="19">
        <f t="shared" si="151"/>
        <v>0</v>
      </c>
      <c r="P479" s="19"/>
      <c r="Q479" s="19">
        <f t="shared" si="151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2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2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2"/>
        <v>0</v>
      </c>
      <c r="H482" s="19"/>
      <c r="I482" s="19">
        <f t="shared" ref="I482:Q483" si="152">I483</f>
        <v>0</v>
      </c>
      <c r="J482" s="19">
        <f t="shared" si="152"/>
        <v>0</v>
      </c>
      <c r="K482" s="19"/>
      <c r="L482" s="19">
        <f t="shared" si="152"/>
        <v>0</v>
      </c>
      <c r="M482" s="19"/>
      <c r="N482" s="19">
        <f t="shared" si="152"/>
        <v>0</v>
      </c>
      <c r="O482" s="19">
        <f t="shared" si="152"/>
        <v>0</v>
      </c>
      <c r="P482" s="19"/>
      <c r="Q482" s="19">
        <f t="shared" si="152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2"/>
        <v>0</v>
      </c>
      <c r="H483" s="19"/>
      <c r="I483" s="19">
        <f t="shared" si="152"/>
        <v>0</v>
      </c>
      <c r="J483" s="19">
        <f t="shared" si="152"/>
        <v>0</v>
      </c>
      <c r="K483" s="19"/>
      <c r="L483" s="19">
        <f t="shared" si="152"/>
        <v>0</v>
      </c>
      <c r="M483" s="19"/>
      <c r="N483" s="19">
        <f t="shared" si="152"/>
        <v>0</v>
      </c>
      <c r="O483" s="19">
        <f t="shared" si="152"/>
        <v>0</v>
      </c>
      <c r="P483" s="19"/>
      <c r="Q483" s="19">
        <f t="shared" si="152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2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2"/>
        <v>0</v>
      </c>
      <c r="H485" s="19"/>
      <c r="I485" s="19">
        <f t="shared" ref="I485:Q485" si="153">I486+I515</f>
        <v>0</v>
      </c>
      <c r="J485" s="19">
        <f t="shared" si="153"/>
        <v>0</v>
      </c>
      <c r="K485" s="19"/>
      <c r="L485" s="19">
        <f t="shared" si="153"/>
        <v>0</v>
      </c>
      <c r="M485" s="19"/>
      <c r="N485" s="19">
        <f t="shared" si="153"/>
        <v>0</v>
      </c>
      <c r="O485" s="19">
        <f t="shared" si="153"/>
        <v>0</v>
      </c>
      <c r="P485" s="19"/>
      <c r="Q485" s="19">
        <f t="shared" si="153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2"/>
        <v>0</v>
      </c>
      <c r="H486" s="19"/>
      <c r="I486" s="19">
        <f t="shared" ref="I486:Q486" si="154">I487+I501+I509+I511+I513</f>
        <v>0</v>
      </c>
      <c r="J486" s="19">
        <f t="shared" si="154"/>
        <v>0</v>
      </c>
      <c r="K486" s="19"/>
      <c r="L486" s="19">
        <f t="shared" si="154"/>
        <v>0</v>
      </c>
      <c r="M486" s="19"/>
      <c r="N486" s="19">
        <f t="shared" si="154"/>
        <v>0</v>
      </c>
      <c r="O486" s="19">
        <f t="shared" si="154"/>
        <v>0</v>
      </c>
      <c r="P486" s="19"/>
      <c r="Q486" s="19">
        <f t="shared" si="154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2"/>
        <v>0</v>
      </c>
      <c r="H487" s="19"/>
      <c r="I487" s="19">
        <f t="shared" ref="I487:Q487" si="155">SUM(I488:I500)</f>
        <v>0</v>
      </c>
      <c r="J487" s="19">
        <f t="shared" si="155"/>
        <v>0</v>
      </c>
      <c r="K487" s="19"/>
      <c r="L487" s="19">
        <f t="shared" si="155"/>
        <v>0</v>
      </c>
      <c r="M487" s="19"/>
      <c r="N487" s="19">
        <f t="shared" si="155"/>
        <v>0</v>
      </c>
      <c r="O487" s="19">
        <f t="shared" si="155"/>
        <v>0</v>
      </c>
      <c r="P487" s="19"/>
      <c r="Q487" s="19">
        <f t="shared" si="155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2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2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2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90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2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2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2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2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2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2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2"/>
        <v>0</v>
      </c>
      <c r="H501" s="19"/>
      <c r="I501" s="19">
        <f t="shared" ref="I501:Q501" si="156">SUM(I502:I508)</f>
        <v>0</v>
      </c>
      <c r="J501" s="19">
        <f t="shared" si="156"/>
        <v>0</v>
      </c>
      <c r="K501" s="19"/>
      <c r="L501" s="19">
        <f t="shared" si="156"/>
        <v>0</v>
      </c>
      <c r="M501" s="19"/>
      <c r="N501" s="19">
        <f t="shared" si="156"/>
        <v>0</v>
      </c>
      <c r="O501" s="19">
        <f t="shared" si="156"/>
        <v>0</v>
      </c>
      <c r="P501" s="19"/>
      <c r="Q501" s="19">
        <f t="shared" si="156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2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2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2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2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2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2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2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2"/>
        <v>0</v>
      </c>
      <c r="H509" s="19"/>
      <c r="I509" s="19">
        <f t="shared" ref="I509:Q509" si="157">I510</f>
        <v>0</v>
      </c>
      <c r="J509" s="19">
        <f t="shared" si="157"/>
        <v>0</v>
      </c>
      <c r="K509" s="19"/>
      <c r="L509" s="19">
        <f t="shared" si="157"/>
        <v>0</v>
      </c>
      <c r="M509" s="19"/>
      <c r="N509" s="19">
        <f t="shared" si="157"/>
        <v>0</v>
      </c>
      <c r="O509" s="19">
        <f t="shared" si="157"/>
        <v>0</v>
      </c>
      <c r="P509" s="19"/>
      <c r="Q509" s="19">
        <f t="shared" si="157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2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2"/>
        <v>0</v>
      </c>
      <c r="H511" s="19"/>
      <c r="I511" s="19">
        <f t="shared" ref="I511:Q513" si="158">I512</f>
        <v>0</v>
      </c>
      <c r="J511" s="19">
        <f t="shared" si="158"/>
        <v>0</v>
      </c>
      <c r="K511" s="19"/>
      <c r="L511" s="19">
        <f t="shared" si="158"/>
        <v>0</v>
      </c>
      <c r="M511" s="19"/>
      <c r="N511" s="19">
        <f t="shared" si="158"/>
        <v>0</v>
      </c>
      <c r="O511" s="19">
        <f t="shared" si="158"/>
        <v>0</v>
      </c>
      <c r="P511" s="19"/>
      <c r="Q511" s="19">
        <f t="shared" si="158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2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2"/>
        <v>0</v>
      </c>
      <c r="H513" s="19"/>
      <c r="I513" s="19">
        <f t="shared" si="158"/>
        <v>0</v>
      </c>
      <c r="J513" s="19">
        <f t="shared" si="158"/>
        <v>0</v>
      </c>
      <c r="K513" s="19"/>
      <c r="L513" s="19">
        <f t="shared" si="158"/>
        <v>0</v>
      </c>
      <c r="M513" s="19"/>
      <c r="N513" s="19">
        <f t="shared" si="158"/>
        <v>0</v>
      </c>
      <c r="O513" s="19">
        <f t="shared" si="158"/>
        <v>0</v>
      </c>
      <c r="P513" s="19"/>
      <c r="Q513" s="19">
        <f t="shared" si="158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2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2"/>
        <v>0</v>
      </c>
      <c r="H515" s="19"/>
      <c r="I515" s="19">
        <f t="shared" ref="I515:Q515" si="159">I516+I530+I539</f>
        <v>0</v>
      </c>
      <c r="J515" s="19">
        <f t="shared" si="159"/>
        <v>0</v>
      </c>
      <c r="K515" s="19"/>
      <c r="L515" s="19">
        <f t="shared" si="159"/>
        <v>0</v>
      </c>
      <c r="M515" s="19"/>
      <c r="N515" s="19">
        <f t="shared" si="159"/>
        <v>0</v>
      </c>
      <c r="O515" s="19">
        <f t="shared" si="159"/>
        <v>0</v>
      </c>
      <c r="P515" s="19"/>
      <c r="Q515" s="19">
        <f t="shared" si="159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2"/>
        <v>0</v>
      </c>
      <c r="H516" s="19"/>
      <c r="I516" s="19">
        <f t="shared" ref="I516:Q516" si="160">SUM(I517:I529)</f>
        <v>0</v>
      </c>
      <c r="J516" s="19">
        <f t="shared" si="160"/>
        <v>0</v>
      </c>
      <c r="K516" s="19"/>
      <c r="L516" s="19">
        <f t="shared" si="160"/>
        <v>0</v>
      </c>
      <c r="M516" s="19"/>
      <c r="N516" s="19">
        <f t="shared" si="160"/>
        <v>0</v>
      </c>
      <c r="O516" s="19">
        <f t="shared" si="160"/>
        <v>0</v>
      </c>
      <c r="P516" s="19"/>
      <c r="Q516" s="19">
        <f t="shared" si="160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2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90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2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2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2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2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2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2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2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2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2"/>
        <v>0</v>
      </c>
      <c r="H530" s="19"/>
      <c r="I530" s="19">
        <f t="shared" ref="I530:Q530" si="161">SUM(I531:I538)</f>
        <v>0</v>
      </c>
      <c r="J530" s="19">
        <f t="shared" si="161"/>
        <v>0</v>
      </c>
      <c r="K530" s="19"/>
      <c r="L530" s="19">
        <f t="shared" si="161"/>
        <v>0</v>
      </c>
      <c r="M530" s="19"/>
      <c r="N530" s="19">
        <f t="shared" si="161"/>
        <v>0</v>
      </c>
      <c r="O530" s="19">
        <f t="shared" si="161"/>
        <v>0</v>
      </c>
      <c r="P530" s="19"/>
      <c r="Q530" s="19">
        <f t="shared" si="161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2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2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2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2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2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2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2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2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2"/>
        <v>0</v>
      </c>
      <c r="H539" s="19"/>
      <c r="I539" s="19">
        <f t="shared" ref="I539:Q539" si="163">I540</f>
        <v>0</v>
      </c>
      <c r="J539" s="19">
        <f t="shared" si="163"/>
        <v>0</v>
      </c>
      <c r="K539" s="19"/>
      <c r="L539" s="19">
        <f t="shared" si="163"/>
        <v>0</v>
      </c>
      <c r="M539" s="19"/>
      <c r="N539" s="19">
        <f t="shared" si="163"/>
        <v>0</v>
      </c>
      <c r="O539" s="19">
        <f t="shared" si="163"/>
        <v>0</v>
      </c>
      <c r="P539" s="19"/>
      <c r="Q539" s="19">
        <f t="shared" si="163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2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4">E219+E485</f>
        <v>1500538</v>
      </c>
      <c r="F541" s="19">
        <f t="shared" si="164"/>
        <v>1857550</v>
      </c>
      <c r="G541" s="19">
        <f t="shared" si="164"/>
        <v>1138166</v>
      </c>
      <c r="H541" s="19">
        <f t="shared" si="164"/>
        <v>218671</v>
      </c>
      <c r="I541" s="19">
        <f t="shared" si="164"/>
        <v>1577</v>
      </c>
      <c r="J541" s="19">
        <f t="shared" si="164"/>
        <v>0</v>
      </c>
      <c r="K541" s="19">
        <f t="shared" si="164"/>
        <v>1000</v>
      </c>
      <c r="L541" s="19">
        <f t="shared" si="164"/>
        <v>1273</v>
      </c>
      <c r="M541" s="19">
        <f t="shared" si="164"/>
        <v>1624856</v>
      </c>
      <c r="N541" s="19">
        <f t="shared" si="164"/>
        <v>1125638</v>
      </c>
      <c r="O541" s="19">
        <f t="shared" si="164"/>
        <v>0</v>
      </c>
      <c r="P541" s="19">
        <f t="shared" si="164"/>
        <v>13023</v>
      </c>
      <c r="Q541" s="19">
        <f t="shared" si="164"/>
        <v>9668</v>
      </c>
    </row>
  </sheetData>
  <mergeCells count="186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E238:Q269 H432:H443 I432:Q462 E432:G462 E104:E127 G120:M121 G104:Q119 E467:Q490 E379:Q399 E353:Q374 E323:Q348 E404:Q427 E522:Q541 E219:Q233 E274:Q318 H445:H462 E132:E154 G132:Q154 G122:Q127 G74:Q99 E74:E99 E6:Q10 E207:Q211 E185:Q202 E159:Q180 E47:Q69 E15:Q42 F74:F154">
      <formula1>0</formula1>
      <formula2>999999999</formula2>
    </dataValidation>
  </dataValidations>
  <pageMargins left="0.16" right="0.21" top="0.53" bottom="0.25" header="0.24" footer="0.56999999999999995"/>
  <pageSetup paperSize="9" orientation="portrait" verticalDpi="4294967295" r:id="rId1"/>
  <headerFooter>
    <oddHeader>&amp;CФИНАНСИЈСКИ ПЛАН ОПШТЕ БОЛНИЦЕ ПИРОТ ЗА 2023. ГОДИНУ</oddHead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14337" r:id="rId4">
          <objectPr defaultSize="0" r:id="rId5">
            <anchor moveWithCells="1">
              <from>
                <xdr:col>17</xdr:col>
                <xdr:colOff>0</xdr:colOff>
                <xdr:row>250</xdr:row>
                <xdr:rowOff>171450</xdr:rowOff>
              </from>
              <to>
                <xdr:col>26</xdr:col>
                <xdr:colOff>438150</xdr:colOff>
                <xdr:row>292</xdr:row>
                <xdr:rowOff>38100</xdr:rowOff>
              </to>
            </anchor>
          </objectPr>
        </oleObject>
      </mc:Choice>
      <mc:Fallback>
        <oleObject progId="Word.Document.12" shapeId="14337" r:id="rId4"/>
      </mc:Fallback>
    </mc:AlternateContent>
  </oleObject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123"/>
  <sheetViews>
    <sheetView zoomScaleNormal="100" workbookViewId="0">
      <selection activeCell="K1" sqref="A1:XFD1"/>
    </sheetView>
  </sheetViews>
  <sheetFormatPr defaultRowHeight="15" x14ac:dyDescent="0.25"/>
  <cols>
    <col min="3" max="3" width="28.140625" customWidth="1"/>
    <col min="4" max="4" width="4.5703125" customWidth="1"/>
    <col min="5" max="5" width="10.140625" customWidth="1"/>
    <col min="6" max="6" width="9.85546875" customWidth="1"/>
  </cols>
  <sheetData>
    <row r="1" spans="1:17" s="12" customFormat="1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24" customHeight="1" thickBot="1" x14ac:dyDescent="0.3">
      <c r="A2" s="567" t="s">
        <v>0</v>
      </c>
      <c r="B2" s="569" t="s">
        <v>1</v>
      </c>
      <c r="C2" s="569" t="s">
        <v>2</v>
      </c>
      <c r="D2" s="540"/>
      <c r="E2" s="564" t="s">
        <v>3</v>
      </c>
      <c r="F2" s="565"/>
      <c r="G2" s="565"/>
      <c r="H2" s="565"/>
      <c r="I2" s="565"/>
      <c r="J2" s="565"/>
    </row>
    <row r="3" spans="1:17" ht="24" customHeight="1" x14ac:dyDescent="0.25">
      <c r="A3" s="568"/>
      <c r="B3" s="544"/>
      <c r="C3" s="570"/>
      <c r="D3" s="561"/>
      <c r="E3" s="540" t="s">
        <v>510</v>
      </c>
      <c r="F3" s="736" t="s">
        <v>6</v>
      </c>
      <c r="G3" s="737"/>
      <c r="H3" s="737"/>
      <c r="I3" s="738"/>
      <c r="J3" s="541" t="s">
        <v>8</v>
      </c>
    </row>
    <row r="4" spans="1:17" ht="24" customHeight="1" x14ac:dyDescent="0.25">
      <c r="A4" s="568"/>
      <c r="B4" s="544"/>
      <c r="C4" s="570"/>
      <c r="D4" s="541"/>
      <c r="E4" s="541"/>
      <c r="F4" s="75" t="s">
        <v>9</v>
      </c>
      <c r="G4" s="476" t="s">
        <v>11</v>
      </c>
      <c r="H4" s="476" t="s">
        <v>11</v>
      </c>
      <c r="I4" s="476" t="s">
        <v>12</v>
      </c>
      <c r="J4" s="544"/>
    </row>
    <row r="5" spans="1:17" ht="24" customHeight="1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5</v>
      </c>
      <c r="G5" s="476">
        <v>6</v>
      </c>
      <c r="H5" s="476">
        <v>6</v>
      </c>
      <c r="I5" s="476">
        <v>7</v>
      </c>
      <c r="J5" s="476">
        <v>8</v>
      </c>
    </row>
    <row r="6" spans="1:17" ht="24" customHeight="1" x14ac:dyDescent="0.25">
      <c r="A6" s="17">
        <v>5001</v>
      </c>
      <c r="B6" s="476"/>
      <c r="C6" s="18" t="s">
        <v>13</v>
      </c>
      <c r="D6" s="18"/>
      <c r="E6" s="19">
        <v>1745792</v>
      </c>
      <c r="F6" s="19">
        <v>30200</v>
      </c>
      <c r="G6" s="19">
        <v>57381</v>
      </c>
      <c r="H6" s="19">
        <v>505</v>
      </c>
      <c r="I6" s="19">
        <v>1644907</v>
      </c>
      <c r="J6" s="19">
        <v>13304</v>
      </c>
    </row>
    <row r="7" spans="1:17" ht="24" customHeight="1" x14ac:dyDescent="0.25">
      <c r="A7" s="17">
        <v>5002</v>
      </c>
      <c r="B7" s="476">
        <v>700000</v>
      </c>
      <c r="C7" s="18" t="s">
        <v>14</v>
      </c>
      <c r="D7" s="18"/>
      <c r="E7" s="20">
        <v>1745395</v>
      </c>
      <c r="F7" s="19">
        <v>30200</v>
      </c>
      <c r="G7" s="19">
        <v>57381</v>
      </c>
      <c r="H7" s="19">
        <v>505</v>
      </c>
      <c r="I7" s="19">
        <v>1644907</v>
      </c>
      <c r="J7" s="19">
        <v>12907</v>
      </c>
    </row>
    <row r="8" spans="1:17" ht="24" customHeight="1" x14ac:dyDescent="0.25">
      <c r="A8" s="484">
        <v>5069</v>
      </c>
      <c r="B8" s="476">
        <v>740000</v>
      </c>
      <c r="C8" s="18" t="s">
        <v>92</v>
      </c>
      <c r="D8" s="18"/>
      <c r="E8" s="19">
        <v>14566</v>
      </c>
      <c r="F8" s="19">
        <v>1000</v>
      </c>
      <c r="G8" s="19">
        <v>0</v>
      </c>
      <c r="H8" s="19">
        <v>0</v>
      </c>
      <c r="I8" s="19">
        <v>659</v>
      </c>
      <c r="J8" s="19">
        <v>12907</v>
      </c>
    </row>
    <row r="9" spans="1:17" ht="24" customHeight="1" x14ac:dyDescent="0.25">
      <c r="A9" s="484">
        <v>5070</v>
      </c>
      <c r="B9" s="476">
        <v>741000</v>
      </c>
      <c r="C9" s="18" t="s">
        <v>93</v>
      </c>
      <c r="D9" s="18"/>
      <c r="E9" s="19">
        <v>659</v>
      </c>
      <c r="F9" s="19">
        <v>0</v>
      </c>
      <c r="G9" s="19">
        <v>0</v>
      </c>
      <c r="H9" s="19">
        <v>0</v>
      </c>
      <c r="I9" s="19">
        <v>659</v>
      </c>
      <c r="J9" s="19">
        <v>0</v>
      </c>
    </row>
    <row r="10" spans="1:17" ht="24" customHeight="1" x14ac:dyDescent="0.25">
      <c r="A10" s="22">
        <v>5074</v>
      </c>
      <c r="B10" s="23">
        <v>741400</v>
      </c>
      <c r="C10" s="9" t="s">
        <v>97</v>
      </c>
      <c r="D10" s="9"/>
      <c r="E10" s="38">
        <v>659</v>
      </c>
      <c r="F10" s="37"/>
      <c r="G10" s="38"/>
      <c r="H10" s="38"/>
      <c r="I10" s="38">
        <v>659</v>
      </c>
      <c r="J10" s="38"/>
    </row>
    <row r="11" spans="1:17" ht="24" customHeight="1" x14ac:dyDescent="0.25">
      <c r="A11" s="484">
        <v>5077</v>
      </c>
      <c r="B11" s="476">
        <v>742000</v>
      </c>
      <c r="C11" s="18" t="s">
        <v>100</v>
      </c>
      <c r="D11" s="18"/>
      <c r="E11" s="20">
        <v>13807</v>
      </c>
      <c r="F11" s="19">
        <v>1000</v>
      </c>
      <c r="G11" s="19">
        <v>0</v>
      </c>
      <c r="H11" s="19">
        <v>0</v>
      </c>
      <c r="I11" s="19">
        <v>0</v>
      </c>
      <c r="J11" s="19">
        <v>12807</v>
      </c>
    </row>
    <row r="12" spans="1:17" ht="24" customHeight="1" x14ac:dyDescent="0.25">
      <c r="A12" s="22">
        <v>5078</v>
      </c>
      <c r="B12" s="23">
        <v>742100</v>
      </c>
      <c r="C12" s="9" t="s">
        <v>508</v>
      </c>
      <c r="D12" s="9"/>
      <c r="E12" s="38">
        <v>5107</v>
      </c>
      <c r="F12" s="37"/>
      <c r="G12" s="36"/>
      <c r="H12" s="36"/>
      <c r="I12" s="36"/>
      <c r="J12" s="36">
        <v>5107</v>
      </c>
    </row>
    <row r="13" spans="1:17" ht="24" customHeight="1" x14ac:dyDescent="0.25">
      <c r="A13" s="22">
        <v>5080</v>
      </c>
      <c r="B13" s="23">
        <v>742300</v>
      </c>
      <c r="C13" s="9" t="s">
        <v>103</v>
      </c>
      <c r="D13" s="9"/>
      <c r="E13" s="38">
        <v>8700</v>
      </c>
      <c r="F13" s="37">
        <v>1000</v>
      </c>
      <c r="G13" s="36"/>
      <c r="H13" s="36"/>
      <c r="I13" s="36"/>
      <c r="J13" s="36">
        <v>7700</v>
      </c>
    </row>
    <row r="14" spans="1:17" ht="24" customHeight="1" x14ac:dyDescent="0.25">
      <c r="A14" s="484">
        <v>5089</v>
      </c>
      <c r="B14" s="476">
        <v>744000</v>
      </c>
      <c r="C14" s="18" t="s">
        <v>112</v>
      </c>
      <c r="D14" s="18"/>
      <c r="E14" s="48">
        <v>100</v>
      </c>
      <c r="F14" s="19">
        <v>0</v>
      </c>
      <c r="G14" s="19">
        <v>0</v>
      </c>
      <c r="H14" s="19">
        <v>0</v>
      </c>
      <c r="I14" s="19">
        <v>0</v>
      </c>
      <c r="J14" s="19">
        <v>100</v>
      </c>
    </row>
    <row r="15" spans="1:17" ht="24" customHeight="1" x14ac:dyDescent="0.25">
      <c r="A15" s="22">
        <v>5090</v>
      </c>
      <c r="B15" s="23">
        <v>744100</v>
      </c>
      <c r="C15" s="9" t="s">
        <v>113</v>
      </c>
      <c r="D15" s="9"/>
      <c r="E15" s="38">
        <v>100</v>
      </c>
      <c r="F15" s="36"/>
      <c r="G15" s="36"/>
      <c r="H15" s="36"/>
      <c r="I15" s="36"/>
      <c r="J15" s="352">
        <v>100</v>
      </c>
    </row>
    <row r="16" spans="1:17" ht="24" customHeight="1" x14ac:dyDescent="0.25">
      <c r="A16" s="484">
        <v>5099</v>
      </c>
      <c r="B16" s="476">
        <v>780000</v>
      </c>
      <c r="C16" s="18" t="s">
        <v>122</v>
      </c>
      <c r="D16" s="18"/>
      <c r="E16" s="20">
        <v>1644248</v>
      </c>
      <c r="F16" s="19">
        <v>0</v>
      </c>
      <c r="G16" s="19">
        <v>0</v>
      </c>
      <c r="H16" s="19">
        <v>0</v>
      </c>
      <c r="I16" s="19">
        <v>1644248</v>
      </c>
      <c r="J16" s="19">
        <v>0</v>
      </c>
    </row>
    <row r="17" spans="1:10" ht="24" customHeight="1" x14ac:dyDescent="0.25">
      <c r="A17" s="484">
        <v>5100</v>
      </c>
      <c r="B17" s="476">
        <v>781000</v>
      </c>
      <c r="C17" s="18" t="s">
        <v>123</v>
      </c>
      <c r="D17" s="18"/>
      <c r="E17" s="20">
        <v>1644248</v>
      </c>
      <c r="F17" s="19">
        <v>0</v>
      </c>
      <c r="G17" s="19">
        <v>0</v>
      </c>
      <c r="H17" s="19">
        <v>0</v>
      </c>
      <c r="I17" s="19">
        <v>1644248</v>
      </c>
      <c r="J17" s="19">
        <v>0</v>
      </c>
    </row>
    <row r="18" spans="1:10" ht="24" customHeight="1" x14ac:dyDescent="0.25">
      <c r="A18" s="22">
        <v>5101</v>
      </c>
      <c r="B18" s="23">
        <v>781100</v>
      </c>
      <c r="C18" s="9" t="s">
        <v>124</v>
      </c>
      <c r="D18" s="9"/>
      <c r="E18" s="20">
        <v>1644248</v>
      </c>
      <c r="F18" s="37"/>
      <c r="G18" s="36"/>
      <c r="H18" s="36"/>
      <c r="I18" s="36">
        <v>1644248</v>
      </c>
      <c r="J18" s="36"/>
    </row>
    <row r="19" spans="1:10" ht="24" customHeight="1" x14ac:dyDescent="0.25">
      <c r="A19" s="484">
        <v>5103</v>
      </c>
      <c r="B19" s="476">
        <v>790000</v>
      </c>
      <c r="C19" s="18" t="s">
        <v>126</v>
      </c>
      <c r="D19" s="18"/>
      <c r="E19" s="20">
        <v>86581</v>
      </c>
      <c r="F19" s="19">
        <v>29200</v>
      </c>
      <c r="G19" s="19">
        <v>57381</v>
      </c>
      <c r="H19" s="19">
        <v>505</v>
      </c>
      <c r="I19" s="19">
        <v>0</v>
      </c>
      <c r="J19" s="19">
        <v>0</v>
      </c>
    </row>
    <row r="20" spans="1:10" ht="24" customHeight="1" x14ac:dyDescent="0.25">
      <c r="A20" s="484">
        <v>5104</v>
      </c>
      <c r="B20" s="476">
        <v>791000</v>
      </c>
      <c r="C20" s="18" t="s">
        <v>127</v>
      </c>
      <c r="D20" s="18"/>
      <c r="E20" s="20">
        <v>86581</v>
      </c>
      <c r="F20" s="19">
        <v>29200</v>
      </c>
      <c r="G20" s="19">
        <v>57381</v>
      </c>
      <c r="H20" s="19">
        <v>505</v>
      </c>
      <c r="I20" s="19">
        <v>0</v>
      </c>
      <c r="J20" s="19">
        <v>0</v>
      </c>
    </row>
    <row r="21" spans="1:10" ht="24" customHeight="1" x14ac:dyDescent="0.25">
      <c r="A21" s="22">
        <v>5105</v>
      </c>
      <c r="B21" s="23">
        <v>791100</v>
      </c>
      <c r="C21" s="9" t="s">
        <v>128</v>
      </c>
      <c r="D21" s="9"/>
      <c r="E21" s="38">
        <v>86581</v>
      </c>
      <c r="F21" s="389">
        <v>29200</v>
      </c>
      <c r="G21" s="36">
        <v>57381</v>
      </c>
      <c r="H21" s="36">
        <v>505</v>
      </c>
      <c r="I21" s="36"/>
      <c r="J21" s="36"/>
    </row>
    <row r="22" spans="1:10" ht="24" customHeight="1" x14ac:dyDescent="0.25">
      <c r="A22" s="484">
        <v>5106</v>
      </c>
      <c r="B22" s="476">
        <v>800000</v>
      </c>
      <c r="C22" s="18" t="s">
        <v>129</v>
      </c>
      <c r="D22" s="18"/>
      <c r="E22" s="20">
        <v>397</v>
      </c>
      <c r="F22" s="19">
        <v>0</v>
      </c>
      <c r="G22" s="19">
        <v>0</v>
      </c>
      <c r="H22" s="19">
        <v>0</v>
      </c>
      <c r="I22" s="19">
        <v>0</v>
      </c>
      <c r="J22" s="19">
        <v>397</v>
      </c>
    </row>
    <row r="23" spans="1:10" ht="24" customHeight="1" x14ac:dyDescent="0.25">
      <c r="A23" s="484">
        <v>5107</v>
      </c>
      <c r="B23" s="476">
        <v>810000</v>
      </c>
      <c r="C23" s="18" t="s">
        <v>130</v>
      </c>
      <c r="D23" s="18"/>
      <c r="E23" s="20">
        <v>397</v>
      </c>
      <c r="F23" s="19">
        <v>0</v>
      </c>
      <c r="G23" s="19">
        <v>0</v>
      </c>
      <c r="H23" s="19">
        <v>0</v>
      </c>
      <c r="I23" s="19">
        <v>0</v>
      </c>
      <c r="J23" s="19">
        <v>397</v>
      </c>
    </row>
    <row r="24" spans="1:10" ht="24" customHeight="1" x14ac:dyDescent="0.25">
      <c r="A24" s="484">
        <v>5110</v>
      </c>
      <c r="B24" s="476">
        <v>812000</v>
      </c>
      <c r="C24" s="18" t="s">
        <v>133</v>
      </c>
      <c r="D24" s="18"/>
      <c r="E24" s="20">
        <v>397</v>
      </c>
      <c r="F24" s="19">
        <v>0</v>
      </c>
      <c r="G24" s="19">
        <v>0</v>
      </c>
      <c r="H24" s="19">
        <v>0</v>
      </c>
      <c r="I24" s="19">
        <v>0</v>
      </c>
      <c r="J24" s="19">
        <v>397</v>
      </c>
    </row>
    <row r="25" spans="1:10" ht="24" customHeight="1" x14ac:dyDescent="0.25">
      <c r="A25" s="22">
        <v>5111</v>
      </c>
      <c r="B25" s="23">
        <v>812100</v>
      </c>
      <c r="C25" s="9" t="s">
        <v>134</v>
      </c>
      <c r="D25" s="9"/>
      <c r="E25" s="38">
        <v>397</v>
      </c>
      <c r="F25" s="37"/>
      <c r="G25" s="36"/>
      <c r="H25" s="36"/>
      <c r="I25" s="36"/>
      <c r="J25" s="36">
        <v>397</v>
      </c>
    </row>
    <row r="26" spans="1:10" ht="24" customHeight="1" thickBot="1" x14ac:dyDescent="0.3">
      <c r="A26" s="39">
        <v>5171</v>
      </c>
      <c r="B26" s="40"/>
      <c r="C26" s="41" t="s">
        <v>194</v>
      </c>
      <c r="D26" s="41"/>
      <c r="E26" s="42">
        <v>1745792</v>
      </c>
      <c r="F26" s="42">
        <v>30200</v>
      </c>
      <c r="G26" s="42">
        <v>57381</v>
      </c>
      <c r="H26" s="42">
        <v>505</v>
      </c>
      <c r="I26" s="42">
        <v>1644907</v>
      </c>
      <c r="J26" s="42">
        <v>13304</v>
      </c>
    </row>
    <row r="27" spans="1:10" ht="24.75" customHeight="1" x14ac:dyDescent="0.25"/>
    <row r="28" spans="1:10" x14ac:dyDescent="0.25">
      <c r="A28" s="13" t="s">
        <v>195</v>
      </c>
      <c r="B28" s="14"/>
      <c r="C28" s="14"/>
      <c r="D28" s="14"/>
      <c r="E28" s="14"/>
      <c r="F28" s="14"/>
      <c r="G28" s="14"/>
      <c r="H28" s="14"/>
      <c r="I28" s="14"/>
      <c r="J28" s="14"/>
    </row>
    <row r="29" spans="1:10" x14ac:dyDescent="0.25">
      <c r="A29" s="43"/>
      <c r="B29" s="14"/>
      <c r="C29" s="14"/>
      <c r="D29" s="14"/>
      <c r="E29" s="14"/>
      <c r="F29" s="14"/>
      <c r="G29" s="14"/>
      <c r="H29" s="14"/>
      <c r="I29" s="14"/>
      <c r="J29" s="14"/>
    </row>
    <row r="30" spans="1:10" ht="51.75" customHeight="1" x14ac:dyDescent="0.25">
      <c r="A30" s="544" t="s">
        <v>0</v>
      </c>
      <c r="B30" s="544" t="s">
        <v>1</v>
      </c>
      <c r="C30" s="544" t="s">
        <v>2</v>
      </c>
      <c r="D30" s="544"/>
      <c r="E30" s="534" t="s">
        <v>512</v>
      </c>
      <c r="F30" s="535"/>
      <c r="G30" s="535"/>
      <c r="H30" s="535"/>
      <c r="I30" s="535"/>
      <c r="J30" s="535"/>
    </row>
    <row r="31" spans="1:10" ht="51.75" customHeight="1" x14ac:dyDescent="0.25">
      <c r="A31" s="545"/>
      <c r="B31" s="545"/>
      <c r="C31" s="545"/>
      <c r="D31" s="544"/>
      <c r="E31" s="544" t="s">
        <v>511</v>
      </c>
      <c r="F31" s="534" t="s">
        <v>200</v>
      </c>
      <c r="G31" s="535"/>
      <c r="H31" s="535"/>
      <c r="I31" s="536"/>
      <c r="J31" s="544" t="s">
        <v>8</v>
      </c>
    </row>
    <row r="32" spans="1:10" ht="39" x14ac:dyDescent="0.25">
      <c r="A32" s="545"/>
      <c r="B32" s="545"/>
      <c r="C32" s="545"/>
      <c r="D32" s="544"/>
      <c r="E32" s="545"/>
      <c r="F32" s="476" t="s">
        <v>201</v>
      </c>
      <c r="G32" s="476" t="s">
        <v>11</v>
      </c>
      <c r="H32" s="476" t="s">
        <v>11</v>
      </c>
      <c r="I32" s="476" t="s">
        <v>12</v>
      </c>
      <c r="J32" s="545"/>
    </row>
    <row r="33" spans="1:10" ht="20.25" customHeight="1" x14ac:dyDescent="0.25">
      <c r="A33" s="480">
        <v>5172</v>
      </c>
      <c r="B33" s="476"/>
      <c r="C33" s="18" t="s">
        <v>202</v>
      </c>
      <c r="D33" s="18"/>
      <c r="E33" s="19">
        <v>1745792</v>
      </c>
      <c r="F33" s="19">
        <v>30200</v>
      </c>
      <c r="G33" s="19">
        <v>57381</v>
      </c>
      <c r="H33" s="19">
        <v>1273</v>
      </c>
      <c r="I33" s="19">
        <v>1644907</v>
      </c>
      <c r="J33" s="19">
        <v>13304</v>
      </c>
    </row>
    <row r="34" spans="1:10" ht="20.25" customHeight="1" x14ac:dyDescent="0.25">
      <c r="A34" s="480">
        <v>5173</v>
      </c>
      <c r="B34" s="476">
        <v>400000</v>
      </c>
      <c r="C34" s="18" t="s">
        <v>203</v>
      </c>
      <c r="D34" s="18"/>
      <c r="E34" s="19">
        <v>1657510</v>
      </c>
      <c r="F34" s="19">
        <v>1000</v>
      </c>
      <c r="G34" s="19">
        <v>0</v>
      </c>
      <c r="H34" s="19">
        <v>1273</v>
      </c>
      <c r="I34" s="19">
        <v>1644907</v>
      </c>
      <c r="J34" s="19">
        <v>11603</v>
      </c>
    </row>
    <row r="35" spans="1:10" ht="20.25" customHeight="1" x14ac:dyDescent="0.25">
      <c r="A35" s="480">
        <v>5174</v>
      </c>
      <c r="B35" s="476">
        <v>410000</v>
      </c>
      <c r="C35" s="18" t="s">
        <v>204</v>
      </c>
      <c r="D35" s="18"/>
      <c r="E35" s="19">
        <v>1219790</v>
      </c>
      <c r="F35" s="19">
        <v>0</v>
      </c>
      <c r="G35" s="19">
        <v>0</v>
      </c>
      <c r="H35" s="19">
        <v>0</v>
      </c>
      <c r="I35" s="19">
        <v>1216140</v>
      </c>
      <c r="J35" s="19">
        <v>3650</v>
      </c>
    </row>
    <row r="36" spans="1:10" ht="20.25" customHeight="1" x14ac:dyDescent="0.25">
      <c r="A36" s="480">
        <v>5175</v>
      </c>
      <c r="B36" s="476">
        <v>411000</v>
      </c>
      <c r="C36" s="18" t="s">
        <v>205</v>
      </c>
      <c r="D36" s="18"/>
      <c r="E36" s="19">
        <v>1010985</v>
      </c>
      <c r="F36" s="19">
        <v>0</v>
      </c>
      <c r="G36" s="19">
        <v>0</v>
      </c>
      <c r="H36" s="19">
        <v>0</v>
      </c>
      <c r="I36" s="19">
        <v>1008061</v>
      </c>
      <c r="J36" s="19">
        <v>2924</v>
      </c>
    </row>
    <row r="37" spans="1:10" ht="20.25" customHeight="1" x14ac:dyDescent="0.25">
      <c r="A37" s="45">
        <v>5176</v>
      </c>
      <c r="B37" s="23">
        <v>411100</v>
      </c>
      <c r="C37" s="9" t="s">
        <v>206</v>
      </c>
      <c r="D37" s="9"/>
      <c r="E37" s="36">
        <v>1010985</v>
      </c>
      <c r="F37" s="37"/>
      <c r="G37" s="36"/>
      <c r="H37" s="36"/>
      <c r="I37" s="36">
        <v>1008061</v>
      </c>
      <c r="J37" s="36">
        <v>2924</v>
      </c>
    </row>
    <row r="38" spans="1:10" ht="20.25" customHeight="1" x14ac:dyDescent="0.25">
      <c r="A38" s="480">
        <v>5177</v>
      </c>
      <c r="B38" s="476">
        <v>412000</v>
      </c>
      <c r="C38" s="18" t="s">
        <v>207</v>
      </c>
      <c r="D38" s="18"/>
      <c r="E38" s="19">
        <v>153194</v>
      </c>
      <c r="F38" s="19">
        <v>0</v>
      </c>
      <c r="G38" s="19">
        <v>0</v>
      </c>
      <c r="H38" s="19">
        <v>0</v>
      </c>
      <c r="I38" s="19">
        <v>152721</v>
      </c>
      <c r="J38" s="19">
        <v>473</v>
      </c>
    </row>
    <row r="39" spans="1:10" ht="20.25" customHeight="1" x14ac:dyDescent="0.25">
      <c r="A39" s="45">
        <v>5178</v>
      </c>
      <c r="B39" s="23">
        <v>412100</v>
      </c>
      <c r="C39" s="9" t="s">
        <v>208</v>
      </c>
      <c r="D39" s="9"/>
      <c r="E39" s="36">
        <v>101128</v>
      </c>
      <c r="F39" s="37"/>
      <c r="G39" s="36"/>
      <c r="H39" s="36"/>
      <c r="I39" s="36">
        <v>100806</v>
      </c>
      <c r="J39" s="36">
        <v>322</v>
      </c>
    </row>
    <row r="40" spans="1:10" ht="20.25" customHeight="1" x14ac:dyDescent="0.25">
      <c r="A40" s="45">
        <v>5179</v>
      </c>
      <c r="B40" s="23">
        <v>412200</v>
      </c>
      <c r="C40" s="9" t="s">
        <v>209</v>
      </c>
      <c r="D40" s="9"/>
      <c r="E40" s="36">
        <v>52066</v>
      </c>
      <c r="F40" s="37"/>
      <c r="G40" s="36"/>
      <c r="H40" s="36"/>
      <c r="I40" s="36">
        <v>51915</v>
      </c>
      <c r="J40" s="36">
        <v>151</v>
      </c>
    </row>
    <row r="41" spans="1:10" ht="20.25" customHeight="1" x14ac:dyDescent="0.25">
      <c r="A41" s="480">
        <v>5183</v>
      </c>
      <c r="B41" s="476">
        <v>414000</v>
      </c>
      <c r="C41" s="18" t="s">
        <v>213</v>
      </c>
      <c r="D41" s="18"/>
      <c r="E41" s="19">
        <v>12916</v>
      </c>
      <c r="F41" s="19">
        <v>0</v>
      </c>
      <c r="G41" s="19">
        <v>0</v>
      </c>
      <c r="H41" s="19">
        <v>0</v>
      </c>
      <c r="I41" s="19">
        <v>12663</v>
      </c>
      <c r="J41" s="19">
        <v>253</v>
      </c>
    </row>
    <row r="42" spans="1:10" ht="20.25" customHeight="1" x14ac:dyDescent="0.25">
      <c r="A42" s="45">
        <v>5186</v>
      </c>
      <c r="B42" s="23">
        <v>414300</v>
      </c>
      <c r="C42" s="9" t="s">
        <v>216</v>
      </c>
      <c r="D42" s="9"/>
      <c r="E42" s="36">
        <v>11247</v>
      </c>
      <c r="F42" s="37"/>
      <c r="G42" s="36"/>
      <c r="H42" s="36"/>
      <c r="I42" s="36">
        <v>10999</v>
      </c>
      <c r="J42" s="36">
        <v>248</v>
      </c>
    </row>
    <row r="43" spans="1:10" ht="20.25" customHeight="1" x14ac:dyDescent="0.25">
      <c r="A43" s="45">
        <v>5187</v>
      </c>
      <c r="B43" s="23">
        <v>414400</v>
      </c>
      <c r="C43" s="9" t="s">
        <v>218</v>
      </c>
      <c r="D43" s="9"/>
      <c r="E43" s="36">
        <v>1669</v>
      </c>
      <c r="F43" s="37"/>
      <c r="G43" s="36"/>
      <c r="H43" s="36"/>
      <c r="I43" s="36">
        <v>1664</v>
      </c>
      <c r="J43" s="36">
        <v>5</v>
      </c>
    </row>
    <row r="44" spans="1:10" ht="20.25" customHeight="1" x14ac:dyDescent="0.25">
      <c r="A44" s="480">
        <v>5188</v>
      </c>
      <c r="B44" s="476">
        <v>415000</v>
      </c>
      <c r="C44" s="18" t="s">
        <v>219</v>
      </c>
      <c r="D44" s="18"/>
      <c r="E44" s="19">
        <v>28788</v>
      </c>
      <c r="F44" s="19">
        <v>0</v>
      </c>
      <c r="G44" s="19">
        <v>0</v>
      </c>
      <c r="H44" s="19">
        <v>0</v>
      </c>
      <c r="I44" s="19">
        <v>28788</v>
      </c>
      <c r="J44" s="19">
        <v>0</v>
      </c>
    </row>
    <row r="45" spans="1:10" ht="20.25" customHeight="1" x14ac:dyDescent="0.25">
      <c r="A45" s="45">
        <v>5189</v>
      </c>
      <c r="B45" s="23">
        <v>415100</v>
      </c>
      <c r="C45" s="9" t="s">
        <v>220</v>
      </c>
      <c r="D45" s="9"/>
      <c r="E45" s="36">
        <v>28788</v>
      </c>
      <c r="F45" s="37"/>
      <c r="G45" s="36"/>
      <c r="H45" s="36"/>
      <c r="I45" s="36">
        <v>28788</v>
      </c>
      <c r="J45" s="36"/>
    </row>
    <row r="46" spans="1:10" ht="20.25" customHeight="1" x14ac:dyDescent="0.25">
      <c r="A46" s="480">
        <v>5190</v>
      </c>
      <c r="B46" s="476">
        <v>416000</v>
      </c>
      <c r="C46" s="18" t="s">
        <v>221</v>
      </c>
      <c r="D46" s="18"/>
      <c r="E46" s="19">
        <v>13907</v>
      </c>
      <c r="F46" s="19">
        <v>0</v>
      </c>
      <c r="G46" s="19">
        <v>0</v>
      </c>
      <c r="H46" s="19">
        <v>0</v>
      </c>
      <c r="I46" s="19">
        <v>13907</v>
      </c>
      <c r="J46" s="19">
        <v>0</v>
      </c>
    </row>
    <row r="47" spans="1:10" ht="20.25" customHeight="1" x14ac:dyDescent="0.25">
      <c r="A47" s="45">
        <v>5191</v>
      </c>
      <c r="B47" s="23">
        <v>416100</v>
      </c>
      <c r="C47" s="9" t="s">
        <v>222</v>
      </c>
      <c r="D47" s="9"/>
      <c r="E47" s="36">
        <v>13907</v>
      </c>
      <c r="F47" s="37"/>
      <c r="G47" s="36"/>
      <c r="H47" s="36"/>
      <c r="I47" s="36">
        <v>13907</v>
      </c>
      <c r="J47" s="36"/>
    </row>
    <row r="48" spans="1:10" ht="20.25" customHeight="1" x14ac:dyDescent="0.25">
      <c r="A48" s="480">
        <v>5196</v>
      </c>
      <c r="B48" s="476">
        <v>420000</v>
      </c>
      <c r="C48" s="18" t="s">
        <v>227</v>
      </c>
      <c r="D48" s="18"/>
      <c r="E48" s="19">
        <v>427046</v>
      </c>
      <c r="F48" s="19">
        <v>1000</v>
      </c>
      <c r="G48" s="19">
        <v>0</v>
      </c>
      <c r="H48" s="19">
        <v>1273</v>
      </c>
      <c r="I48" s="19">
        <v>418593</v>
      </c>
      <c r="J48" s="19">
        <v>7453</v>
      </c>
    </row>
    <row r="49" spans="1:10" ht="20.25" customHeight="1" x14ac:dyDescent="0.25">
      <c r="A49" s="480">
        <v>5197</v>
      </c>
      <c r="B49" s="476">
        <v>421000</v>
      </c>
      <c r="C49" s="18" t="s">
        <v>228</v>
      </c>
      <c r="D49" s="18"/>
      <c r="E49" s="19">
        <v>101231</v>
      </c>
      <c r="F49" s="19">
        <v>0</v>
      </c>
      <c r="G49" s="19">
        <v>0</v>
      </c>
      <c r="H49" s="19">
        <v>0</v>
      </c>
      <c r="I49" s="19">
        <v>99888</v>
      </c>
      <c r="J49" s="19">
        <v>1343</v>
      </c>
    </row>
    <row r="50" spans="1:10" ht="20.25" customHeight="1" x14ac:dyDescent="0.25">
      <c r="A50" s="45">
        <v>5198</v>
      </c>
      <c r="B50" s="23">
        <v>421100</v>
      </c>
      <c r="C50" s="9" t="s">
        <v>229</v>
      </c>
      <c r="D50" s="9" t="s">
        <v>463</v>
      </c>
      <c r="E50" s="36">
        <v>1145</v>
      </c>
      <c r="F50" s="37"/>
      <c r="G50" s="36"/>
      <c r="H50" s="36"/>
      <c r="I50" s="36">
        <v>1065</v>
      </c>
      <c r="J50" s="36">
        <v>80</v>
      </c>
    </row>
    <row r="51" spans="1:10" ht="20.25" customHeight="1" x14ac:dyDescent="0.25">
      <c r="A51" s="45">
        <v>5199</v>
      </c>
      <c r="B51" s="23">
        <v>421200</v>
      </c>
      <c r="C51" s="9" t="s">
        <v>230</v>
      </c>
      <c r="D51" s="9" t="s">
        <v>468</v>
      </c>
      <c r="E51" s="36">
        <v>81499</v>
      </c>
      <c r="F51" s="37"/>
      <c r="G51" s="36"/>
      <c r="H51" s="36"/>
      <c r="I51" s="36">
        <v>81049</v>
      </c>
      <c r="J51" s="36">
        <v>450</v>
      </c>
    </row>
    <row r="52" spans="1:10" ht="20.25" customHeight="1" x14ac:dyDescent="0.25">
      <c r="A52" s="45">
        <v>5200</v>
      </c>
      <c r="B52" s="23">
        <v>421300</v>
      </c>
      <c r="C52" s="9" t="s">
        <v>231</v>
      </c>
      <c r="D52" s="9" t="s">
        <v>463</v>
      </c>
      <c r="E52" s="36">
        <v>12881</v>
      </c>
      <c r="F52" s="37"/>
      <c r="G52" s="36"/>
      <c r="H52" s="36"/>
      <c r="I52" s="36">
        <v>12281</v>
      </c>
      <c r="J52" s="36">
        <v>600</v>
      </c>
    </row>
    <row r="53" spans="1:10" ht="20.25" customHeight="1" x14ac:dyDescent="0.25">
      <c r="A53" s="45">
        <v>5201</v>
      </c>
      <c r="B53" s="23">
        <v>421400</v>
      </c>
      <c r="C53" s="9" t="s">
        <v>232</v>
      </c>
      <c r="D53" s="9" t="s">
        <v>463</v>
      </c>
      <c r="E53" s="36">
        <v>2564</v>
      </c>
      <c r="F53" s="37"/>
      <c r="G53" s="36"/>
      <c r="H53" s="36"/>
      <c r="I53" s="36">
        <v>2564</v>
      </c>
      <c r="J53" s="36"/>
    </row>
    <row r="54" spans="1:10" ht="20.25" customHeight="1" x14ac:dyDescent="0.25">
      <c r="A54" s="45">
        <v>5202</v>
      </c>
      <c r="B54" s="23">
        <v>421500</v>
      </c>
      <c r="C54" s="9" t="s">
        <v>233</v>
      </c>
      <c r="D54" s="9" t="s">
        <v>463</v>
      </c>
      <c r="E54" s="36">
        <v>3142</v>
      </c>
      <c r="F54" s="37"/>
      <c r="G54" s="36"/>
      <c r="H54" s="36"/>
      <c r="I54" s="36">
        <v>2929</v>
      </c>
      <c r="J54" s="36">
        <v>213</v>
      </c>
    </row>
    <row r="55" spans="1:10" ht="20.25" customHeight="1" x14ac:dyDescent="0.25">
      <c r="A55" s="480">
        <v>5205</v>
      </c>
      <c r="B55" s="476">
        <v>422000</v>
      </c>
      <c r="C55" s="18" t="s">
        <v>236</v>
      </c>
      <c r="D55" s="18"/>
      <c r="E55" s="19">
        <v>554</v>
      </c>
      <c r="F55" s="19">
        <v>0</v>
      </c>
      <c r="G55" s="19">
        <v>0</v>
      </c>
      <c r="H55" s="19">
        <v>0</v>
      </c>
      <c r="I55" s="19">
        <v>114</v>
      </c>
      <c r="J55" s="19">
        <v>440</v>
      </c>
    </row>
    <row r="56" spans="1:10" ht="20.25" customHeight="1" x14ac:dyDescent="0.25">
      <c r="A56" s="45">
        <v>5206</v>
      </c>
      <c r="B56" s="23">
        <v>422100</v>
      </c>
      <c r="C56" s="9" t="s">
        <v>237</v>
      </c>
      <c r="D56" s="9" t="s">
        <v>463</v>
      </c>
      <c r="E56" s="36">
        <v>554</v>
      </c>
      <c r="F56" s="37"/>
      <c r="G56" s="36"/>
      <c r="H56" s="36"/>
      <c r="I56" s="36">
        <v>114</v>
      </c>
      <c r="J56" s="36">
        <v>440</v>
      </c>
    </row>
    <row r="57" spans="1:10" ht="20.25" customHeight="1" x14ac:dyDescent="0.25">
      <c r="A57" s="480">
        <v>5211</v>
      </c>
      <c r="B57" s="476">
        <v>423000</v>
      </c>
      <c r="C57" s="18" t="s">
        <v>242</v>
      </c>
      <c r="D57" s="18"/>
      <c r="E57" s="19">
        <v>13248</v>
      </c>
      <c r="F57" s="19">
        <v>0</v>
      </c>
      <c r="G57" s="19">
        <v>0</v>
      </c>
      <c r="H57" s="19">
        <v>0</v>
      </c>
      <c r="I57" s="19">
        <v>10847</v>
      </c>
      <c r="J57" s="19">
        <v>2401</v>
      </c>
    </row>
    <row r="58" spans="1:10" ht="20.25" customHeight="1" x14ac:dyDescent="0.25">
      <c r="A58" s="45">
        <v>5213</v>
      </c>
      <c r="B58" s="23">
        <v>423200</v>
      </c>
      <c r="C58" s="9" t="s">
        <v>244</v>
      </c>
      <c r="D58" s="9" t="s">
        <v>463</v>
      </c>
      <c r="E58" s="36">
        <v>4051</v>
      </c>
      <c r="F58" s="37"/>
      <c r="G58" s="36"/>
      <c r="H58" s="36"/>
      <c r="I58" s="36">
        <v>4051</v>
      </c>
      <c r="J58" s="36"/>
    </row>
    <row r="59" spans="1:10" ht="20.25" customHeight="1" x14ac:dyDescent="0.25">
      <c r="A59" s="45">
        <v>5214</v>
      </c>
      <c r="B59" s="23">
        <v>423300</v>
      </c>
      <c r="C59" s="9" t="s">
        <v>245</v>
      </c>
      <c r="D59" s="9" t="s">
        <v>463</v>
      </c>
      <c r="E59" s="36">
        <v>6875</v>
      </c>
      <c r="F59" s="37"/>
      <c r="G59" s="36"/>
      <c r="H59" s="36"/>
      <c r="I59" s="36">
        <v>6507</v>
      </c>
      <c r="J59" s="36">
        <v>368</v>
      </c>
    </row>
    <row r="60" spans="1:10" ht="20.25" customHeight="1" x14ac:dyDescent="0.25">
      <c r="A60" s="45">
        <v>5215</v>
      </c>
      <c r="B60" s="23">
        <v>423400</v>
      </c>
      <c r="C60" s="9" t="s">
        <v>246</v>
      </c>
      <c r="D60" s="9" t="s">
        <v>463</v>
      </c>
      <c r="E60" s="36">
        <v>289</v>
      </c>
      <c r="F60" s="37"/>
      <c r="G60" s="36"/>
      <c r="H60" s="36"/>
      <c r="I60" s="36">
        <v>289</v>
      </c>
      <c r="J60" s="36"/>
    </row>
    <row r="61" spans="1:10" ht="20.25" customHeight="1" x14ac:dyDescent="0.25">
      <c r="A61" s="45">
        <v>5216</v>
      </c>
      <c r="B61" s="23">
        <v>423500</v>
      </c>
      <c r="C61" s="9" t="s">
        <v>247</v>
      </c>
      <c r="D61" s="9" t="s">
        <v>463</v>
      </c>
      <c r="E61" s="36">
        <v>1542</v>
      </c>
      <c r="F61" s="37"/>
      <c r="G61" s="36"/>
      <c r="H61" s="36"/>
      <c r="I61" s="36"/>
      <c r="J61" s="36">
        <v>1542</v>
      </c>
    </row>
    <row r="62" spans="1:10" ht="20.25" customHeight="1" x14ac:dyDescent="0.25">
      <c r="A62" s="45">
        <v>5218</v>
      </c>
      <c r="B62" s="23">
        <v>423700</v>
      </c>
      <c r="C62" s="9" t="s">
        <v>249</v>
      </c>
      <c r="D62" s="9" t="s">
        <v>463</v>
      </c>
      <c r="E62" s="36">
        <v>118</v>
      </c>
      <c r="F62" s="37"/>
      <c r="G62" s="36"/>
      <c r="H62" s="36"/>
      <c r="I62" s="36"/>
      <c r="J62" s="36">
        <v>118</v>
      </c>
    </row>
    <row r="63" spans="1:10" ht="20.25" customHeight="1" x14ac:dyDescent="0.25">
      <c r="A63" s="45">
        <v>5219</v>
      </c>
      <c r="B63" s="23">
        <v>423900</v>
      </c>
      <c r="C63" s="9" t="s">
        <v>250</v>
      </c>
      <c r="D63" s="9" t="s">
        <v>463</v>
      </c>
      <c r="E63" s="36">
        <v>373</v>
      </c>
      <c r="F63" s="37"/>
      <c r="G63" s="36"/>
      <c r="H63" s="36"/>
      <c r="I63" s="36"/>
      <c r="J63" s="36">
        <v>373</v>
      </c>
    </row>
    <row r="64" spans="1:10" ht="20.25" customHeight="1" x14ac:dyDescent="0.25">
      <c r="A64" s="480">
        <v>5220</v>
      </c>
      <c r="B64" s="476">
        <v>424000</v>
      </c>
      <c r="C64" s="18" t="s">
        <v>251</v>
      </c>
      <c r="D64" s="18"/>
      <c r="E64" s="19">
        <v>2472</v>
      </c>
      <c r="F64" s="19">
        <v>0</v>
      </c>
      <c r="G64" s="19">
        <v>0</v>
      </c>
      <c r="H64" s="19">
        <v>0</v>
      </c>
      <c r="I64" s="19">
        <v>1477</v>
      </c>
      <c r="J64" s="19">
        <v>995</v>
      </c>
    </row>
    <row r="65" spans="1:10" ht="20.25" customHeight="1" x14ac:dyDescent="0.25">
      <c r="A65" s="45">
        <v>5223</v>
      </c>
      <c r="B65" s="23">
        <v>424300</v>
      </c>
      <c r="C65" s="9" t="s">
        <v>254</v>
      </c>
      <c r="D65" s="9" t="s">
        <v>463</v>
      </c>
      <c r="E65" s="36">
        <v>1211</v>
      </c>
      <c r="F65" s="37"/>
      <c r="G65" s="36"/>
      <c r="H65" s="36"/>
      <c r="I65" s="36">
        <v>1211</v>
      </c>
      <c r="J65" s="36"/>
    </row>
    <row r="66" spans="1:10" ht="20.25" customHeight="1" x14ac:dyDescent="0.25">
      <c r="A66" s="45">
        <v>5226</v>
      </c>
      <c r="B66" s="23">
        <v>424600</v>
      </c>
      <c r="C66" s="9" t="s">
        <v>257</v>
      </c>
      <c r="D66" s="9" t="s">
        <v>463</v>
      </c>
      <c r="E66" s="36">
        <v>140</v>
      </c>
      <c r="F66" s="37"/>
      <c r="G66" s="36"/>
      <c r="H66" s="36"/>
      <c r="I66" s="36">
        <v>26</v>
      </c>
      <c r="J66" s="36">
        <v>114</v>
      </c>
    </row>
    <row r="67" spans="1:10" ht="20.25" customHeight="1" x14ac:dyDescent="0.25">
      <c r="A67" s="45">
        <v>5227</v>
      </c>
      <c r="B67" s="23">
        <v>424900</v>
      </c>
      <c r="C67" s="9" t="s">
        <v>258</v>
      </c>
      <c r="D67" s="9" t="s">
        <v>463</v>
      </c>
      <c r="E67" s="36">
        <v>1121</v>
      </c>
      <c r="F67" s="37">
        <v>0</v>
      </c>
      <c r="G67" s="36"/>
      <c r="H67" s="36"/>
      <c r="I67" s="36">
        <v>240</v>
      </c>
      <c r="J67" s="36">
        <v>881</v>
      </c>
    </row>
    <row r="68" spans="1:10" ht="20.25" customHeight="1" x14ac:dyDescent="0.25">
      <c r="A68" s="480">
        <v>5228</v>
      </c>
      <c r="B68" s="476">
        <v>425000</v>
      </c>
      <c r="C68" s="18" t="s">
        <v>259</v>
      </c>
      <c r="D68" s="9"/>
      <c r="E68" s="19">
        <v>22623</v>
      </c>
      <c r="F68" s="19">
        <v>0</v>
      </c>
      <c r="G68" s="19">
        <v>0</v>
      </c>
      <c r="H68" s="19">
        <v>0</v>
      </c>
      <c r="I68" s="19">
        <v>22586</v>
      </c>
      <c r="J68" s="19">
        <v>37</v>
      </c>
    </row>
    <row r="69" spans="1:10" ht="20.25" customHeight="1" x14ac:dyDescent="0.25">
      <c r="A69" s="45">
        <v>5229</v>
      </c>
      <c r="B69" s="23">
        <v>425100</v>
      </c>
      <c r="C69" s="9" t="s">
        <v>260</v>
      </c>
      <c r="D69" s="9" t="s">
        <v>463</v>
      </c>
      <c r="E69" s="36">
        <v>4971</v>
      </c>
      <c r="F69" s="37"/>
      <c r="G69" s="36"/>
      <c r="H69" s="36"/>
      <c r="I69" s="36">
        <v>4971</v>
      </c>
      <c r="J69" s="36"/>
    </row>
    <row r="70" spans="1:10" ht="20.25" customHeight="1" x14ac:dyDescent="0.25">
      <c r="A70" s="45">
        <v>5230</v>
      </c>
      <c r="B70" s="23">
        <v>425200</v>
      </c>
      <c r="C70" s="9" t="s">
        <v>261</v>
      </c>
      <c r="D70" s="9" t="s">
        <v>463</v>
      </c>
      <c r="E70" s="36">
        <v>17652</v>
      </c>
      <c r="F70" s="37"/>
      <c r="G70" s="36"/>
      <c r="H70" s="36"/>
      <c r="I70" s="36">
        <v>17615</v>
      </c>
      <c r="J70" s="36">
        <v>37</v>
      </c>
    </row>
    <row r="71" spans="1:10" ht="20.25" customHeight="1" x14ac:dyDescent="0.25">
      <c r="A71" s="480">
        <v>5231</v>
      </c>
      <c r="B71" s="476">
        <v>426000</v>
      </c>
      <c r="C71" s="18" t="s">
        <v>262</v>
      </c>
      <c r="D71" s="18"/>
      <c r="E71" s="19">
        <v>286918</v>
      </c>
      <c r="F71" s="19">
        <v>1000</v>
      </c>
      <c r="G71" s="19">
        <v>0</v>
      </c>
      <c r="H71" s="19">
        <v>1273</v>
      </c>
      <c r="I71" s="19">
        <v>283681</v>
      </c>
      <c r="J71" s="19">
        <v>2237</v>
      </c>
    </row>
    <row r="72" spans="1:10" ht="20.25" customHeight="1" x14ac:dyDescent="0.25">
      <c r="A72" s="45">
        <v>5232</v>
      </c>
      <c r="B72" s="23">
        <v>426100</v>
      </c>
      <c r="C72" s="9" t="s">
        <v>263</v>
      </c>
      <c r="D72" s="9" t="s">
        <v>463</v>
      </c>
      <c r="E72" s="36">
        <v>4704</v>
      </c>
      <c r="F72" s="37"/>
      <c r="G72" s="36"/>
      <c r="H72" s="36"/>
      <c r="I72" s="36">
        <v>4385</v>
      </c>
      <c r="J72" s="36">
        <v>319</v>
      </c>
    </row>
    <row r="73" spans="1:10" ht="20.25" customHeight="1" x14ac:dyDescent="0.25">
      <c r="A73" s="45">
        <v>5234</v>
      </c>
      <c r="B73" s="23">
        <v>426300</v>
      </c>
      <c r="C73" s="9" t="s">
        <v>265</v>
      </c>
      <c r="D73" s="9" t="s">
        <v>463</v>
      </c>
      <c r="E73" s="36">
        <v>132</v>
      </c>
      <c r="F73" s="37"/>
      <c r="G73" s="36"/>
      <c r="H73" s="36"/>
      <c r="I73" s="36"/>
      <c r="J73" s="36">
        <v>132</v>
      </c>
    </row>
    <row r="74" spans="1:10" ht="20.25" customHeight="1" x14ac:dyDescent="0.25">
      <c r="A74" s="45">
        <v>5235</v>
      </c>
      <c r="B74" s="23">
        <v>426400</v>
      </c>
      <c r="C74" s="9" t="s">
        <v>266</v>
      </c>
      <c r="D74" s="9" t="s">
        <v>468</v>
      </c>
      <c r="E74" s="36">
        <v>2040</v>
      </c>
      <c r="F74" s="37"/>
      <c r="G74" s="38"/>
      <c r="H74" s="38"/>
      <c r="I74" s="38">
        <v>2040</v>
      </c>
      <c r="J74" s="38"/>
    </row>
    <row r="75" spans="1:10" ht="20.25" customHeight="1" x14ac:dyDescent="0.25">
      <c r="A75" s="45">
        <v>5238</v>
      </c>
      <c r="B75" s="23">
        <v>426700</v>
      </c>
      <c r="C75" s="9" t="s">
        <v>269</v>
      </c>
      <c r="D75" s="9"/>
      <c r="E75" s="48">
        <v>250150</v>
      </c>
      <c r="F75" s="37"/>
      <c r="G75" s="36"/>
      <c r="H75" s="36"/>
      <c r="I75" s="48">
        <v>248890</v>
      </c>
      <c r="J75" s="48">
        <v>1260</v>
      </c>
    </row>
    <row r="76" spans="1:10" ht="20.25" customHeight="1" x14ac:dyDescent="0.25">
      <c r="A76" s="45"/>
      <c r="B76" s="49" t="s">
        <v>470</v>
      </c>
      <c r="C76" s="50" t="s">
        <v>476</v>
      </c>
      <c r="D76" s="9"/>
      <c r="E76" s="48">
        <v>122162</v>
      </c>
      <c r="F76" s="37"/>
      <c r="G76" s="36"/>
      <c r="H76" s="36"/>
      <c r="I76" s="48">
        <v>122162</v>
      </c>
      <c r="J76" s="36"/>
    </row>
    <row r="77" spans="1:10" ht="20.25" customHeight="1" x14ac:dyDescent="0.25">
      <c r="A77" s="45"/>
      <c r="B77" s="51" t="s">
        <v>477</v>
      </c>
      <c r="C77" s="9" t="s">
        <v>481</v>
      </c>
      <c r="D77" s="9"/>
      <c r="E77" s="36">
        <v>67328</v>
      </c>
      <c r="F77" s="37"/>
      <c r="G77" s="36"/>
      <c r="H77" s="36"/>
      <c r="I77" s="38">
        <v>67328</v>
      </c>
      <c r="J77" s="36"/>
    </row>
    <row r="78" spans="1:10" ht="20.25" customHeight="1" x14ac:dyDescent="0.25">
      <c r="A78" s="45"/>
      <c r="B78" s="51" t="s">
        <v>478</v>
      </c>
      <c r="C78" s="9" t="s">
        <v>482</v>
      </c>
      <c r="D78" s="9"/>
      <c r="E78" s="36">
        <v>16828</v>
      </c>
      <c r="F78" s="37"/>
      <c r="G78" s="36"/>
      <c r="H78" s="36"/>
      <c r="I78" s="38">
        <v>16828</v>
      </c>
      <c r="J78" s="36"/>
    </row>
    <row r="79" spans="1:10" ht="20.25" customHeight="1" x14ac:dyDescent="0.25">
      <c r="A79" s="45"/>
      <c r="B79" s="51" t="s">
        <v>479</v>
      </c>
      <c r="C79" s="9" t="s">
        <v>483</v>
      </c>
      <c r="D79" s="9"/>
      <c r="E79" s="36">
        <v>23466</v>
      </c>
      <c r="F79" s="37"/>
      <c r="G79" s="36"/>
      <c r="H79" s="36"/>
      <c r="I79" s="38">
        <v>23466</v>
      </c>
      <c r="J79" s="36"/>
    </row>
    <row r="80" spans="1:10" ht="20.25" customHeight="1" x14ac:dyDescent="0.25">
      <c r="A80" s="45"/>
      <c r="B80" s="51" t="s">
        <v>480</v>
      </c>
      <c r="C80" s="9" t="s">
        <v>484</v>
      </c>
      <c r="D80" s="9"/>
      <c r="E80" s="36">
        <v>14540</v>
      </c>
      <c r="F80" s="37"/>
      <c r="G80" s="36"/>
      <c r="H80" s="36"/>
      <c r="I80" s="38">
        <v>14540</v>
      </c>
      <c r="J80" s="36"/>
    </row>
    <row r="81" spans="1:10" ht="20.25" customHeight="1" x14ac:dyDescent="0.25">
      <c r="A81" s="52"/>
      <c r="B81" s="53" t="s">
        <v>471</v>
      </c>
      <c r="C81" s="50" t="s">
        <v>485</v>
      </c>
      <c r="D81" s="50"/>
      <c r="E81" s="48">
        <v>2685</v>
      </c>
      <c r="F81" s="54"/>
      <c r="G81" s="48"/>
      <c r="H81" s="48"/>
      <c r="I81" s="48">
        <v>2685</v>
      </c>
      <c r="J81" s="48"/>
    </row>
    <row r="82" spans="1:10" ht="20.25" customHeight="1" x14ac:dyDescent="0.25">
      <c r="A82" s="45"/>
      <c r="B82" s="53" t="s">
        <v>472</v>
      </c>
      <c r="C82" s="50" t="s">
        <v>486</v>
      </c>
      <c r="D82" s="50"/>
      <c r="E82" s="48">
        <v>74272</v>
      </c>
      <c r="F82" s="54"/>
      <c r="G82" s="48"/>
      <c r="H82" s="48"/>
      <c r="I82" s="48">
        <v>74272</v>
      </c>
      <c r="J82" s="48">
        <v>1260</v>
      </c>
    </row>
    <row r="83" spans="1:10" ht="20.25" customHeight="1" x14ac:dyDescent="0.25">
      <c r="A83" s="45"/>
      <c r="B83" s="51" t="s">
        <v>487</v>
      </c>
      <c r="C83" s="9" t="s">
        <v>489</v>
      </c>
      <c r="D83" s="9"/>
      <c r="E83" s="36">
        <v>42498</v>
      </c>
      <c r="F83" s="37"/>
      <c r="G83" s="36"/>
      <c r="H83" s="36"/>
      <c r="I83" s="38">
        <v>42498</v>
      </c>
      <c r="J83" s="36"/>
    </row>
    <row r="84" spans="1:10" ht="20.25" customHeight="1" x14ac:dyDescent="0.25">
      <c r="A84" s="45"/>
      <c r="B84" s="51" t="s">
        <v>488</v>
      </c>
      <c r="C84" s="9" t="s">
        <v>490</v>
      </c>
      <c r="D84" s="9"/>
      <c r="E84" s="36">
        <v>31774</v>
      </c>
      <c r="F84" s="37"/>
      <c r="G84" s="36"/>
      <c r="H84" s="36"/>
      <c r="I84" s="38">
        <v>31774</v>
      </c>
      <c r="J84" s="36">
        <v>1260</v>
      </c>
    </row>
    <row r="85" spans="1:10" ht="20.25" customHeight="1" x14ac:dyDescent="0.25">
      <c r="A85" s="45"/>
      <c r="B85" s="53" t="s">
        <v>473</v>
      </c>
      <c r="C85" s="50" t="s">
        <v>493</v>
      </c>
      <c r="D85" s="50"/>
      <c r="E85" s="48">
        <v>19157</v>
      </c>
      <c r="F85" s="54"/>
      <c r="G85" s="48"/>
      <c r="H85" s="48"/>
      <c r="I85" s="48">
        <v>19157</v>
      </c>
      <c r="J85" s="48"/>
    </row>
    <row r="86" spans="1:10" ht="20.25" customHeight="1" x14ac:dyDescent="0.25">
      <c r="A86" s="45"/>
      <c r="B86" s="51" t="s">
        <v>491</v>
      </c>
      <c r="C86" s="9" t="s">
        <v>494</v>
      </c>
      <c r="D86" s="9"/>
      <c r="E86" s="36">
        <v>11478</v>
      </c>
      <c r="F86" s="37"/>
      <c r="G86" s="36"/>
      <c r="H86" s="36"/>
      <c r="I86" s="38">
        <v>11478</v>
      </c>
      <c r="J86" s="36"/>
    </row>
    <row r="87" spans="1:10" ht="20.25" customHeight="1" x14ac:dyDescent="0.25">
      <c r="A87" s="45"/>
      <c r="B87" s="51" t="s">
        <v>492</v>
      </c>
      <c r="C87" s="9" t="s">
        <v>495</v>
      </c>
      <c r="D87" s="9"/>
      <c r="E87" s="36">
        <v>4816</v>
      </c>
      <c r="F87" s="37"/>
      <c r="G87" s="36"/>
      <c r="H87" s="36"/>
      <c r="I87" s="38">
        <v>4816</v>
      </c>
      <c r="J87" s="36"/>
    </row>
    <row r="88" spans="1:10" ht="20.25" customHeight="1" x14ac:dyDescent="0.25">
      <c r="A88" s="45"/>
      <c r="B88" s="51" t="s">
        <v>496</v>
      </c>
      <c r="C88" s="9" t="s">
        <v>497</v>
      </c>
      <c r="D88" s="9"/>
      <c r="E88" s="36">
        <v>2863</v>
      </c>
      <c r="F88" s="37"/>
      <c r="G88" s="36"/>
      <c r="H88" s="36"/>
      <c r="I88" s="38">
        <v>2863</v>
      </c>
      <c r="J88" s="36"/>
    </row>
    <row r="89" spans="1:10" ht="20.25" customHeight="1" x14ac:dyDescent="0.25">
      <c r="A89" s="45"/>
      <c r="B89" s="55" t="s">
        <v>500</v>
      </c>
      <c r="C89" s="56" t="s">
        <v>498</v>
      </c>
      <c r="D89" s="56"/>
      <c r="E89" s="57">
        <v>1038</v>
      </c>
      <c r="F89" s="58"/>
      <c r="G89" s="57"/>
      <c r="H89" s="57"/>
      <c r="I89" s="57">
        <v>1038</v>
      </c>
      <c r="J89" s="57"/>
    </row>
    <row r="90" spans="1:10" ht="20.25" customHeight="1" x14ac:dyDescent="0.25">
      <c r="A90" s="45"/>
      <c r="B90" s="55" t="s">
        <v>501</v>
      </c>
      <c r="C90" s="56" t="s">
        <v>499</v>
      </c>
      <c r="D90" s="56"/>
      <c r="E90" s="57">
        <v>1825</v>
      </c>
      <c r="F90" s="58"/>
      <c r="G90" s="57"/>
      <c r="H90" s="57"/>
      <c r="I90" s="57">
        <v>1825</v>
      </c>
      <c r="J90" s="57"/>
    </row>
    <row r="91" spans="1:10" ht="20.25" customHeight="1" x14ac:dyDescent="0.25">
      <c r="A91" s="45"/>
      <c r="B91" s="49" t="s">
        <v>474</v>
      </c>
      <c r="C91" s="50" t="s">
        <v>502</v>
      </c>
      <c r="D91" s="50"/>
      <c r="E91" s="48">
        <v>23614</v>
      </c>
      <c r="F91" s="54"/>
      <c r="G91" s="48"/>
      <c r="H91" s="48"/>
      <c r="I91" s="48">
        <v>23614</v>
      </c>
      <c r="J91" s="48"/>
    </row>
    <row r="92" spans="1:10" ht="20.25" customHeight="1" x14ac:dyDescent="0.25">
      <c r="A92" s="45"/>
      <c r="B92" s="49" t="s">
        <v>475</v>
      </c>
      <c r="C92" s="50" t="s">
        <v>503</v>
      </c>
      <c r="D92" s="50"/>
      <c r="E92" s="48">
        <v>7000</v>
      </c>
      <c r="F92" s="54"/>
      <c r="G92" s="48"/>
      <c r="H92" s="48"/>
      <c r="I92" s="48">
        <v>7000</v>
      </c>
      <c r="J92" s="48"/>
    </row>
    <row r="93" spans="1:10" ht="20.25" customHeight="1" x14ac:dyDescent="0.25">
      <c r="A93" s="45">
        <v>5239</v>
      </c>
      <c r="B93" s="23">
        <v>426800</v>
      </c>
      <c r="C93" s="9" t="s">
        <v>464</v>
      </c>
      <c r="D93" s="59" t="s">
        <v>467</v>
      </c>
      <c r="E93" s="36">
        <v>14278</v>
      </c>
      <c r="F93" s="37"/>
      <c r="G93" s="36"/>
      <c r="H93" s="36"/>
      <c r="I93" s="36">
        <v>14278</v>
      </c>
      <c r="J93" s="36"/>
    </row>
    <row r="94" spans="1:10" ht="20.25" customHeight="1" x14ac:dyDescent="0.25">
      <c r="A94" s="45"/>
      <c r="B94" s="23" t="s">
        <v>465</v>
      </c>
      <c r="C94" s="9" t="s">
        <v>466</v>
      </c>
      <c r="D94" s="9" t="s">
        <v>463</v>
      </c>
      <c r="E94" s="36">
        <v>6985</v>
      </c>
      <c r="F94" s="37"/>
      <c r="G94" s="36"/>
      <c r="H94" s="36"/>
      <c r="I94" s="36">
        <v>6985</v>
      </c>
      <c r="J94" s="36"/>
    </row>
    <row r="95" spans="1:10" ht="20.25" customHeight="1" x14ac:dyDescent="0.25">
      <c r="A95" s="45">
        <v>5240</v>
      </c>
      <c r="B95" s="23">
        <v>426900</v>
      </c>
      <c r="C95" s="9" t="s">
        <v>270</v>
      </c>
      <c r="D95" s="9" t="s">
        <v>463</v>
      </c>
      <c r="E95" s="38">
        <v>8629</v>
      </c>
      <c r="F95" s="389">
        <v>1000</v>
      </c>
      <c r="G95" s="38"/>
      <c r="H95" s="38">
        <v>1273</v>
      </c>
      <c r="I95" s="38">
        <v>7103</v>
      </c>
      <c r="J95" s="38">
        <v>526</v>
      </c>
    </row>
    <row r="96" spans="1:10" ht="20.25" customHeight="1" x14ac:dyDescent="0.25">
      <c r="A96" s="480">
        <v>5256</v>
      </c>
      <c r="B96" s="476">
        <v>440000</v>
      </c>
      <c r="C96" s="18" t="s">
        <v>286</v>
      </c>
      <c r="D96" s="18"/>
      <c r="E96" s="19">
        <v>200</v>
      </c>
      <c r="F96" s="19">
        <v>0</v>
      </c>
      <c r="G96" s="19">
        <v>0</v>
      </c>
      <c r="H96" s="19">
        <v>0</v>
      </c>
      <c r="I96" s="19">
        <v>0</v>
      </c>
      <c r="J96" s="19">
        <v>200</v>
      </c>
    </row>
    <row r="97" spans="1:10" ht="20.25" customHeight="1" x14ac:dyDescent="0.25">
      <c r="A97" s="480">
        <v>5257</v>
      </c>
      <c r="B97" s="476">
        <v>441000</v>
      </c>
      <c r="C97" s="18" t="s">
        <v>287</v>
      </c>
      <c r="D97" s="18"/>
      <c r="E97" s="19">
        <v>200</v>
      </c>
      <c r="F97" s="19">
        <v>0</v>
      </c>
      <c r="G97" s="19">
        <v>0</v>
      </c>
      <c r="H97" s="19">
        <v>0</v>
      </c>
      <c r="I97" s="19">
        <v>0</v>
      </c>
      <c r="J97" s="19">
        <v>200</v>
      </c>
    </row>
    <row r="98" spans="1:10" ht="20.25" customHeight="1" x14ac:dyDescent="0.25">
      <c r="A98" s="45">
        <v>5262</v>
      </c>
      <c r="B98" s="23">
        <v>441500</v>
      </c>
      <c r="C98" s="9" t="s">
        <v>292</v>
      </c>
      <c r="D98" s="9"/>
      <c r="E98" s="36">
        <v>200</v>
      </c>
      <c r="F98" s="37"/>
      <c r="G98" s="36"/>
      <c r="H98" s="36"/>
      <c r="I98" s="36"/>
      <c r="J98" s="36">
        <v>200</v>
      </c>
    </row>
    <row r="99" spans="1:10" ht="20.25" customHeight="1" x14ac:dyDescent="0.25">
      <c r="A99" s="480">
        <v>5293</v>
      </c>
      <c r="B99" s="476">
        <v>460000</v>
      </c>
      <c r="C99" s="18" t="s">
        <v>322</v>
      </c>
      <c r="D99" s="18"/>
      <c r="E99" s="19">
        <v>10080</v>
      </c>
      <c r="F99" s="37">
        <v>0</v>
      </c>
      <c r="G99" s="19">
        <v>0</v>
      </c>
      <c r="H99" s="19">
        <v>0</v>
      </c>
      <c r="I99" s="19">
        <v>10080</v>
      </c>
      <c r="J99" s="19">
        <v>0</v>
      </c>
    </row>
    <row r="100" spans="1:10" ht="20.25" customHeight="1" x14ac:dyDescent="0.25">
      <c r="A100" s="480">
        <v>5306</v>
      </c>
      <c r="B100" s="476">
        <v>465000</v>
      </c>
      <c r="C100" s="18" t="s">
        <v>335</v>
      </c>
      <c r="D100" s="18"/>
      <c r="E100" s="19">
        <v>10080</v>
      </c>
      <c r="F100" s="19">
        <v>0</v>
      </c>
      <c r="G100" s="19">
        <v>0</v>
      </c>
      <c r="H100" s="19">
        <v>0</v>
      </c>
      <c r="I100" s="19">
        <v>10080</v>
      </c>
      <c r="J100" s="19">
        <v>0</v>
      </c>
    </row>
    <row r="101" spans="1:10" ht="20.25" customHeight="1" x14ac:dyDescent="0.25">
      <c r="A101" s="45">
        <v>5307</v>
      </c>
      <c r="B101" s="23">
        <v>465100</v>
      </c>
      <c r="C101" s="9" t="s">
        <v>336</v>
      </c>
      <c r="D101" s="9"/>
      <c r="E101" s="36">
        <v>10080</v>
      </c>
      <c r="F101" s="37"/>
      <c r="G101" s="36"/>
      <c r="H101" s="36"/>
      <c r="I101" s="36">
        <v>10080</v>
      </c>
      <c r="J101" s="36"/>
    </row>
    <row r="102" spans="1:10" ht="20.25" customHeight="1" x14ac:dyDescent="0.25">
      <c r="A102" s="480">
        <v>5324</v>
      </c>
      <c r="B102" s="476">
        <v>480000</v>
      </c>
      <c r="C102" s="18" t="s">
        <v>353</v>
      </c>
      <c r="D102" s="18"/>
      <c r="E102" s="19">
        <v>394</v>
      </c>
      <c r="F102" s="19">
        <v>0</v>
      </c>
      <c r="G102" s="19">
        <v>0</v>
      </c>
      <c r="H102" s="19">
        <v>0</v>
      </c>
      <c r="I102" s="19">
        <v>94</v>
      </c>
      <c r="J102" s="19">
        <v>300</v>
      </c>
    </row>
    <row r="103" spans="1:10" ht="20.25" customHeight="1" x14ac:dyDescent="0.25">
      <c r="A103" s="480">
        <v>5325</v>
      </c>
      <c r="B103" s="476">
        <v>481000</v>
      </c>
      <c r="C103" s="18" t="s">
        <v>354</v>
      </c>
      <c r="D103" s="18"/>
      <c r="E103" s="19">
        <v>35</v>
      </c>
      <c r="F103" s="19">
        <v>0</v>
      </c>
      <c r="G103" s="19">
        <v>0</v>
      </c>
      <c r="H103" s="19">
        <v>0</v>
      </c>
      <c r="I103" s="19">
        <v>0</v>
      </c>
      <c r="J103" s="19">
        <v>35</v>
      </c>
    </row>
    <row r="104" spans="1:10" ht="20.25" customHeight="1" x14ac:dyDescent="0.25">
      <c r="A104" s="45">
        <v>5327</v>
      </c>
      <c r="B104" s="23">
        <v>481900</v>
      </c>
      <c r="C104" s="9" t="s">
        <v>356</v>
      </c>
      <c r="D104" s="9"/>
      <c r="E104" s="36">
        <v>35</v>
      </c>
      <c r="F104" s="37"/>
      <c r="G104" s="36"/>
      <c r="H104" s="36"/>
      <c r="I104" s="36"/>
      <c r="J104" s="36">
        <v>35</v>
      </c>
    </row>
    <row r="105" spans="1:10" ht="20.25" customHeight="1" x14ac:dyDescent="0.25">
      <c r="A105" s="480">
        <v>5328</v>
      </c>
      <c r="B105" s="476">
        <v>482000</v>
      </c>
      <c r="C105" s="18" t="s">
        <v>357</v>
      </c>
      <c r="D105" s="18"/>
      <c r="E105" s="19">
        <v>159</v>
      </c>
      <c r="F105" s="19">
        <v>0</v>
      </c>
      <c r="G105" s="19">
        <v>0</v>
      </c>
      <c r="H105" s="19">
        <v>0</v>
      </c>
      <c r="I105" s="19">
        <v>94</v>
      </c>
      <c r="J105" s="19">
        <v>65</v>
      </c>
    </row>
    <row r="106" spans="1:10" ht="20.25" customHeight="1" x14ac:dyDescent="0.25">
      <c r="A106" s="45">
        <v>5329</v>
      </c>
      <c r="B106" s="23">
        <v>482100</v>
      </c>
      <c r="C106" s="9" t="s">
        <v>358</v>
      </c>
      <c r="D106" s="9"/>
      <c r="E106" s="36">
        <v>80</v>
      </c>
      <c r="F106" s="37"/>
      <c r="G106" s="36"/>
      <c r="H106" s="36"/>
      <c r="I106" s="36">
        <v>50</v>
      </c>
      <c r="J106" s="36">
        <v>30</v>
      </c>
    </row>
    <row r="107" spans="1:10" ht="20.25" customHeight="1" x14ac:dyDescent="0.25">
      <c r="A107" s="45">
        <v>5330</v>
      </c>
      <c r="B107" s="23">
        <v>482200</v>
      </c>
      <c r="C107" s="9" t="s">
        <v>359</v>
      </c>
      <c r="D107" s="9"/>
      <c r="E107" s="36">
        <v>69</v>
      </c>
      <c r="F107" s="37"/>
      <c r="G107" s="36"/>
      <c r="H107" s="36"/>
      <c r="I107" s="36">
        <v>44</v>
      </c>
      <c r="J107" s="36">
        <v>25</v>
      </c>
    </row>
    <row r="108" spans="1:10" ht="20.25" customHeight="1" x14ac:dyDescent="0.25">
      <c r="A108" s="45">
        <v>5331</v>
      </c>
      <c r="B108" s="23">
        <v>482300</v>
      </c>
      <c r="C108" s="9" t="s">
        <v>360</v>
      </c>
      <c r="D108" s="9"/>
      <c r="E108" s="36">
        <v>10</v>
      </c>
      <c r="F108" s="37"/>
      <c r="G108" s="36"/>
      <c r="H108" s="36"/>
      <c r="I108" s="36"/>
      <c r="J108" s="36">
        <v>10</v>
      </c>
    </row>
    <row r="109" spans="1:10" ht="20.25" customHeight="1" x14ac:dyDescent="0.25">
      <c r="A109" s="480">
        <v>5332</v>
      </c>
      <c r="B109" s="476">
        <v>483000</v>
      </c>
      <c r="C109" s="18" t="s">
        <v>361</v>
      </c>
      <c r="D109" s="18"/>
      <c r="E109" s="19">
        <v>200</v>
      </c>
      <c r="F109" s="19">
        <v>0</v>
      </c>
      <c r="G109" s="19">
        <v>0</v>
      </c>
      <c r="H109" s="19">
        <v>0</v>
      </c>
      <c r="I109" s="19">
        <v>0</v>
      </c>
      <c r="J109" s="19">
        <v>200</v>
      </c>
    </row>
    <row r="110" spans="1:10" ht="20.25" customHeight="1" x14ac:dyDescent="0.25">
      <c r="A110" s="45">
        <v>5333</v>
      </c>
      <c r="B110" s="23">
        <v>483100</v>
      </c>
      <c r="C110" s="9" t="s">
        <v>362</v>
      </c>
      <c r="D110" s="9"/>
      <c r="E110" s="36">
        <v>200</v>
      </c>
      <c r="F110" s="37"/>
      <c r="G110" s="36"/>
      <c r="H110" s="36"/>
      <c r="I110" s="36"/>
      <c r="J110" s="36">
        <v>200</v>
      </c>
    </row>
    <row r="111" spans="1:10" ht="20.25" customHeight="1" x14ac:dyDescent="0.25">
      <c r="A111" s="480">
        <v>5341</v>
      </c>
      <c r="B111" s="476">
        <v>500000</v>
      </c>
      <c r="C111" s="18" t="s">
        <v>370</v>
      </c>
      <c r="D111" s="18"/>
      <c r="E111" s="19">
        <v>88282</v>
      </c>
      <c r="F111" s="19">
        <v>29200</v>
      </c>
      <c r="G111" s="19">
        <v>57381</v>
      </c>
      <c r="H111" s="19">
        <v>0</v>
      </c>
      <c r="I111" s="19">
        <v>0</v>
      </c>
      <c r="J111" s="19">
        <v>1701</v>
      </c>
    </row>
    <row r="112" spans="1:10" ht="20.25" customHeight="1" x14ac:dyDescent="0.25">
      <c r="A112" s="480">
        <v>5342</v>
      </c>
      <c r="B112" s="476">
        <v>510000</v>
      </c>
      <c r="C112" s="18" t="s">
        <v>371</v>
      </c>
      <c r="D112" s="18"/>
      <c r="E112" s="19">
        <v>88282</v>
      </c>
      <c r="F112" s="19">
        <v>29200</v>
      </c>
      <c r="G112" s="19">
        <v>57381</v>
      </c>
      <c r="H112" s="19">
        <v>0</v>
      </c>
      <c r="I112" s="19">
        <v>0</v>
      </c>
      <c r="J112" s="19">
        <v>1701</v>
      </c>
    </row>
    <row r="113" spans="1:10" ht="20.25" customHeight="1" x14ac:dyDescent="0.25">
      <c r="A113" s="480">
        <v>5343</v>
      </c>
      <c r="B113" s="476">
        <v>511000</v>
      </c>
      <c r="C113" s="18" t="s">
        <v>372</v>
      </c>
      <c r="D113" s="18"/>
      <c r="E113" s="19">
        <v>5000</v>
      </c>
      <c r="F113" s="19">
        <v>5000</v>
      </c>
      <c r="G113" s="19">
        <v>0</v>
      </c>
      <c r="H113" s="19">
        <v>0</v>
      </c>
      <c r="I113" s="19">
        <v>0</v>
      </c>
      <c r="J113" s="19">
        <v>0</v>
      </c>
    </row>
    <row r="114" spans="1:10" ht="20.25" customHeight="1" x14ac:dyDescent="0.25">
      <c r="A114" s="45">
        <v>5344</v>
      </c>
      <c r="B114" s="23">
        <v>511100</v>
      </c>
      <c r="C114" s="9" t="s">
        <v>373</v>
      </c>
      <c r="D114" s="9"/>
      <c r="E114" s="36"/>
      <c r="F114" s="37"/>
      <c r="G114" s="36"/>
      <c r="H114" s="36"/>
      <c r="I114" s="36"/>
      <c r="J114" s="36"/>
    </row>
    <row r="115" spans="1:10" ht="20.25" customHeight="1" x14ac:dyDescent="0.25">
      <c r="A115" s="45">
        <v>5345</v>
      </c>
      <c r="B115" s="23">
        <v>511200</v>
      </c>
      <c r="C115" s="9" t="s">
        <v>374</v>
      </c>
      <c r="D115" s="9"/>
      <c r="E115" s="36"/>
      <c r="F115" s="37"/>
      <c r="G115" s="36"/>
      <c r="H115" s="36"/>
      <c r="I115" s="36"/>
      <c r="J115" s="36"/>
    </row>
    <row r="116" spans="1:10" ht="20.25" customHeight="1" x14ac:dyDescent="0.25">
      <c r="A116" s="45">
        <v>5346</v>
      </c>
      <c r="B116" s="23">
        <v>511300</v>
      </c>
      <c r="C116" s="9" t="s">
        <v>375</v>
      </c>
      <c r="D116" s="9"/>
      <c r="E116" s="36">
        <v>5000</v>
      </c>
      <c r="F116" s="37">
        <v>5000</v>
      </c>
      <c r="G116" s="36"/>
      <c r="H116" s="36"/>
      <c r="I116" s="36"/>
      <c r="J116" s="36"/>
    </row>
    <row r="117" spans="1:10" ht="20.25" customHeight="1" x14ac:dyDescent="0.25">
      <c r="A117" s="45">
        <v>5347</v>
      </c>
      <c r="B117" s="23">
        <v>511400</v>
      </c>
      <c r="C117" s="9" t="s">
        <v>376</v>
      </c>
      <c r="D117" s="9"/>
      <c r="E117" s="36"/>
      <c r="F117" s="37"/>
      <c r="G117" s="36"/>
      <c r="H117" s="36"/>
      <c r="I117" s="36"/>
      <c r="J117" s="36"/>
    </row>
    <row r="118" spans="1:10" ht="20.25" customHeight="1" x14ac:dyDescent="0.25">
      <c r="A118" s="480">
        <v>5348</v>
      </c>
      <c r="B118" s="476">
        <v>512000</v>
      </c>
      <c r="C118" s="18" t="s">
        <v>377</v>
      </c>
      <c r="D118" s="18"/>
      <c r="E118" s="19">
        <v>83282</v>
      </c>
      <c r="F118" s="19">
        <v>24200</v>
      </c>
      <c r="G118" s="19">
        <v>57381</v>
      </c>
      <c r="H118" s="19">
        <v>0</v>
      </c>
      <c r="I118" s="19">
        <v>0</v>
      </c>
      <c r="J118" s="19">
        <v>1701</v>
      </c>
    </row>
    <row r="119" spans="1:10" ht="20.25" customHeight="1" x14ac:dyDescent="0.25">
      <c r="A119" s="45">
        <v>5349</v>
      </c>
      <c r="B119" s="23">
        <v>512100</v>
      </c>
      <c r="C119" s="9" t="s">
        <v>378</v>
      </c>
      <c r="D119" s="9"/>
      <c r="E119" s="36"/>
      <c r="F119" s="37"/>
      <c r="G119" s="36"/>
      <c r="H119" s="36"/>
      <c r="I119" s="36"/>
      <c r="J119" s="36"/>
    </row>
    <row r="120" spans="1:10" ht="20.25" customHeight="1" x14ac:dyDescent="0.25">
      <c r="A120" s="45">
        <v>5349</v>
      </c>
      <c r="B120" s="23">
        <v>512100</v>
      </c>
      <c r="C120" s="9" t="s">
        <v>378</v>
      </c>
      <c r="D120" s="9"/>
      <c r="E120" s="36">
        <v>0</v>
      </c>
      <c r="F120" s="37"/>
      <c r="G120" s="36"/>
      <c r="H120" s="36"/>
      <c r="I120" s="36"/>
      <c r="J120" s="38"/>
    </row>
    <row r="121" spans="1:10" ht="20.25" customHeight="1" x14ac:dyDescent="0.25">
      <c r="A121" s="45">
        <v>5350</v>
      </c>
      <c r="B121" s="23">
        <v>512200</v>
      </c>
      <c r="C121" s="9" t="s">
        <v>379</v>
      </c>
      <c r="D121" s="9"/>
      <c r="E121" s="36">
        <v>5590</v>
      </c>
      <c r="F121" s="37">
        <v>4200</v>
      </c>
      <c r="G121" s="36"/>
      <c r="H121" s="36"/>
      <c r="I121" s="36"/>
      <c r="J121" s="36">
        <v>1390</v>
      </c>
    </row>
    <row r="122" spans="1:10" ht="20.25" customHeight="1" x14ac:dyDescent="0.25">
      <c r="A122" s="45">
        <v>5353</v>
      </c>
      <c r="B122" s="23">
        <v>512500</v>
      </c>
      <c r="C122" s="9" t="s">
        <v>382</v>
      </c>
      <c r="D122" s="9"/>
      <c r="E122" s="36">
        <v>77692</v>
      </c>
      <c r="F122" s="37">
        <v>20000</v>
      </c>
      <c r="G122" s="36">
        <v>57381</v>
      </c>
      <c r="H122" s="36"/>
      <c r="I122" s="36"/>
      <c r="J122" s="38">
        <v>311</v>
      </c>
    </row>
    <row r="123" spans="1:10" ht="20.25" customHeight="1" x14ac:dyDescent="0.25">
      <c r="A123" s="480">
        <v>5435</v>
      </c>
      <c r="B123" s="23"/>
      <c r="C123" s="18" t="s">
        <v>462</v>
      </c>
      <c r="D123" s="18"/>
      <c r="E123" s="19">
        <v>1745792</v>
      </c>
      <c r="F123" s="19">
        <v>30200</v>
      </c>
      <c r="G123" s="19">
        <v>57381</v>
      </c>
      <c r="H123" s="19">
        <v>1273</v>
      </c>
      <c r="I123" s="19">
        <v>1644907</v>
      </c>
      <c r="J123" s="19">
        <v>13304</v>
      </c>
    </row>
  </sheetData>
  <mergeCells count="16">
    <mergeCell ref="J3:J4"/>
    <mergeCell ref="E2:J2"/>
    <mergeCell ref="F3:I3"/>
    <mergeCell ref="A2:A4"/>
    <mergeCell ref="B2:B4"/>
    <mergeCell ref="C2:C4"/>
    <mergeCell ref="D2:D4"/>
    <mergeCell ref="E3:E4"/>
    <mergeCell ref="E31:E32"/>
    <mergeCell ref="J31:J32"/>
    <mergeCell ref="E30:J30"/>
    <mergeCell ref="F31:I31"/>
    <mergeCell ref="A30:A32"/>
    <mergeCell ref="B30:B32"/>
    <mergeCell ref="C30:C32"/>
    <mergeCell ref="D30:D32"/>
  </mergeCells>
  <dataValidations count="1">
    <dataValidation type="whole" allowBlank="1" showErrorMessage="1" errorTitle="Upozorenje" error="Niste uneli korektnu vrednost!_x000a_Ponovite unos." sqref="E6:J13 J16:J26 E14:I26 E33:J110 E111:E123 F111:F120 G111:J121 F122:J123">
      <formula1>0</formula1>
      <formula2>999999999</formula2>
    </dataValidation>
  </dataValidations>
  <pageMargins left="0.7" right="0.7" top="0.75" bottom="0.75" header="0.3" footer="0.3"/>
  <pageSetup scale="84" orientation="portrait" r:id="rId1"/>
  <rowBreaks count="1" manualBreakCount="1">
    <brk id="27" max="9" man="1"/>
  </rowBreaks>
  <colBreaks count="1" manualBreakCount="1">
    <brk id="10" max="1048575" man="1"/>
  </col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999FF"/>
  </sheetPr>
  <dimension ref="A1:AI552"/>
  <sheetViews>
    <sheetView workbookViewId="0">
      <selection sqref="A1:Q542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10.42578125" style="12" customWidth="1"/>
    <col min="7" max="7" width="1" style="12" hidden="1" customWidth="1"/>
    <col min="8" max="8" width="9.28515625" style="12" customWidth="1"/>
    <col min="9" max="9" width="7.5703125" style="12" hidden="1" customWidth="1"/>
    <col min="10" max="10" width="4" style="12" hidden="1" customWidth="1"/>
    <col min="11" max="11" width="8.85546875" style="12" customWidth="1"/>
    <col min="12" max="12" width="0.140625" style="12" customWidth="1"/>
    <col min="13" max="13" width="10.28515625" style="12" customWidth="1"/>
    <col min="14" max="14" width="9.140625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18" width="7.85546875" style="387" hidden="1" customWidth="1"/>
    <col min="19" max="20" width="10.28515625" style="12" hidden="1" customWidth="1"/>
    <col min="21" max="24" width="7.85546875" style="12" hidden="1" customWidth="1"/>
    <col min="25" max="25" width="13.140625" style="12" customWidth="1"/>
    <col min="26" max="30" width="9.140625" style="12" customWidth="1"/>
    <col min="31" max="31" width="8.7109375" style="12" customWidth="1"/>
    <col min="32" max="32" width="16.28515625" style="12" customWidth="1"/>
    <col min="33" max="33" width="9.140625" style="12"/>
    <col min="34" max="34" width="20.7109375" style="12" customWidth="1"/>
    <col min="35" max="16384" width="9.140625" style="12"/>
  </cols>
  <sheetData>
    <row r="1" spans="1:25" ht="27.75" customHeight="1" x14ac:dyDescent="0.3">
      <c r="A1" s="742" t="s">
        <v>573</v>
      </c>
      <c r="B1" s="742"/>
      <c r="C1" s="742"/>
      <c r="D1" s="742"/>
      <c r="E1" s="742"/>
      <c r="F1" s="742"/>
      <c r="G1" s="742"/>
      <c r="H1" s="742"/>
      <c r="I1" s="742"/>
      <c r="J1" s="742"/>
      <c r="K1" s="742"/>
      <c r="L1" s="742"/>
      <c r="M1" s="742"/>
      <c r="N1" s="742"/>
      <c r="O1" s="742"/>
      <c r="P1" s="742"/>
    </row>
    <row r="2" spans="1:25" ht="24.75" customHeight="1" thickBot="1" x14ac:dyDescent="0.3">
      <c r="A2" s="13" t="s">
        <v>507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365"/>
      <c r="S2" s="14"/>
      <c r="T2" s="14"/>
      <c r="U2" s="14"/>
      <c r="V2" s="14"/>
      <c r="W2" s="14"/>
      <c r="X2" s="14"/>
      <c r="Y2" s="14"/>
    </row>
    <row r="3" spans="1:25" ht="15" customHeight="1" thickBot="1" x14ac:dyDescent="0.3">
      <c r="A3" s="567" t="s">
        <v>0</v>
      </c>
      <c r="B3" s="569" t="s">
        <v>1</v>
      </c>
      <c r="C3" s="569" t="s">
        <v>2</v>
      </c>
      <c r="D3" s="540"/>
      <c r="E3" s="571" t="s">
        <v>3</v>
      </c>
      <c r="F3" s="564" t="s">
        <v>3</v>
      </c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6"/>
      <c r="R3" s="61"/>
      <c r="S3" s="61"/>
      <c r="T3" s="61"/>
      <c r="U3" s="61"/>
      <c r="V3" s="61"/>
      <c r="W3" s="61"/>
      <c r="X3" s="61"/>
      <c r="Y3" s="61"/>
    </row>
    <row r="4" spans="1:25" ht="21.75" customHeight="1" x14ac:dyDescent="0.25">
      <c r="A4" s="568"/>
      <c r="B4" s="544"/>
      <c r="C4" s="570"/>
      <c r="D4" s="561"/>
      <c r="E4" s="544"/>
      <c r="F4" s="540" t="s">
        <v>510</v>
      </c>
      <c r="G4" s="562" t="s">
        <v>5</v>
      </c>
      <c r="H4" s="537" t="s">
        <v>6</v>
      </c>
      <c r="I4" s="538"/>
      <c r="J4" s="538"/>
      <c r="K4" s="538"/>
      <c r="L4" s="538"/>
      <c r="M4" s="538"/>
      <c r="N4" s="539"/>
      <c r="O4" s="541" t="s">
        <v>7</v>
      </c>
      <c r="P4" s="541" t="s">
        <v>8</v>
      </c>
      <c r="Q4" s="739" t="s">
        <v>8</v>
      </c>
      <c r="R4" s="61"/>
      <c r="S4" s="61"/>
      <c r="T4" s="61"/>
      <c r="U4" s="61"/>
      <c r="V4" s="61"/>
      <c r="W4" s="61"/>
      <c r="X4" s="61"/>
      <c r="Y4" s="61"/>
    </row>
    <row r="5" spans="1:25" ht="45.75" customHeight="1" x14ac:dyDescent="0.25">
      <c r="A5" s="568"/>
      <c r="B5" s="544"/>
      <c r="C5" s="570"/>
      <c r="D5" s="541"/>
      <c r="E5" s="544"/>
      <c r="F5" s="541"/>
      <c r="G5" s="548"/>
      <c r="H5" s="75" t="s">
        <v>9</v>
      </c>
      <c r="I5" s="354" t="s">
        <v>9</v>
      </c>
      <c r="J5" s="354" t="s">
        <v>9</v>
      </c>
      <c r="K5" s="354" t="s">
        <v>11</v>
      </c>
      <c r="L5" s="354" t="s">
        <v>11</v>
      </c>
      <c r="M5" s="354" t="s">
        <v>12</v>
      </c>
      <c r="N5" s="354" t="s">
        <v>12</v>
      </c>
      <c r="O5" s="544"/>
      <c r="P5" s="544"/>
      <c r="Q5" s="534"/>
      <c r="R5" s="61"/>
      <c r="S5" s="364" t="s">
        <v>12</v>
      </c>
      <c r="T5" s="61"/>
      <c r="U5" s="61"/>
      <c r="V5" s="61"/>
      <c r="W5" s="61"/>
      <c r="X5" s="61"/>
      <c r="Y5" s="61"/>
    </row>
    <row r="6" spans="1:25" x14ac:dyDescent="0.25">
      <c r="A6" s="355">
        <v>1</v>
      </c>
      <c r="B6" s="354">
        <v>2</v>
      </c>
      <c r="C6" s="354">
        <v>3</v>
      </c>
      <c r="D6" s="354"/>
      <c r="E6" s="354">
        <v>4</v>
      </c>
      <c r="F6" s="354">
        <v>4</v>
      </c>
      <c r="G6" s="354">
        <v>4</v>
      </c>
      <c r="H6" s="354">
        <v>5</v>
      </c>
      <c r="I6" s="354">
        <v>5</v>
      </c>
      <c r="J6" s="354">
        <v>7</v>
      </c>
      <c r="K6" s="354">
        <v>6</v>
      </c>
      <c r="L6" s="354">
        <v>6</v>
      </c>
      <c r="M6" s="354">
        <v>7</v>
      </c>
      <c r="N6" s="354">
        <v>7</v>
      </c>
      <c r="O6" s="354">
        <v>10</v>
      </c>
      <c r="P6" s="354">
        <v>8</v>
      </c>
      <c r="Q6" s="363">
        <v>8</v>
      </c>
      <c r="R6" s="61"/>
      <c r="S6" s="364">
        <v>7</v>
      </c>
      <c r="T6" s="61"/>
      <c r="U6" s="61"/>
      <c r="V6" s="61"/>
      <c r="W6" s="61"/>
      <c r="X6" s="61"/>
      <c r="Y6" s="61"/>
    </row>
    <row r="7" spans="1:25" ht="42" customHeight="1" x14ac:dyDescent="0.25">
      <c r="A7" s="17">
        <v>5001</v>
      </c>
      <c r="B7" s="354"/>
      <c r="C7" s="18" t="s">
        <v>13</v>
      </c>
      <c r="D7" s="18"/>
      <c r="E7" s="19">
        <f>E8+E134</f>
        <v>1500538</v>
      </c>
      <c r="F7" s="19" t="e">
        <f>F8+F134</f>
        <v>#REF!</v>
      </c>
      <c r="G7" s="19" t="e">
        <f t="shared" ref="G7:Q7" si="0">G8+G134</f>
        <v>#REF!</v>
      </c>
      <c r="H7" s="19">
        <f t="shared" si="0"/>
        <v>30200</v>
      </c>
      <c r="I7" s="19">
        <f t="shared" si="0"/>
        <v>18738</v>
      </c>
      <c r="J7" s="19">
        <f t="shared" si="0"/>
        <v>0</v>
      </c>
      <c r="K7" s="19">
        <f t="shared" si="0"/>
        <v>57381</v>
      </c>
      <c r="L7" s="19">
        <f t="shared" si="0"/>
        <v>505</v>
      </c>
      <c r="M7" s="19" t="e">
        <f t="shared" si="0"/>
        <v>#REF!</v>
      </c>
      <c r="N7" s="19">
        <f t="shared" si="0"/>
        <v>1398192</v>
      </c>
      <c r="O7" s="19">
        <f t="shared" si="0"/>
        <v>0</v>
      </c>
      <c r="P7" s="19">
        <f t="shared" si="0"/>
        <v>13304</v>
      </c>
      <c r="Q7" s="366">
        <f t="shared" si="0"/>
        <v>12669</v>
      </c>
      <c r="R7" s="64"/>
      <c r="S7" s="367">
        <f>S8+S134</f>
        <v>1623939</v>
      </c>
      <c r="T7" s="64" t="e">
        <f>H7+K7+M7+P7</f>
        <v>#REF!</v>
      </c>
      <c r="U7" s="64"/>
      <c r="V7" s="64"/>
      <c r="W7" s="64"/>
      <c r="X7" s="64"/>
      <c r="Y7" s="64"/>
    </row>
    <row r="8" spans="1:25" ht="39" x14ac:dyDescent="0.25">
      <c r="A8" s="17">
        <v>5002</v>
      </c>
      <c r="B8" s="354">
        <v>700000</v>
      </c>
      <c r="C8" s="18" t="s">
        <v>14</v>
      </c>
      <c r="D8" s="18"/>
      <c r="E8" s="19">
        <f>E9+E61+E75+E87+E116+E123+E127</f>
        <v>1500338</v>
      </c>
      <c r="F8" s="20" t="e">
        <f>F87+F123+F127</f>
        <v>#REF!</v>
      </c>
      <c r="G8" s="19" t="e">
        <f>G9+G61+G75+G87+G116+G123+G127</f>
        <v>#REF!</v>
      </c>
      <c r="H8" s="19">
        <f t="shared" ref="H8:Q8" si="1">H9+H61+H75+H87+H116+H123+H127</f>
        <v>30200</v>
      </c>
      <c r="I8" s="19">
        <f t="shared" si="1"/>
        <v>18738</v>
      </c>
      <c r="J8" s="19">
        <f t="shared" si="1"/>
        <v>0</v>
      </c>
      <c r="K8" s="19">
        <f t="shared" si="1"/>
        <v>57381</v>
      </c>
      <c r="L8" s="19">
        <f t="shared" si="1"/>
        <v>505</v>
      </c>
      <c r="M8" s="19" t="e">
        <f t="shared" si="1"/>
        <v>#REF!</v>
      </c>
      <c r="N8" s="19">
        <f t="shared" si="1"/>
        <v>1398192</v>
      </c>
      <c r="O8" s="19">
        <f t="shared" si="1"/>
        <v>0</v>
      </c>
      <c r="P8" s="19">
        <f t="shared" si="1"/>
        <v>12907</v>
      </c>
      <c r="Q8" s="366">
        <f t="shared" si="1"/>
        <v>12485</v>
      </c>
      <c r="R8" s="64"/>
      <c r="S8" s="367">
        <f>S9+S61+S75+S87+S116+S123+S127</f>
        <v>1623939</v>
      </c>
      <c r="T8" s="64" t="e">
        <f>H8+K8+M8+P8</f>
        <v>#REF!</v>
      </c>
      <c r="U8" s="64"/>
      <c r="V8" s="64"/>
      <c r="W8" s="64"/>
      <c r="X8" s="64"/>
      <c r="Y8" s="64"/>
    </row>
    <row r="9" spans="1:25" ht="58.5" hidden="1" customHeight="1" x14ac:dyDescent="0.25">
      <c r="A9" s="355">
        <v>5003</v>
      </c>
      <c r="B9" s="354">
        <v>710000</v>
      </c>
      <c r="C9" s="18" t="s">
        <v>15</v>
      </c>
      <c r="D9" s="18"/>
      <c r="E9" s="21">
        <f>E10+E18+E20+E27+E33+E40+E43+E54</f>
        <v>0</v>
      </c>
      <c r="F9" s="21"/>
      <c r="G9" s="21">
        <f t="shared" ref="G9:G42" si="2">SUM(I9:Q9)</f>
        <v>0</v>
      </c>
      <c r="H9" s="21"/>
      <c r="I9" s="21">
        <f t="shared" ref="I9:Q9" si="3">I10+I18+I20+I27+I33+I40+I43+I54</f>
        <v>0</v>
      </c>
      <c r="J9" s="21">
        <f t="shared" si="3"/>
        <v>0</v>
      </c>
      <c r="K9" s="21"/>
      <c r="L9" s="21">
        <f t="shared" si="3"/>
        <v>0</v>
      </c>
      <c r="M9" s="21"/>
      <c r="N9" s="21">
        <f t="shared" si="3"/>
        <v>0</v>
      </c>
      <c r="O9" s="21">
        <f t="shared" si="3"/>
        <v>0</v>
      </c>
      <c r="P9" s="21"/>
      <c r="Q9" s="368">
        <f t="shared" si="3"/>
        <v>0</v>
      </c>
      <c r="R9" s="369"/>
      <c r="S9" s="370"/>
      <c r="T9" s="369"/>
      <c r="U9" s="369"/>
      <c r="V9" s="369"/>
      <c r="W9" s="369"/>
      <c r="X9" s="369"/>
      <c r="Y9" s="369"/>
    </row>
    <row r="10" spans="1:25" ht="58.5" hidden="1" customHeight="1" x14ac:dyDescent="0.25">
      <c r="A10" s="355">
        <v>5004</v>
      </c>
      <c r="B10" s="354">
        <v>711000</v>
      </c>
      <c r="C10" s="18" t="s">
        <v>16</v>
      </c>
      <c r="D10" s="18"/>
      <c r="E10" s="21">
        <f>SUM(E11:E17)</f>
        <v>0</v>
      </c>
      <c r="F10" s="21"/>
      <c r="G10" s="21">
        <f t="shared" si="2"/>
        <v>0</v>
      </c>
      <c r="H10" s="21"/>
      <c r="I10" s="21">
        <f t="shared" ref="I10:Q10" si="4">SUM(I11:I17)</f>
        <v>0</v>
      </c>
      <c r="J10" s="21">
        <f t="shared" si="4"/>
        <v>0</v>
      </c>
      <c r="K10" s="21"/>
      <c r="L10" s="21">
        <f t="shared" si="4"/>
        <v>0</v>
      </c>
      <c r="M10" s="21"/>
      <c r="N10" s="21">
        <f t="shared" si="4"/>
        <v>0</v>
      </c>
      <c r="O10" s="21">
        <f t="shared" si="4"/>
        <v>0</v>
      </c>
      <c r="P10" s="21"/>
      <c r="Q10" s="368">
        <f t="shared" si="4"/>
        <v>0</v>
      </c>
      <c r="R10" s="369"/>
      <c r="S10" s="370"/>
      <c r="T10" s="369"/>
      <c r="U10" s="369"/>
      <c r="V10" s="369"/>
      <c r="W10" s="369"/>
      <c r="X10" s="369"/>
      <c r="Y10" s="369"/>
    </row>
    <row r="11" spans="1:25" ht="58.5" hidden="1" customHeight="1" x14ac:dyDescent="0.25">
      <c r="A11" s="22">
        <v>5005</v>
      </c>
      <c r="B11" s="23">
        <v>711100</v>
      </c>
      <c r="C11" s="9" t="s">
        <v>17</v>
      </c>
      <c r="D11" s="24"/>
      <c r="E11" s="25"/>
      <c r="F11" s="26"/>
      <c r="G11" s="26">
        <f t="shared" si="2"/>
        <v>0</v>
      </c>
      <c r="H11" s="26"/>
      <c r="I11" s="26"/>
      <c r="J11" s="26"/>
      <c r="K11" s="26"/>
      <c r="L11" s="26"/>
      <c r="M11" s="26"/>
      <c r="N11" s="26"/>
      <c r="O11" s="26"/>
      <c r="P11" s="26"/>
      <c r="Q11" s="371"/>
      <c r="R11" s="372"/>
      <c r="S11" s="373"/>
      <c r="T11" s="372"/>
      <c r="U11" s="372"/>
      <c r="V11" s="372"/>
      <c r="W11" s="372"/>
      <c r="X11" s="372"/>
      <c r="Y11" s="372"/>
    </row>
    <row r="12" spans="1:25" ht="58.5" hidden="1" customHeight="1" x14ac:dyDescent="0.25">
      <c r="A12" s="551" t="s">
        <v>0</v>
      </c>
      <c r="B12" s="554" t="s">
        <v>1</v>
      </c>
      <c r="C12" s="557" t="s">
        <v>2</v>
      </c>
      <c r="D12" s="356"/>
      <c r="E12" s="560" t="s">
        <v>3</v>
      </c>
      <c r="F12" s="354"/>
      <c r="G12" s="544" t="s">
        <v>4</v>
      </c>
      <c r="H12" s="544"/>
      <c r="I12" s="544"/>
      <c r="J12" s="544"/>
      <c r="K12" s="544"/>
      <c r="L12" s="544"/>
      <c r="M12" s="544"/>
      <c r="N12" s="544"/>
      <c r="O12" s="544"/>
      <c r="P12" s="544"/>
      <c r="Q12" s="547"/>
      <c r="R12" s="61"/>
      <c r="S12" s="61"/>
      <c r="T12" s="61"/>
      <c r="U12" s="61"/>
      <c r="V12" s="61"/>
      <c r="W12" s="61"/>
      <c r="X12" s="61"/>
      <c r="Y12" s="61"/>
    </row>
    <row r="13" spans="1:25" ht="58.5" hidden="1" customHeight="1" x14ac:dyDescent="0.25">
      <c r="A13" s="552"/>
      <c r="B13" s="555"/>
      <c r="C13" s="558"/>
      <c r="D13" s="357"/>
      <c r="E13" s="561"/>
      <c r="F13" s="354"/>
      <c r="G13" s="548" t="s">
        <v>5</v>
      </c>
      <c r="H13" s="353"/>
      <c r="I13" s="544" t="s">
        <v>6</v>
      </c>
      <c r="J13" s="544"/>
      <c r="K13" s="544"/>
      <c r="L13" s="544"/>
      <c r="M13" s="544"/>
      <c r="N13" s="544"/>
      <c r="O13" s="544" t="s">
        <v>7</v>
      </c>
      <c r="P13" s="354"/>
      <c r="Q13" s="534" t="s">
        <v>8</v>
      </c>
      <c r="R13" s="61"/>
      <c r="S13" s="61"/>
      <c r="T13" s="61"/>
      <c r="U13" s="61"/>
      <c r="V13" s="61"/>
      <c r="W13" s="61"/>
      <c r="X13" s="61"/>
      <c r="Y13" s="61"/>
    </row>
    <row r="14" spans="1:25" ht="58.5" hidden="1" customHeight="1" x14ac:dyDescent="0.25">
      <c r="A14" s="553"/>
      <c r="B14" s="556"/>
      <c r="C14" s="559"/>
      <c r="D14" s="358"/>
      <c r="E14" s="541"/>
      <c r="F14" s="354"/>
      <c r="G14" s="548"/>
      <c r="H14" s="353"/>
      <c r="I14" s="354" t="s">
        <v>9</v>
      </c>
      <c r="J14" s="354" t="s">
        <v>10</v>
      </c>
      <c r="K14" s="354"/>
      <c r="L14" s="354" t="s">
        <v>11</v>
      </c>
      <c r="M14" s="354"/>
      <c r="N14" s="354" t="s">
        <v>12</v>
      </c>
      <c r="O14" s="544"/>
      <c r="P14" s="354"/>
      <c r="Q14" s="534"/>
      <c r="R14" s="61"/>
      <c r="S14" s="364"/>
      <c r="T14" s="61"/>
      <c r="U14" s="61"/>
      <c r="V14" s="61"/>
      <c r="W14" s="61"/>
      <c r="X14" s="61"/>
      <c r="Y14" s="61"/>
    </row>
    <row r="15" spans="1:25" ht="58.5" hidden="1" customHeight="1" x14ac:dyDescent="0.25">
      <c r="A15" s="31" t="s">
        <v>18</v>
      </c>
      <c r="B15" s="359" t="s">
        <v>19</v>
      </c>
      <c r="C15" s="359" t="s">
        <v>20</v>
      </c>
      <c r="D15" s="359"/>
      <c r="E15" s="33" t="s">
        <v>21</v>
      </c>
      <c r="F15" s="33"/>
      <c r="G15" s="33" t="s">
        <v>22</v>
      </c>
      <c r="H15" s="33"/>
      <c r="I15" s="33" t="s">
        <v>23</v>
      </c>
      <c r="J15" s="33" t="s">
        <v>24</v>
      </c>
      <c r="K15" s="33"/>
      <c r="L15" s="33" t="s">
        <v>25</v>
      </c>
      <c r="M15" s="33"/>
      <c r="N15" s="33" t="s">
        <v>26</v>
      </c>
      <c r="O15" s="33" t="s">
        <v>27</v>
      </c>
      <c r="P15" s="33"/>
      <c r="Q15" s="374" t="s">
        <v>28</v>
      </c>
      <c r="R15" s="375"/>
      <c r="S15" s="376"/>
      <c r="T15" s="375"/>
      <c r="U15" s="375"/>
      <c r="V15" s="375"/>
      <c r="W15" s="375"/>
      <c r="X15" s="375"/>
      <c r="Y15" s="375"/>
    </row>
    <row r="16" spans="1:25" ht="58.5" hidden="1" customHeight="1" x14ac:dyDescent="0.25">
      <c r="A16" s="22">
        <v>5006</v>
      </c>
      <c r="B16" s="23">
        <v>711200</v>
      </c>
      <c r="C16" s="9" t="s">
        <v>29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371"/>
      <c r="R16" s="372"/>
      <c r="S16" s="373"/>
      <c r="T16" s="372"/>
      <c r="U16" s="372"/>
      <c r="V16" s="372"/>
      <c r="W16" s="372"/>
      <c r="X16" s="372"/>
      <c r="Y16" s="372"/>
    </row>
    <row r="17" spans="1:25" ht="58.5" hidden="1" customHeight="1" x14ac:dyDescent="0.25">
      <c r="A17" s="22">
        <v>5007</v>
      </c>
      <c r="B17" s="23">
        <v>711300</v>
      </c>
      <c r="C17" s="9" t="s">
        <v>30</v>
      </c>
      <c r="D17" s="9"/>
      <c r="E17" s="26"/>
      <c r="F17" s="26"/>
      <c r="G17" s="26">
        <f t="shared" si="2"/>
        <v>0</v>
      </c>
      <c r="H17" s="26"/>
      <c r="I17" s="26"/>
      <c r="J17" s="26"/>
      <c r="K17" s="26"/>
      <c r="L17" s="26"/>
      <c r="M17" s="26"/>
      <c r="N17" s="26"/>
      <c r="O17" s="26"/>
      <c r="P17" s="26"/>
      <c r="Q17" s="371"/>
      <c r="R17" s="372"/>
      <c r="S17" s="373"/>
      <c r="T17" s="372"/>
      <c r="U17" s="372"/>
      <c r="V17" s="372"/>
      <c r="W17" s="372"/>
      <c r="X17" s="372"/>
      <c r="Y17" s="372"/>
    </row>
    <row r="18" spans="1:25" ht="58.5" hidden="1" customHeight="1" x14ac:dyDescent="0.25">
      <c r="A18" s="355">
        <v>5008</v>
      </c>
      <c r="B18" s="354">
        <v>712000</v>
      </c>
      <c r="C18" s="18" t="s">
        <v>31</v>
      </c>
      <c r="D18" s="18"/>
      <c r="E18" s="21">
        <f>E19</f>
        <v>0</v>
      </c>
      <c r="F18" s="21"/>
      <c r="G18" s="21">
        <f t="shared" si="2"/>
        <v>0</v>
      </c>
      <c r="H18" s="21"/>
      <c r="I18" s="21">
        <f t="shared" ref="I18:Q18" si="5">I19</f>
        <v>0</v>
      </c>
      <c r="J18" s="21">
        <f t="shared" si="5"/>
        <v>0</v>
      </c>
      <c r="K18" s="21"/>
      <c r="L18" s="21">
        <f t="shared" si="5"/>
        <v>0</v>
      </c>
      <c r="M18" s="21"/>
      <c r="N18" s="21">
        <f t="shared" si="5"/>
        <v>0</v>
      </c>
      <c r="O18" s="21">
        <f t="shared" si="5"/>
        <v>0</v>
      </c>
      <c r="P18" s="21"/>
      <c r="Q18" s="368">
        <f t="shared" si="5"/>
        <v>0</v>
      </c>
      <c r="R18" s="369"/>
      <c r="S18" s="370"/>
      <c r="T18" s="369"/>
      <c r="U18" s="369"/>
      <c r="V18" s="369"/>
      <c r="W18" s="369"/>
      <c r="X18" s="369"/>
      <c r="Y18" s="369"/>
    </row>
    <row r="19" spans="1:25" ht="58.5" hidden="1" customHeight="1" x14ac:dyDescent="0.25">
      <c r="A19" s="22">
        <v>5009</v>
      </c>
      <c r="B19" s="23">
        <v>712100</v>
      </c>
      <c r="C19" s="9" t="s">
        <v>32</v>
      </c>
      <c r="D19" s="9"/>
      <c r="E19" s="26"/>
      <c r="F19" s="26"/>
      <c r="G19" s="26">
        <f t="shared" si="2"/>
        <v>0</v>
      </c>
      <c r="H19" s="26"/>
      <c r="I19" s="26"/>
      <c r="J19" s="26"/>
      <c r="K19" s="26"/>
      <c r="L19" s="26"/>
      <c r="M19" s="26"/>
      <c r="N19" s="26"/>
      <c r="O19" s="26"/>
      <c r="P19" s="26"/>
      <c r="Q19" s="371"/>
      <c r="R19" s="372"/>
      <c r="S19" s="373"/>
      <c r="T19" s="372"/>
      <c r="U19" s="372"/>
      <c r="V19" s="372"/>
      <c r="W19" s="372"/>
      <c r="X19" s="372"/>
      <c r="Y19" s="372"/>
    </row>
    <row r="20" spans="1:25" ht="58.5" hidden="1" customHeight="1" x14ac:dyDescent="0.25">
      <c r="A20" s="355">
        <v>5010</v>
      </c>
      <c r="B20" s="354">
        <v>713000</v>
      </c>
      <c r="C20" s="18" t="s">
        <v>33</v>
      </c>
      <c r="D20" s="18"/>
      <c r="E20" s="21">
        <f>SUM(E21:E26)</f>
        <v>0</v>
      </c>
      <c r="F20" s="21"/>
      <c r="G20" s="21">
        <f t="shared" si="2"/>
        <v>0</v>
      </c>
      <c r="H20" s="21"/>
      <c r="I20" s="21">
        <f t="shared" ref="I20:Q20" si="6">SUM(I21:I26)</f>
        <v>0</v>
      </c>
      <c r="J20" s="21">
        <f t="shared" si="6"/>
        <v>0</v>
      </c>
      <c r="K20" s="21"/>
      <c r="L20" s="21">
        <f t="shared" si="6"/>
        <v>0</v>
      </c>
      <c r="M20" s="21"/>
      <c r="N20" s="21">
        <f t="shared" si="6"/>
        <v>0</v>
      </c>
      <c r="O20" s="21">
        <f t="shared" si="6"/>
        <v>0</v>
      </c>
      <c r="P20" s="21"/>
      <c r="Q20" s="368">
        <f t="shared" si="6"/>
        <v>0</v>
      </c>
      <c r="R20" s="369"/>
      <c r="S20" s="370"/>
      <c r="T20" s="369"/>
      <c r="U20" s="369"/>
      <c r="V20" s="369"/>
      <c r="W20" s="369"/>
      <c r="X20" s="369"/>
      <c r="Y20" s="369"/>
    </row>
    <row r="21" spans="1:25" ht="58.5" hidden="1" customHeight="1" x14ac:dyDescent="0.25">
      <c r="A21" s="22">
        <v>5011</v>
      </c>
      <c r="B21" s="23">
        <v>713100</v>
      </c>
      <c r="C21" s="9" t="s">
        <v>34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371"/>
      <c r="R21" s="372"/>
      <c r="S21" s="373"/>
      <c r="T21" s="372"/>
      <c r="U21" s="372"/>
      <c r="V21" s="372"/>
      <c r="W21" s="372"/>
      <c r="X21" s="372"/>
      <c r="Y21" s="372"/>
    </row>
    <row r="22" spans="1:25" ht="58.5" hidden="1" customHeight="1" x14ac:dyDescent="0.25">
      <c r="A22" s="22">
        <v>5012</v>
      </c>
      <c r="B22" s="23">
        <v>713200</v>
      </c>
      <c r="C22" s="9" t="s">
        <v>35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371"/>
      <c r="R22" s="372"/>
      <c r="S22" s="373"/>
      <c r="T22" s="372"/>
      <c r="U22" s="372"/>
      <c r="V22" s="372"/>
      <c r="W22" s="372"/>
      <c r="X22" s="372"/>
      <c r="Y22" s="372"/>
    </row>
    <row r="23" spans="1:25" ht="58.5" hidden="1" customHeight="1" x14ac:dyDescent="0.25">
      <c r="A23" s="22">
        <v>5013</v>
      </c>
      <c r="B23" s="23">
        <v>713300</v>
      </c>
      <c r="C23" s="9" t="s">
        <v>36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371"/>
      <c r="R23" s="372"/>
      <c r="S23" s="373"/>
      <c r="T23" s="372"/>
      <c r="U23" s="372"/>
      <c r="V23" s="372"/>
      <c r="W23" s="372"/>
      <c r="X23" s="372"/>
      <c r="Y23" s="372"/>
    </row>
    <row r="24" spans="1:25" ht="58.5" hidden="1" customHeight="1" x14ac:dyDescent="0.25">
      <c r="A24" s="22">
        <v>5014</v>
      </c>
      <c r="B24" s="23">
        <v>713400</v>
      </c>
      <c r="C24" s="9" t="s">
        <v>37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371"/>
      <c r="R24" s="372"/>
      <c r="S24" s="373"/>
      <c r="T24" s="372"/>
      <c r="U24" s="372"/>
      <c r="V24" s="372"/>
      <c r="W24" s="372"/>
      <c r="X24" s="372"/>
      <c r="Y24" s="372"/>
    </row>
    <row r="25" spans="1:25" ht="58.5" hidden="1" customHeight="1" x14ac:dyDescent="0.25">
      <c r="A25" s="22">
        <v>5015</v>
      </c>
      <c r="B25" s="23">
        <v>713500</v>
      </c>
      <c r="C25" s="9" t="s">
        <v>38</v>
      </c>
      <c r="D25" s="9"/>
      <c r="E25" s="26"/>
      <c r="F25" s="26"/>
      <c r="G25" s="26">
        <f t="shared" si="2"/>
        <v>0</v>
      </c>
      <c r="H25" s="26"/>
      <c r="I25" s="26"/>
      <c r="J25" s="26"/>
      <c r="K25" s="26"/>
      <c r="L25" s="26"/>
      <c r="M25" s="26"/>
      <c r="N25" s="26"/>
      <c r="O25" s="26"/>
      <c r="P25" s="26"/>
      <c r="Q25" s="371"/>
      <c r="R25" s="372"/>
      <c r="S25" s="373"/>
      <c r="T25" s="372"/>
      <c r="U25" s="372"/>
      <c r="V25" s="372"/>
      <c r="W25" s="372"/>
      <c r="X25" s="372"/>
      <c r="Y25" s="372"/>
    </row>
    <row r="26" spans="1:25" ht="58.5" hidden="1" customHeight="1" x14ac:dyDescent="0.25">
      <c r="A26" s="22">
        <v>5016</v>
      </c>
      <c r="B26" s="23">
        <v>713600</v>
      </c>
      <c r="C26" s="9" t="s">
        <v>39</v>
      </c>
      <c r="D26" s="9"/>
      <c r="E26" s="21"/>
      <c r="F26" s="21"/>
      <c r="G26" s="26">
        <f t="shared" si="2"/>
        <v>0</v>
      </c>
      <c r="H26" s="26"/>
      <c r="I26" s="21"/>
      <c r="J26" s="21"/>
      <c r="K26" s="21"/>
      <c r="L26" s="21"/>
      <c r="M26" s="21"/>
      <c r="N26" s="21"/>
      <c r="O26" s="21"/>
      <c r="P26" s="21"/>
      <c r="Q26" s="368"/>
      <c r="R26" s="369"/>
      <c r="S26" s="370"/>
      <c r="T26" s="369"/>
      <c r="U26" s="369"/>
      <c r="V26" s="369"/>
      <c r="W26" s="369"/>
      <c r="X26" s="369"/>
      <c r="Y26" s="369"/>
    </row>
    <row r="27" spans="1:25" ht="58.5" hidden="1" customHeight="1" x14ac:dyDescent="0.25">
      <c r="A27" s="355">
        <v>5017</v>
      </c>
      <c r="B27" s="354">
        <v>714000</v>
      </c>
      <c r="C27" s="18" t="s">
        <v>40</v>
      </c>
      <c r="D27" s="18"/>
      <c r="E27" s="21">
        <f>SUM(E28:E32)</f>
        <v>0</v>
      </c>
      <c r="F27" s="21"/>
      <c r="G27" s="21">
        <f t="shared" si="2"/>
        <v>0</v>
      </c>
      <c r="H27" s="21"/>
      <c r="I27" s="21">
        <f t="shared" ref="I27:Q27" si="7">SUM(I28:I32)</f>
        <v>0</v>
      </c>
      <c r="J27" s="21">
        <f t="shared" si="7"/>
        <v>0</v>
      </c>
      <c r="K27" s="21"/>
      <c r="L27" s="21">
        <f t="shared" si="7"/>
        <v>0</v>
      </c>
      <c r="M27" s="21"/>
      <c r="N27" s="21">
        <f t="shared" si="7"/>
        <v>0</v>
      </c>
      <c r="O27" s="21">
        <f t="shared" si="7"/>
        <v>0</v>
      </c>
      <c r="P27" s="21"/>
      <c r="Q27" s="368">
        <f t="shared" si="7"/>
        <v>0</v>
      </c>
      <c r="R27" s="369"/>
      <c r="S27" s="370"/>
      <c r="T27" s="369"/>
      <c r="U27" s="369"/>
      <c r="V27" s="369"/>
      <c r="W27" s="369"/>
      <c r="X27" s="369"/>
      <c r="Y27" s="369"/>
    </row>
    <row r="28" spans="1:25" ht="58.5" hidden="1" customHeight="1" x14ac:dyDescent="0.25">
      <c r="A28" s="22">
        <v>5018</v>
      </c>
      <c r="B28" s="23">
        <v>714100</v>
      </c>
      <c r="C28" s="9" t="s">
        <v>41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371"/>
      <c r="R28" s="372"/>
      <c r="S28" s="373"/>
      <c r="T28" s="372"/>
      <c r="U28" s="372"/>
      <c r="V28" s="372"/>
      <c r="W28" s="372"/>
      <c r="X28" s="372"/>
      <c r="Y28" s="372"/>
    </row>
    <row r="29" spans="1:25" ht="58.5" hidden="1" customHeight="1" x14ac:dyDescent="0.25">
      <c r="A29" s="22">
        <v>5019</v>
      </c>
      <c r="B29" s="23">
        <v>714300</v>
      </c>
      <c r="C29" s="9" t="s">
        <v>42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371"/>
      <c r="R29" s="372"/>
      <c r="S29" s="373"/>
      <c r="T29" s="372"/>
      <c r="U29" s="372"/>
      <c r="V29" s="372"/>
      <c r="W29" s="372"/>
      <c r="X29" s="372"/>
      <c r="Y29" s="372"/>
    </row>
    <row r="30" spans="1:25" ht="58.5" hidden="1" customHeight="1" x14ac:dyDescent="0.25">
      <c r="A30" s="22">
        <v>5020</v>
      </c>
      <c r="B30" s="23">
        <v>714400</v>
      </c>
      <c r="C30" s="9" t="s">
        <v>43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371"/>
      <c r="R30" s="372"/>
      <c r="S30" s="373"/>
      <c r="T30" s="372"/>
      <c r="U30" s="372"/>
      <c r="V30" s="372"/>
      <c r="W30" s="372"/>
      <c r="X30" s="372"/>
      <c r="Y30" s="372"/>
    </row>
    <row r="31" spans="1:25" ht="58.5" hidden="1" customHeight="1" x14ac:dyDescent="0.25">
      <c r="A31" s="22">
        <v>5021</v>
      </c>
      <c r="B31" s="23">
        <v>714500</v>
      </c>
      <c r="C31" s="9" t="s">
        <v>44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371"/>
      <c r="R31" s="372"/>
      <c r="S31" s="373"/>
      <c r="T31" s="372"/>
      <c r="U31" s="372"/>
      <c r="V31" s="372"/>
      <c r="W31" s="372"/>
      <c r="X31" s="372"/>
      <c r="Y31" s="372"/>
    </row>
    <row r="32" spans="1:25" ht="58.5" hidden="1" customHeight="1" x14ac:dyDescent="0.25">
      <c r="A32" s="22">
        <v>5022</v>
      </c>
      <c r="B32" s="23">
        <v>714600</v>
      </c>
      <c r="C32" s="9" t="s">
        <v>45</v>
      </c>
      <c r="D32" s="9"/>
      <c r="E32" s="26"/>
      <c r="F32" s="26"/>
      <c r="G32" s="26">
        <f t="shared" si="2"/>
        <v>0</v>
      </c>
      <c r="H32" s="26"/>
      <c r="I32" s="26"/>
      <c r="J32" s="26"/>
      <c r="K32" s="26"/>
      <c r="L32" s="26"/>
      <c r="M32" s="26"/>
      <c r="N32" s="26"/>
      <c r="O32" s="26"/>
      <c r="P32" s="26"/>
      <c r="Q32" s="371"/>
      <c r="R32" s="372"/>
      <c r="S32" s="373"/>
      <c r="T32" s="372"/>
      <c r="U32" s="372"/>
      <c r="V32" s="372"/>
      <c r="W32" s="372"/>
      <c r="X32" s="372"/>
      <c r="Y32" s="372"/>
    </row>
    <row r="33" spans="1:25" ht="58.5" hidden="1" customHeight="1" x14ac:dyDescent="0.25">
      <c r="A33" s="355">
        <v>5023</v>
      </c>
      <c r="B33" s="354">
        <v>715000</v>
      </c>
      <c r="C33" s="18" t="s">
        <v>46</v>
      </c>
      <c r="D33" s="18"/>
      <c r="E33" s="21">
        <f>SUM(E34:E39)</f>
        <v>0</v>
      </c>
      <c r="F33" s="21"/>
      <c r="G33" s="21">
        <f t="shared" si="2"/>
        <v>0</v>
      </c>
      <c r="H33" s="21"/>
      <c r="I33" s="21">
        <f t="shared" ref="I33:Q33" si="8">SUM(I34:I39)</f>
        <v>0</v>
      </c>
      <c r="J33" s="21">
        <f t="shared" si="8"/>
        <v>0</v>
      </c>
      <c r="K33" s="21"/>
      <c r="L33" s="21">
        <f t="shared" si="8"/>
        <v>0</v>
      </c>
      <c r="M33" s="21"/>
      <c r="N33" s="21">
        <f t="shared" si="8"/>
        <v>0</v>
      </c>
      <c r="O33" s="21">
        <f t="shared" si="8"/>
        <v>0</v>
      </c>
      <c r="P33" s="21"/>
      <c r="Q33" s="368">
        <f t="shared" si="8"/>
        <v>0</v>
      </c>
      <c r="R33" s="369"/>
      <c r="S33" s="370"/>
      <c r="T33" s="369"/>
      <c r="U33" s="369"/>
      <c r="V33" s="369"/>
      <c r="W33" s="369"/>
      <c r="X33" s="369"/>
      <c r="Y33" s="369"/>
    </row>
    <row r="34" spans="1:25" ht="58.5" hidden="1" customHeight="1" x14ac:dyDescent="0.25">
      <c r="A34" s="22">
        <v>5024</v>
      </c>
      <c r="B34" s="23">
        <v>715100</v>
      </c>
      <c r="C34" s="9" t="s">
        <v>47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371"/>
      <c r="R34" s="372"/>
      <c r="S34" s="373"/>
      <c r="T34" s="372"/>
      <c r="U34" s="372"/>
      <c r="V34" s="372"/>
      <c r="W34" s="372"/>
      <c r="X34" s="372"/>
      <c r="Y34" s="372"/>
    </row>
    <row r="35" spans="1:25" ht="58.5" hidden="1" customHeight="1" x14ac:dyDescent="0.25">
      <c r="A35" s="22">
        <v>5025</v>
      </c>
      <c r="B35" s="23">
        <v>715200</v>
      </c>
      <c r="C35" s="9" t="s">
        <v>48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371"/>
      <c r="R35" s="372"/>
      <c r="S35" s="373"/>
      <c r="T35" s="372"/>
      <c r="U35" s="372"/>
      <c r="V35" s="372"/>
      <c r="W35" s="372"/>
      <c r="X35" s="372"/>
      <c r="Y35" s="372"/>
    </row>
    <row r="36" spans="1:25" ht="26.25" hidden="1" x14ac:dyDescent="0.25">
      <c r="A36" s="22">
        <v>5026</v>
      </c>
      <c r="B36" s="23">
        <v>715300</v>
      </c>
      <c r="C36" s="9" t="s">
        <v>49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371"/>
      <c r="R36" s="372"/>
      <c r="S36" s="373"/>
      <c r="T36" s="372"/>
      <c r="U36" s="372"/>
      <c r="V36" s="372"/>
      <c r="W36" s="372"/>
      <c r="X36" s="372"/>
      <c r="Y36" s="372"/>
    </row>
    <row r="37" spans="1:25" ht="39" hidden="1" x14ac:dyDescent="0.25">
      <c r="A37" s="22">
        <v>5027</v>
      </c>
      <c r="B37" s="23">
        <v>715400</v>
      </c>
      <c r="C37" s="9" t="s">
        <v>50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371"/>
      <c r="R37" s="372"/>
      <c r="S37" s="373"/>
      <c r="T37" s="372"/>
      <c r="U37" s="372"/>
      <c r="V37" s="372"/>
      <c r="W37" s="372"/>
      <c r="X37" s="372"/>
      <c r="Y37" s="372"/>
    </row>
    <row r="38" spans="1:25" ht="26.25" hidden="1" x14ac:dyDescent="0.25">
      <c r="A38" s="22">
        <v>5028</v>
      </c>
      <c r="B38" s="23">
        <v>715500</v>
      </c>
      <c r="C38" s="9" t="s">
        <v>51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371"/>
      <c r="R38" s="372"/>
      <c r="S38" s="373"/>
      <c r="T38" s="372"/>
      <c r="U38" s="372"/>
      <c r="V38" s="372"/>
      <c r="W38" s="372"/>
      <c r="X38" s="372"/>
      <c r="Y38" s="372"/>
    </row>
    <row r="39" spans="1:25" ht="26.25" hidden="1" x14ac:dyDescent="0.25">
      <c r="A39" s="22">
        <v>5029</v>
      </c>
      <c r="B39" s="23">
        <v>715600</v>
      </c>
      <c r="C39" s="9" t="s">
        <v>52</v>
      </c>
      <c r="D39" s="9"/>
      <c r="E39" s="26"/>
      <c r="F39" s="26"/>
      <c r="G39" s="26">
        <f t="shared" si="2"/>
        <v>0</v>
      </c>
      <c r="H39" s="26"/>
      <c r="I39" s="26"/>
      <c r="J39" s="26"/>
      <c r="K39" s="26"/>
      <c r="L39" s="26"/>
      <c r="M39" s="26"/>
      <c r="N39" s="26"/>
      <c r="O39" s="26"/>
      <c r="P39" s="26"/>
      <c r="Q39" s="371"/>
      <c r="R39" s="372"/>
      <c r="S39" s="373"/>
      <c r="T39" s="372"/>
      <c r="U39" s="372"/>
      <c r="V39" s="372"/>
      <c r="W39" s="372"/>
      <c r="X39" s="372"/>
      <c r="Y39" s="372"/>
    </row>
    <row r="40" spans="1:25" hidden="1" x14ac:dyDescent="0.25">
      <c r="A40" s="355">
        <v>5030</v>
      </c>
      <c r="B40" s="354">
        <v>716000</v>
      </c>
      <c r="C40" s="18" t="s">
        <v>53</v>
      </c>
      <c r="D40" s="18"/>
      <c r="E40" s="21">
        <f>E41+E42</f>
        <v>0</v>
      </c>
      <c r="F40" s="21"/>
      <c r="G40" s="21">
        <f t="shared" si="2"/>
        <v>0</v>
      </c>
      <c r="H40" s="21"/>
      <c r="I40" s="21">
        <f t="shared" ref="I40:Q40" si="9">I41+I42</f>
        <v>0</v>
      </c>
      <c r="J40" s="21">
        <f t="shared" si="9"/>
        <v>0</v>
      </c>
      <c r="K40" s="21"/>
      <c r="L40" s="21">
        <f t="shared" si="9"/>
        <v>0</v>
      </c>
      <c r="M40" s="21"/>
      <c r="N40" s="21">
        <f t="shared" si="9"/>
        <v>0</v>
      </c>
      <c r="O40" s="21">
        <f t="shared" si="9"/>
        <v>0</v>
      </c>
      <c r="P40" s="21"/>
      <c r="Q40" s="368">
        <f t="shared" si="9"/>
        <v>0</v>
      </c>
      <c r="R40" s="369"/>
      <c r="S40" s="370"/>
      <c r="T40" s="369"/>
      <c r="U40" s="369"/>
      <c r="V40" s="369"/>
      <c r="W40" s="369"/>
      <c r="X40" s="369"/>
      <c r="Y40" s="369"/>
    </row>
    <row r="41" spans="1:25" ht="39" hidden="1" x14ac:dyDescent="0.25">
      <c r="A41" s="22">
        <v>5031</v>
      </c>
      <c r="B41" s="23">
        <v>716100</v>
      </c>
      <c r="C41" s="9" t="s">
        <v>54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371"/>
      <c r="R41" s="372"/>
      <c r="S41" s="373"/>
      <c r="T41" s="372"/>
      <c r="U41" s="372"/>
      <c r="V41" s="372"/>
      <c r="W41" s="372"/>
      <c r="X41" s="372"/>
      <c r="Y41" s="372"/>
    </row>
    <row r="42" spans="1:25" ht="39" hidden="1" x14ac:dyDescent="0.25">
      <c r="A42" s="22">
        <v>5032</v>
      </c>
      <c r="B42" s="23">
        <v>716200</v>
      </c>
      <c r="C42" s="9" t="s">
        <v>55</v>
      </c>
      <c r="D42" s="9"/>
      <c r="E42" s="26"/>
      <c r="F42" s="26"/>
      <c r="G42" s="26">
        <f t="shared" si="2"/>
        <v>0</v>
      </c>
      <c r="H42" s="26"/>
      <c r="I42" s="26"/>
      <c r="J42" s="26"/>
      <c r="K42" s="26"/>
      <c r="L42" s="26"/>
      <c r="M42" s="26"/>
      <c r="N42" s="26"/>
      <c r="O42" s="26"/>
      <c r="P42" s="26"/>
      <c r="Q42" s="371"/>
      <c r="R42" s="372"/>
      <c r="S42" s="373"/>
      <c r="T42" s="372"/>
      <c r="U42" s="372"/>
      <c r="V42" s="372"/>
      <c r="W42" s="372"/>
      <c r="X42" s="372"/>
      <c r="Y42" s="372"/>
    </row>
    <row r="43" spans="1:25" hidden="1" x14ac:dyDescent="0.25">
      <c r="A43" s="355">
        <v>5033</v>
      </c>
      <c r="B43" s="354">
        <v>717000</v>
      </c>
      <c r="C43" s="18" t="s">
        <v>56</v>
      </c>
      <c r="D43" s="18"/>
      <c r="E43" s="21">
        <f>SUM(E48:E53)</f>
        <v>0</v>
      </c>
      <c r="F43" s="21"/>
      <c r="G43" s="21">
        <f t="shared" ref="G43:G84" si="10">SUM(I43:Q43)</f>
        <v>0</v>
      </c>
      <c r="H43" s="21"/>
      <c r="I43" s="21">
        <f t="shared" ref="I43:Q43" si="11">SUM(I48:I53)</f>
        <v>0</v>
      </c>
      <c r="J43" s="21">
        <f t="shared" si="11"/>
        <v>0</v>
      </c>
      <c r="K43" s="21"/>
      <c r="L43" s="21">
        <f t="shared" si="11"/>
        <v>0</v>
      </c>
      <c r="M43" s="21"/>
      <c r="N43" s="21">
        <f t="shared" si="11"/>
        <v>0</v>
      </c>
      <c r="O43" s="21">
        <f t="shared" si="11"/>
        <v>0</v>
      </c>
      <c r="P43" s="21"/>
      <c r="Q43" s="368">
        <f t="shared" si="11"/>
        <v>0</v>
      </c>
      <c r="R43" s="369"/>
      <c r="S43" s="370"/>
      <c r="T43" s="369"/>
      <c r="U43" s="369"/>
      <c r="V43" s="369"/>
      <c r="W43" s="369"/>
      <c r="X43" s="369"/>
      <c r="Y43" s="369"/>
    </row>
    <row r="44" spans="1:25" hidden="1" x14ac:dyDescent="0.25">
      <c r="A44" s="546" t="s">
        <v>0</v>
      </c>
      <c r="B44" s="543" t="s">
        <v>1</v>
      </c>
      <c r="C44" s="542" t="s">
        <v>2</v>
      </c>
      <c r="D44" s="360"/>
      <c r="E44" s="549" t="s">
        <v>3</v>
      </c>
      <c r="F44" s="361"/>
      <c r="G44" s="549" t="s">
        <v>4</v>
      </c>
      <c r="H44" s="549"/>
      <c r="I44" s="549"/>
      <c r="J44" s="549"/>
      <c r="K44" s="549"/>
      <c r="L44" s="549"/>
      <c r="M44" s="549"/>
      <c r="N44" s="549"/>
      <c r="O44" s="549"/>
      <c r="P44" s="549"/>
      <c r="Q44" s="550"/>
      <c r="R44" s="377"/>
      <c r="S44" s="377"/>
      <c r="T44" s="377"/>
      <c r="U44" s="377"/>
      <c r="V44" s="377"/>
      <c r="W44" s="377"/>
      <c r="X44" s="377"/>
      <c r="Y44" s="377"/>
    </row>
    <row r="45" spans="1:25" hidden="1" x14ac:dyDescent="0.25">
      <c r="A45" s="546"/>
      <c r="B45" s="543"/>
      <c r="C45" s="542"/>
      <c r="D45" s="360"/>
      <c r="E45" s="549"/>
      <c r="F45" s="361"/>
      <c r="G45" s="542" t="s">
        <v>5</v>
      </c>
      <c r="H45" s="360"/>
      <c r="I45" s="549" t="s">
        <v>6</v>
      </c>
      <c r="J45" s="549"/>
      <c r="K45" s="549"/>
      <c r="L45" s="549"/>
      <c r="M45" s="549"/>
      <c r="N45" s="549"/>
      <c r="O45" s="549" t="s">
        <v>7</v>
      </c>
      <c r="P45" s="361"/>
      <c r="Q45" s="740" t="s">
        <v>8</v>
      </c>
      <c r="R45" s="377"/>
      <c r="S45" s="377"/>
      <c r="T45" s="377"/>
      <c r="U45" s="377"/>
      <c r="V45" s="377"/>
      <c r="W45" s="377"/>
      <c r="X45" s="377"/>
      <c r="Y45" s="377"/>
    </row>
    <row r="46" spans="1:25" ht="166.5" hidden="1" x14ac:dyDescent="0.25">
      <c r="A46" s="546"/>
      <c r="B46" s="543"/>
      <c r="C46" s="542"/>
      <c r="D46" s="360"/>
      <c r="E46" s="549"/>
      <c r="F46" s="361"/>
      <c r="G46" s="542"/>
      <c r="H46" s="360"/>
      <c r="I46" s="361" t="s">
        <v>9</v>
      </c>
      <c r="J46" s="361" t="s">
        <v>10</v>
      </c>
      <c r="K46" s="361"/>
      <c r="L46" s="361" t="s">
        <v>11</v>
      </c>
      <c r="M46" s="361"/>
      <c r="N46" s="361" t="s">
        <v>12</v>
      </c>
      <c r="O46" s="549"/>
      <c r="P46" s="361"/>
      <c r="Q46" s="740"/>
      <c r="R46" s="377"/>
      <c r="S46" s="378"/>
      <c r="T46" s="377"/>
      <c r="U46" s="377"/>
      <c r="V46" s="377"/>
      <c r="W46" s="377"/>
      <c r="X46" s="377"/>
      <c r="Y46" s="377"/>
    </row>
    <row r="47" spans="1:25" ht="26.25" hidden="1" x14ac:dyDescent="0.25">
      <c r="A47" s="31" t="s">
        <v>18</v>
      </c>
      <c r="B47" s="359" t="s">
        <v>19</v>
      </c>
      <c r="C47" s="359" t="s">
        <v>20</v>
      </c>
      <c r="D47" s="359"/>
      <c r="E47" s="359" t="s">
        <v>21</v>
      </c>
      <c r="F47" s="359"/>
      <c r="G47" s="359" t="s">
        <v>22</v>
      </c>
      <c r="H47" s="359"/>
      <c r="I47" s="359" t="s">
        <v>23</v>
      </c>
      <c r="J47" s="359" t="s">
        <v>24</v>
      </c>
      <c r="K47" s="359"/>
      <c r="L47" s="359" t="s">
        <v>25</v>
      </c>
      <c r="M47" s="359"/>
      <c r="N47" s="359" t="s">
        <v>26</v>
      </c>
      <c r="O47" s="359" t="s">
        <v>27</v>
      </c>
      <c r="P47" s="359"/>
      <c r="Q47" s="379" t="s">
        <v>28</v>
      </c>
      <c r="R47" s="380"/>
      <c r="S47" s="381"/>
      <c r="T47" s="380"/>
      <c r="U47" s="380"/>
      <c r="V47" s="380"/>
      <c r="W47" s="380"/>
      <c r="X47" s="380"/>
      <c r="Y47" s="380"/>
    </row>
    <row r="48" spans="1:25" hidden="1" x14ac:dyDescent="0.25">
      <c r="A48" s="22">
        <v>5034</v>
      </c>
      <c r="B48" s="23">
        <v>717100</v>
      </c>
      <c r="C48" s="9" t="s">
        <v>57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371"/>
      <c r="R48" s="372"/>
      <c r="S48" s="373"/>
      <c r="T48" s="372"/>
      <c r="U48" s="372"/>
      <c r="V48" s="372"/>
      <c r="W48" s="372"/>
      <c r="X48" s="372"/>
      <c r="Y48" s="372"/>
    </row>
    <row r="49" spans="1:25" hidden="1" x14ac:dyDescent="0.25">
      <c r="A49" s="22">
        <v>5035</v>
      </c>
      <c r="B49" s="23">
        <v>717200</v>
      </c>
      <c r="C49" s="9" t="s">
        <v>58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371"/>
      <c r="R49" s="372"/>
      <c r="S49" s="373"/>
      <c r="T49" s="372"/>
      <c r="U49" s="372"/>
      <c r="V49" s="372"/>
      <c r="W49" s="372"/>
      <c r="X49" s="372"/>
      <c r="Y49" s="372"/>
    </row>
    <row r="50" spans="1:25" hidden="1" x14ac:dyDescent="0.25">
      <c r="A50" s="22">
        <v>5036</v>
      </c>
      <c r="B50" s="23">
        <v>717300</v>
      </c>
      <c r="C50" s="9" t="s">
        <v>59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371"/>
      <c r="R50" s="372"/>
      <c r="S50" s="373"/>
      <c r="T50" s="372"/>
      <c r="U50" s="372"/>
      <c r="V50" s="372"/>
      <c r="W50" s="372"/>
      <c r="X50" s="372"/>
      <c r="Y50" s="372"/>
    </row>
    <row r="51" spans="1:25" ht="26.25" hidden="1" x14ac:dyDescent="0.25">
      <c r="A51" s="22">
        <v>5037</v>
      </c>
      <c r="B51" s="23">
        <v>717400</v>
      </c>
      <c r="C51" s="9" t="s">
        <v>60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371"/>
      <c r="R51" s="372"/>
      <c r="S51" s="373"/>
      <c r="T51" s="372"/>
      <c r="U51" s="372"/>
      <c r="V51" s="372"/>
      <c r="W51" s="372"/>
      <c r="X51" s="372"/>
      <c r="Y51" s="372"/>
    </row>
    <row r="52" spans="1:25" hidden="1" x14ac:dyDescent="0.25">
      <c r="A52" s="22">
        <v>5038</v>
      </c>
      <c r="B52" s="23">
        <v>717500</v>
      </c>
      <c r="C52" s="9" t="s">
        <v>61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371"/>
      <c r="R52" s="372"/>
      <c r="S52" s="373"/>
      <c r="T52" s="372"/>
      <c r="U52" s="372"/>
      <c r="V52" s="372"/>
      <c r="W52" s="372"/>
      <c r="X52" s="372"/>
      <c r="Y52" s="372"/>
    </row>
    <row r="53" spans="1:25" hidden="1" x14ac:dyDescent="0.25">
      <c r="A53" s="22">
        <v>5039</v>
      </c>
      <c r="B53" s="23">
        <v>717600</v>
      </c>
      <c r="C53" s="9" t="s">
        <v>62</v>
      </c>
      <c r="D53" s="9"/>
      <c r="E53" s="26"/>
      <c r="F53" s="26"/>
      <c r="G53" s="26">
        <f t="shared" si="10"/>
        <v>0</v>
      </c>
      <c r="H53" s="26"/>
      <c r="I53" s="26"/>
      <c r="J53" s="26"/>
      <c r="K53" s="26"/>
      <c r="L53" s="26"/>
      <c r="M53" s="26"/>
      <c r="N53" s="26"/>
      <c r="O53" s="26"/>
      <c r="P53" s="26"/>
      <c r="Q53" s="371"/>
      <c r="R53" s="372"/>
      <c r="S53" s="373"/>
      <c r="T53" s="372"/>
      <c r="U53" s="372"/>
      <c r="V53" s="372"/>
      <c r="W53" s="372"/>
      <c r="X53" s="372"/>
      <c r="Y53" s="372"/>
    </row>
    <row r="54" spans="1:25" ht="77.25" hidden="1" x14ac:dyDescent="0.25">
      <c r="A54" s="355">
        <v>5040</v>
      </c>
      <c r="B54" s="354">
        <v>719000</v>
      </c>
      <c r="C54" s="18" t="s">
        <v>63</v>
      </c>
      <c r="D54" s="18"/>
      <c r="E54" s="21">
        <f>SUM(E55:E60)</f>
        <v>0</v>
      </c>
      <c r="F54" s="21"/>
      <c r="G54" s="21">
        <f t="shared" si="10"/>
        <v>0</v>
      </c>
      <c r="H54" s="21"/>
      <c r="I54" s="21">
        <f t="shared" ref="I54:Q54" si="12">SUM(I55:I60)</f>
        <v>0</v>
      </c>
      <c r="J54" s="21">
        <f t="shared" si="12"/>
        <v>0</v>
      </c>
      <c r="K54" s="21"/>
      <c r="L54" s="21">
        <f t="shared" si="12"/>
        <v>0</v>
      </c>
      <c r="M54" s="21"/>
      <c r="N54" s="21">
        <f t="shared" si="12"/>
        <v>0</v>
      </c>
      <c r="O54" s="21">
        <f t="shared" si="12"/>
        <v>0</v>
      </c>
      <c r="P54" s="21"/>
      <c r="Q54" s="368">
        <f t="shared" si="12"/>
        <v>0</v>
      </c>
      <c r="R54" s="369"/>
      <c r="S54" s="370"/>
      <c r="T54" s="369"/>
      <c r="U54" s="369"/>
      <c r="V54" s="369"/>
      <c r="W54" s="369"/>
      <c r="X54" s="369"/>
      <c r="Y54" s="369"/>
    </row>
    <row r="55" spans="1:25" ht="39" hidden="1" x14ac:dyDescent="0.25">
      <c r="A55" s="22">
        <v>5041</v>
      </c>
      <c r="B55" s="23">
        <v>719100</v>
      </c>
      <c r="C55" s="9" t="s">
        <v>64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371"/>
      <c r="R55" s="372"/>
      <c r="S55" s="373"/>
      <c r="T55" s="372"/>
      <c r="U55" s="372"/>
      <c r="V55" s="372"/>
      <c r="W55" s="372"/>
      <c r="X55" s="372"/>
      <c r="Y55" s="372"/>
    </row>
    <row r="56" spans="1:25" ht="51.75" hidden="1" x14ac:dyDescent="0.25">
      <c r="A56" s="22">
        <v>5042</v>
      </c>
      <c r="B56" s="23">
        <v>719200</v>
      </c>
      <c r="C56" s="9" t="s">
        <v>65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371"/>
      <c r="R56" s="372"/>
      <c r="S56" s="373"/>
      <c r="T56" s="372"/>
      <c r="U56" s="372"/>
      <c r="V56" s="372"/>
      <c r="W56" s="372"/>
      <c r="X56" s="372"/>
      <c r="Y56" s="372"/>
    </row>
    <row r="57" spans="1:25" ht="39" hidden="1" x14ac:dyDescent="0.25">
      <c r="A57" s="22">
        <v>5043</v>
      </c>
      <c r="B57" s="23">
        <v>719300</v>
      </c>
      <c r="C57" s="9" t="s">
        <v>66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371"/>
      <c r="R57" s="372"/>
      <c r="S57" s="373"/>
      <c r="T57" s="372"/>
      <c r="U57" s="372"/>
      <c r="V57" s="372"/>
      <c r="W57" s="372"/>
      <c r="X57" s="372"/>
      <c r="Y57" s="372"/>
    </row>
    <row r="58" spans="1:25" ht="26.25" hidden="1" x14ac:dyDescent="0.25">
      <c r="A58" s="22">
        <v>5044</v>
      </c>
      <c r="B58" s="23">
        <v>719400</v>
      </c>
      <c r="C58" s="9" t="s">
        <v>67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371"/>
      <c r="R58" s="372"/>
      <c r="S58" s="373"/>
      <c r="T58" s="372"/>
      <c r="U58" s="372"/>
      <c r="V58" s="372"/>
      <c r="W58" s="372"/>
      <c r="X58" s="372"/>
      <c r="Y58" s="372"/>
    </row>
    <row r="59" spans="1:25" ht="39" hidden="1" x14ac:dyDescent="0.25">
      <c r="A59" s="22">
        <v>5045</v>
      </c>
      <c r="B59" s="23">
        <v>719500</v>
      </c>
      <c r="C59" s="9" t="s">
        <v>68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371"/>
      <c r="R59" s="372"/>
      <c r="S59" s="373"/>
      <c r="T59" s="372"/>
      <c r="U59" s="372"/>
      <c r="V59" s="372"/>
      <c r="W59" s="372"/>
      <c r="X59" s="372"/>
      <c r="Y59" s="372"/>
    </row>
    <row r="60" spans="1:25" ht="26.25" hidden="1" x14ac:dyDescent="0.25">
      <c r="A60" s="22">
        <v>5046</v>
      </c>
      <c r="B60" s="23">
        <v>719600</v>
      </c>
      <c r="C60" s="9" t="s">
        <v>69</v>
      </c>
      <c r="D60" s="9"/>
      <c r="E60" s="26"/>
      <c r="F60" s="26"/>
      <c r="G60" s="26">
        <f t="shared" si="10"/>
        <v>0</v>
      </c>
      <c r="H60" s="26"/>
      <c r="I60" s="26"/>
      <c r="J60" s="26"/>
      <c r="K60" s="26"/>
      <c r="L60" s="26"/>
      <c r="M60" s="26"/>
      <c r="N60" s="26"/>
      <c r="O60" s="26"/>
      <c r="P60" s="26"/>
      <c r="Q60" s="371"/>
      <c r="R60" s="372"/>
      <c r="S60" s="373"/>
      <c r="T60" s="372"/>
      <c r="U60" s="372"/>
      <c r="V60" s="372"/>
      <c r="W60" s="372"/>
      <c r="X60" s="372"/>
      <c r="Y60" s="372"/>
    </row>
    <row r="61" spans="1:25" ht="26.25" hidden="1" x14ac:dyDescent="0.25">
      <c r="A61" s="355">
        <v>5047</v>
      </c>
      <c r="B61" s="354">
        <v>720000</v>
      </c>
      <c r="C61" s="18" t="s">
        <v>70</v>
      </c>
      <c r="D61" s="18"/>
      <c r="E61" s="19">
        <f>E62+E67</f>
        <v>0</v>
      </c>
      <c r="F61" s="19"/>
      <c r="G61" s="19">
        <f t="shared" si="10"/>
        <v>0</v>
      </c>
      <c r="H61" s="19"/>
      <c r="I61" s="19">
        <f t="shared" ref="I61:Q61" si="13">I62+I67</f>
        <v>0</v>
      </c>
      <c r="J61" s="19">
        <f t="shared" si="13"/>
        <v>0</v>
      </c>
      <c r="K61" s="19"/>
      <c r="L61" s="19">
        <f t="shared" si="13"/>
        <v>0</v>
      </c>
      <c r="M61" s="19"/>
      <c r="N61" s="19">
        <f t="shared" si="13"/>
        <v>0</v>
      </c>
      <c r="O61" s="19">
        <f t="shared" si="13"/>
        <v>0</v>
      </c>
      <c r="P61" s="19"/>
      <c r="Q61" s="366">
        <f t="shared" si="13"/>
        <v>0</v>
      </c>
      <c r="R61" s="64"/>
      <c r="S61" s="367"/>
      <c r="T61" s="64"/>
      <c r="U61" s="64"/>
      <c r="V61" s="64"/>
      <c r="W61" s="64"/>
      <c r="X61" s="64"/>
      <c r="Y61" s="64"/>
    </row>
    <row r="62" spans="1:25" ht="26.25" hidden="1" x14ac:dyDescent="0.25">
      <c r="A62" s="355">
        <v>5048</v>
      </c>
      <c r="B62" s="354">
        <v>721000</v>
      </c>
      <c r="C62" s="18" t="s">
        <v>71</v>
      </c>
      <c r="D62" s="18"/>
      <c r="E62" s="19">
        <f>SUM(E63:E66)</f>
        <v>0</v>
      </c>
      <c r="F62" s="19"/>
      <c r="G62" s="19">
        <f t="shared" si="10"/>
        <v>0</v>
      </c>
      <c r="H62" s="19"/>
      <c r="I62" s="19">
        <f t="shared" ref="I62:Q62" si="14">SUM(I63:I66)</f>
        <v>0</v>
      </c>
      <c r="J62" s="19">
        <f t="shared" si="14"/>
        <v>0</v>
      </c>
      <c r="K62" s="19"/>
      <c r="L62" s="19">
        <f t="shared" si="14"/>
        <v>0</v>
      </c>
      <c r="M62" s="19"/>
      <c r="N62" s="19">
        <f t="shared" si="14"/>
        <v>0</v>
      </c>
      <c r="O62" s="19">
        <f t="shared" si="14"/>
        <v>0</v>
      </c>
      <c r="P62" s="19"/>
      <c r="Q62" s="366">
        <f t="shared" si="14"/>
        <v>0</v>
      </c>
      <c r="R62" s="64"/>
      <c r="S62" s="367"/>
      <c r="T62" s="64"/>
      <c r="U62" s="64"/>
      <c r="V62" s="64"/>
      <c r="W62" s="64"/>
      <c r="X62" s="64"/>
      <c r="Y62" s="64"/>
    </row>
    <row r="63" spans="1:25" ht="26.25" hidden="1" x14ac:dyDescent="0.25">
      <c r="A63" s="22">
        <v>5049</v>
      </c>
      <c r="B63" s="23">
        <v>721100</v>
      </c>
      <c r="C63" s="9" t="s">
        <v>72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382"/>
      <c r="R63" s="47"/>
      <c r="S63" s="383"/>
      <c r="T63" s="47"/>
      <c r="U63" s="47"/>
      <c r="V63" s="47"/>
      <c r="W63" s="47"/>
      <c r="X63" s="47"/>
      <c r="Y63" s="47"/>
    </row>
    <row r="64" spans="1:25" ht="26.25" hidden="1" x14ac:dyDescent="0.25">
      <c r="A64" s="22">
        <v>5050</v>
      </c>
      <c r="B64" s="23">
        <v>721200</v>
      </c>
      <c r="C64" s="9" t="s">
        <v>73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382"/>
      <c r="R64" s="47"/>
      <c r="S64" s="383"/>
      <c r="T64" s="47"/>
      <c r="U64" s="47"/>
      <c r="V64" s="47"/>
      <c r="W64" s="47"/>
      <c r="X64" s="47"/>
      <c r="Y64" s="47"/>
    </row>
    <row r="65" spans="1:25" ht="51.75" hidden="1" x14ac:dyDescent="0.25">
      <c r="A65" s="22">
        <v>5051</v>
      </c>
      <c r="B65" s="23">
        <v>721300</v>
      </c>
      <c r="C65" s="9" t="s">
        <v>74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382"/>
      <c r="R65" s="47"/>
      <c r="S65" s="383"/>
      <c r="T65" s="47"/>
      <c r="U65" s="47"/>
      <c r="V65" s="47"/>
      <c r="W65" s="47"/>
      <c r="X65" s="47"/>
      <c r="Y65" s="47"/>
    </row>
    <row r="66" spans="1:25" ht="39" hidden="1" x14ac:dyDescent="0.25">
      <c r="A66" s="22">
        <v>5052</v>
      </c>
      <c r="B66" s="23">
        <v>721400</v>
      </c>
      <c r="C66" s="9" t="s">
        <v>75</v>
      </c>
      <c r="D66" s="9"/>
      <c r="E66" s="36"/>
      <c r="F66" s="36"/>
      <c r="G66" s="37">
        <f t="shared" si="10"/>
        <v>0</v>
      </c>
      <c r="H66" s="37"/>
      <c r="I66" s="36"/>
      <c r="J66" s="36"/>
      <c r="K66" s="36"/>
      <c r="L66" s="36"/>
      <c r="M66" s="36"/>
      <c r="N66" s="36"/>
      <c r="O66" s="36"/>
      <c r="P66" s="36"/>
      <c r="Q66" s="382"/>
      <c r="R66" s="47"/>
      <c r="S66" s="383"/>
      <c r="T66" s="47"/>
      <c r="U66" s="47"/>
      <c r="V66" s="47"/>
      <c r="W66" s="47"/>
      <c r="X66" s="47"/>
      <c r="Y66" s="47"/>
    </row>
    <row r="67" spans="1:25" ht="26.25" hidden="1" x14ac:dyDescent="0.25">
      <c r="A67" s="355">
        <v>5053</v>
      </c>
      <c r="B67" s="354">
        <v>722000</v>
      </c>
      <c r="C67" s="18" t="s">
        <v>76</v>
      </c>
      <c r="D67" s="18"/>
      <c r="E67" s="19">
        <f>SUM(E68:E70)</f>
        <v>0</v>
      </c>
      <c r="F67" s="19"/>
      <c r="G67" s="19">
        <f t="shared" si="10"/>
        <v>0</v>
      </c>
      <c r="H67" s="19"/>
      <c r="I67" s="19">
        <f t="shared" ref="I67:Q67" si="15">SUM(I68:I70)</f>
        <v>0</v>
      </c>
      <c r="J67" s="19">
        <f t="shared" si="15"/>
        <v>0</v>
      </c>
      <c r="K67" s="19"/>
      <c r="L67" s="19">
        <f t="shared" si="15"/>
        <v>0</v>
      </c>
      <c r="M67" s="19"/>
      <c r="N67" s="19">
        <f t="shared" si="15"/>
        <v>0</v>
      </c>
      <c r="O67" s="19">
        <f t="shared" si="15"/>
        <v>0</v>
      </c>
      <c r="P67" s="19"/>
      <c r="Q67" s="366">
        <f t="shared" si="15"/>
        <v>0</v>
      </c>
      <c r="R67" s="64"/>
      <c r="S67" s="367"/>
      <c r="T67" s="64"/>
      <c r="U67" s="64"/>
      <c r="V67" s="64"/>
      <c r="W67" s="64"/>
      <c r="X67" s="64"/>
      <c r="Y67" s="64"/>
    </row>
    <row r="68" spans="1:25" ht="26.25" hidden="1" x14ac:dyDescent="0.25">
      <c r="A68" s="22">
        <v>5054</v>
      </c>
      <c r="B68" s="23">
        <v>722100</v>
      </c>
      <c r="C68" s="9" t="s">
        <v>77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382"/>
      <c r="R68" s="47"/>
      <c r="S68" s="383"/>
      <c r="T68" s="47"/>
      <c r="U68" s="47"/>
      <c r="V68" s="47"/>
      <c r="W68" s="47"/>
      <c r="X68" s="47"/>
      <c r="Y68" s="47"/>
    </row>
    <row r="69" spans="1:25" ht="26.25" hidden="1" x14ac:dyDescent="0.25">
      <c r="A69" s="22">
        <v>5055</v>
      </c>
      <c r="B69" s="23">
        <v>722200</v>
      </c>
      <c r="C69" s="9" t="s">
        <v>78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382"/>
      <c r="R69" s="47"/>
      <c r="S69" s="383"/>
      <c r="T69" s="47"/>
      <c r="U69" s="47"/>
      <c r="V69" s="47"/>
      <c r="W69" s="47"/>
      <c r="X69" s="47"/>
      <c r="Y69" s="47"/>
    </row>
    <row r="70" spans="1:25" ht="26.25" hidden="1" x14ac:dyDescent="0.25">
      <c r="A70" s="22">
        <v>5056</v>
      </c>
      <c r="B70" s="23">
        <v>722300</v>
      </c>
      <c r="C70" s="9" t="s">
        <v>79</v>
      </c>
      <c r="D70" s="9"/>
      <c r="E70" s="36"/>
      <c r="F70" s="36"/>
      <c r="G70" s="37">
        <f t="shared" si="10"/>
        <v>0</v>
      </c>
      <c r="H70" s="37"/>
      <c r="I70" s="36"/>
      <c r="J70" s="36"/>
      <c r="K70" s="36"/>
      <c r="L70" s="36"/>
      <c r="M70" s="36"/>
      <c r="N70" s="36"/>
      <c r="O70" s="36"/>
      <c r="P70" s="36"/>
      <c r="Q70" s="382"/>
      <c r="R70" s="47"/>
      <c r="S70" s="383"/>
      <c r="T70" s="47"/>
      <c r="U70" s="47"/>
      <c r="V70" s="47"/>
      <c r="W70" s="47"/>
      <c r="X70" s="47"/>
      <c r="Y70" s="47"/>
    </row>
    <row r="71" spans="1:25" hidden="1" x14ac:dyDescent="0.25">
      <c r="A71" s="546" t="s">
        <v>0</v>
      </c>
      <c r="B71" s="543" t="s">
        <v>1</v>
      </c>
      <c r="C71" s="542" t="s">
        <v>2</v>
      </c>
      <c r="D71" s="360"/>
      <c r="E71" s="544" t="s">
        <v>3</v>
      </c>
      <c r="F71" s="354"/>
      <c r="G71" s="544" t="s">
        <v>4</v>
      </c>
      <c r="H71" s="544"/>
      <c r="I71" s="544"/>
      <c r="J71" s="544"/>
      <c r="K71" s="544"/>
      <c r="L71" s="544"/>
      <c r="M71" s="544"/>
      <c r="N71" s="544"/>
      <c r="O71" s="544"/>
      <c r="P71" s="544"/>
      <c r="Q71" s="547"/>
      <c r="R71" s="61"/>
      <c r="S71" s="61"/>
      <c r="T71" s="61"/>
      <c r="U71" s="61"/>
      <c r="V71" s="61"/>
      <c r="W71" s="61"/>
      <c r="X71" s="61"/>
      <c r="Y71" s="61"/>
    </row>
    <row r="72" spans="1:25" hidden="1" x14ac:dyDescent="0.25">
      <c r="A72" s="546"/>
      <c r="B72" s="543"/>
      <c r="C72" s="542"/>
      <c r="D72" s="360"/>
      <c r="E72" s="544"/>
      <c r="F72" s="354"/>
      <c r="G72" s="548" t="s">
        <v>5</v>
      </c>
      <c r="H72" s="353"/>
      <c r="I72" s="544" t="s">
        <v>6</v>
      </c>
      <c r="J72" s="544"/>
      <c r="K72" s="544"/>
      <c r="L72" s="544"/>
      <c r="M72" s="544"/>
      <c r="N72" s="544"/>
      <c r="O72" s="544" t="s">
        <v>7</v>
      </c>
      <c r="P72" s="354"/>
      <c r="Q72" s="534" t="s">
        <v>8</v>
      </c>
      <c r="R72" s="61"/>
      <c r="S72" s="61"/>
      <c r="T72" s="61"/>
      <c r="U72" s="61"/>
      <c r="V72" s="61"/>
      <c r="W72" s="61"/>
      <c r="X72" s="61"/>
      <c r="Y72" s="61"/>
    </row>
    <row r="73" spans="1:25" ht="166.5" hidden="1" x14ac:dyDescent="0.25">
      <c r="A73" s="546"/>
      <c r="B73" s="543"/>
      <c r="C73" s="542"/>
      <c r="D73" s="360"/>
      <c r="E73" s="544"/>
      <c r="F73" s="354"/>
      <c r="G73" s="548"/>
      <c r="H73" s="353"/>
      <c r="I73" s="354" t="s">
        <v>9</v>
      </c>
      <c r="J73" s="354" t="s">
        <v>10</v>
      </c>
      <c r="K73" s="354"/>
      <c r="L73" s="354" t="s">
        <v>11</v>
      </c>
      <c r="M73" s="354"/>
      <c r="N73" s="354" t="s">
        <v>12</v>
      </c>
      <c r="O73" s="544"/>
      <c r="P73" s="354"/>
      <c r="Q73" s="534"/>
      <c r="R73" s="61"/>
      <c r="S73" s="364"/>
      <c r="T73" s="61"/>
      <c r="U73" s="61"/>
      <c r="V73" s="61"/>
      <c r="W73" s="61"/>
      <c r="X73" s="61"/>
      <c r="Y73" s="61"/>
    </row>
    <row r="74" spans="1:25" ht="26.25" hidden="1" x14ac:dyDescent="0.25">
      <c r="A74" s="31" t="s">
        <v>18</v>
      </c>
      <c r="B74" s="359" t="s">
        <v>19</v>
      </c>
      <c r="C74" s="359" t="s">
        <v>20</v>
      </c>
      <c r="D74" s="359"/>
      <c r="E74" s="33" t="s">
        <v>21</v>
      </c>
      <c r="F74" s="33"/>
      <c r="G74" s="33" t="s">
        <v>22</v>
      </c>
      <c r="H74" s="33"/>
      <c r="I74" s="33" t="s">
        <v>23</v>
      </c>
      <c r="J74" s="33" t="s">
        <v>24</v>
      </c>
      <c r="K74" s="33"/>
      <c r="L74" s="33" t="s">
        <v>25</v>
      </c>
      <c r="M74" s="33"/>
      <c r="N74" s="33" t="s">
        <v>26</v>
      </c>
      <c r="O74" s="33" t="s">
        <v>27</v>
      </c>
      <c r="P74" s="33"/>
      <c r="Q74" s="374" t="s">
        <v>28</v>
      </c>
      <c r="R74" s="375"/>
      <c r="S74" s="376"/>
      <c r="T74" s="375"/>
      <c r="U74" s="375"/>
      <c r="V74" s="375"/>
      <c r="W74" s="375"/>
      <c r="X74" s="375"/>
      <c r="Y74" s="375"/>
    </row>
    <row r="75" spans="1:25" ht="39" hidden="1" x14ac:dyDescent="0.25">
      <c r="A75" s="355">
        <v>5057</v>
      </c>
      <c r="B75" s="354">
        <v>730000</v>
      </c>
      <c r="C75" s="18" t="s">
        <v>80</v>
      </c>
      <c r="D75" s="18"/>
      <c r="E75" s="19">
        <f>E76+E79+E84</f>
        <v>0</v>
      </c>
      <c r="F75" s="19"/>
      <c r="G75" s="19">
        <f t="shared" si="10"/>
        <v>0</v>
      </c>
      <c r="H75" s="19"/>
      <c r="I75" s="19">
        <f t="shared" ref="I75:Q75" si="16">I76+I79+I84</f>
        <v>0</v>
      </c>
      <c r="J75" s="19">
        <f t="shared" si="16"/>
        <v>0</v>
      </c>
      <c r="K75" s="19"/>
      <c r="L75" s="19">
        <f t="shared" si="16"/>
        <v>0</v>
      </c>
      <c r="M75" s="19"/>
      <c r="N75" s="19">
        <f t="shared" si="16"/>
        <v>0</v>
      </c>
      <c r="O75" s="19">
        <f t="shared" si="16"/>
        <v>0</v>
      </c>
      <c r="P75" s="19"/>
      <c r="Q75" s="366">
        <f t="shared" si="16"/>
        <v>0</v>
      </c>
      <c r="R75" s="64"/>
      <c r="S75" s="367"/>
      <c r="T75" s="64"/>
      <c r="U75" s="64"/>
      <c r="V75" s="64"/>
      <c r="W75" s="64"/>
      <c r="X75" s="64"/>
      <c r="Y75" s="64"/>
    </row>
    <row r="76" spans="1:25" ht="26.25" hidden="1" x14ac:dyDescent="0.25">
      <c r="A76" s="355">
        <v>5058</v>
      </c>
      <c r="B76" s="354">
        <v>731000</v>
      </c>
      <c r="C76" s="18" t="s">
        <v>81</v>
      </c>
      <c r="D76" s="18"/>
      <c r="E76" s="19">
        <f>E77+E78</f>
        <v>0</v>
      </c>
      <c r="F76" s="19"/>
      <c r="G76" s="19">
        <f t="shared" si="10"/>
        <v>0</v>
      </c>
      <c r="H76" s="19"/>
      <c r="I76" s="19">
        <f t="shared" ref="I76:Q76" si="17">I77+I78</f>
        <v>0</v>
      </c>
      <c r="J76" s="19">
        <f t="shared" si="17"/>
        <v>0</v>
      </c>
      <c r="K76" s="19"/>
      <c r="L76" s="19">
        <f t="shared" si="17"/>
        <v>0</v>
      </c>
      <c r="M76" s="19"/>
      <c r="N76" s="19">
        <f t="shared" si="17"/>
        <v>0</v>
      </c>
      <c r="O76" s="19">
        <f t="shared" si="17"/>
        <v>0</v>
      </c>
      <c r="P76" s="19"/>
      <c r="Q76" s="366">
        <f t="shared" si="17"/>
        <v>0</v>
      </c>
      <c r="R76" s="64"/>
      <c r="S76" s="367"/>
      <c r="T76" s="64"/>
      <c r="U76" s="64"/>
      <c r="V76" s="64"/>
      <c r="W76" s="64"/>
      <c r="X76" s="64"/>
      <c r="Y76" s="64"/>
    </row>
    <row r="77" spans="1:25" ht="26.25" hidden="1" x14ac:dyDescent="0.25">
      <c r="A77" s="22">
        <v>5059</v>
      </c>
      <c r="B77" s="23">
        <v>731100</v>
      </c>
      <c r="C77" s="9" t="s">
        <v>82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382"/>
      <c r="R77" s="47"/>
      <c r="S77" s="383"/>
      <c r="T77" s="47"/>
      <c r="U77" s="47"/>
      <c r="V77" s="47"/>
      <c r="W77" s="47"/>
      <c r="X77" s="47"/>
      <c r="Y77" s="47"/>
    </row>
    <row r="78" spans="1:25" ht="26.25" hidden="1" x14ac:dyDescent="0.25">
      <c r="A78" s="22">
        <v>5060</v>
      </c>
      <c r="B78" s="23">
        <v>731200</v>
      </c>
      <c r="C78" s="9" t="s">
        <v>83</v>
      </c>
      <c r="D78" s="9"/>
      <c r="E78" s="36"/>
      <c r="F78" s="36"/>
      <c r="G78" s="37">
        <f t="shared" si="10"/>
        <v>0</v>
      </c>
      <c r="H78" s="37"/>
      <c r="I78" s="36"/>
      <c r="J78" s="36"/>
      <c r="K78" s="36"/>
      <c r="L78" s="36"/>
      <c r="M78" s="36"/>
      <c r="N78" s="36"/>
      <c r="O78" s="36"/>
      <c r="P78" s="36"/>
      <c r="Q78" s="382"/>
      <c r="R78" s="47"/>
      <c r="S78" s="383"/>
      <c r="T78" s="47"/>
      <c r="U78" s="47"/>
      <c r="V78" s="47"/>
      <c r="W78" s="47"/>
      <c r="X78" s="47"/>
      <c r="Y78" s="47"/>
    </row>
    <row r="79" spans="1:25" ht="51.75" hidden="1" x14ac:dyDescent="0.25">
      <c r="A79" s="355">
        <v>5061</v>
      </c>
      <c r="B79" s="354">
        <v>732000</v>
      </c>
      <c r="C79" s="18" t="s">
        <v>84</v>
      </c>
      <c r="D79" s="18"/>
      <c r="E79" s="19">
        <f>E80+E81+E82+E83</f>
        <v>0</v>
      </c>
      <c r="F79" s="19"/>
      <c r="G79" s="19">
        <f t="shared" si="10"/>
        <v>0</v>
      </c>
      <c r="H79" s="19"/>
      <c r="I79" s="19">
        <f t="shared" ref="I79:Q79" si="18">I80+I81+I82+I83</f>
        <v>0</v>
      </c>
      <c r="J79" s="19">
        <f t="shared" si="18"/>
        <v>0</v>
      </c>
      <c r="K79" s="19"/>
      <c r="L79" s="19">
        <f t="shared" si="18"/>
        <v>0</v>
      </c>
      <c r="M79" s="19"/>
      <c r="N79" s="19">
        <f t="shared" si="18"/>
        <v>0</v>
      </c>
      <c r="O79" s="19">
        <f t="shared" si="18"/>
        <v>0</v>
      </c>
      <c r="P79" s="19"/>
      <c r="Q79" s="366">
        <f t="shared" si="18"/>
        <v>0</v>
      </c>
      <c r="R79" s="64"/>
      <c r="S79" s="367"/>
      <c r="T79" s="64"/>
      <c r="U79" s="64"/>
      <c r="V79" s="64"/>
      <c r="W79" s="64"/>
      <c r="X79" s="64"/>
      <c r="Y79" s="64"/>
    </row>
    <row r="80" spans="1:25" ht="26.25" hidden="1" x14ac:dyDescent="0.25">
      <c r="A80" s="22">
        <v>5062</v>
      </c>
      <c r="B80" s="23">
        <v>732100</v>
      </c>
      <c r="C80" s="9" t="s">
        <v>85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382"/>
      <c r="R80" s="47"/>
      <c r="S80" s="383"/>
      <c r="T80" s="47"/>
      <c r="U80" s="47"/>
      <c r="V80" s="47"/>
      <c r="W80" s="47"/>
      <c r="X80" s="47"/>
      <c r="Y80" s="47"/>
    </row>
    <row r="81" spans="1:25" ht="26.25" hidden="1" x14ac:dyDescent="0.25">
      <c r="A81" s="22">
        <v>5063</v>
      </c>
      <c r="B81" s="23">
        <v>732200</v>
      </c>
      <c r="C81" s="9" t="s">
        <v>86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382"/>
      <c r="R81" s="47"/>
      <c r="S81" s="383"/>
      <c r="T81" s="47"/>
      <c r="U81" s="47"/>
      <c r="V81" s="47"/>
      <c r="W81" s="47"/>
      <c r="X81" s="47"/>
      <c r="Y81" s="47"/>
    </row>
    <row r="82" spans="1:25" hidden="1" x14ac:dyDescent="0.25">
      <c r="A82" s="22">
        <v>5064</v>
      </c>
      <c r="B82" s="23">
        <v>732300</v>
      </c>
      <c r="C82" s="9" t="s">
        <v>87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382"/>
      <c r="R82" s="47"/>
      <c r="S82" s="383"/>
      <c r="T82" s="47"/>
      <c r="U82" s="47"/>
      <c r="V82" s="47"/>
      <c r="W82" s="47"/>
      <c r="X82" s="47"/>
      <c r="Y82" s="47"/>
    </row>
    <row r="83" spans="1:25" hidden="1" x14ac:dyDescent="0.25">
      <c r="A83" s="22">
        <v>5065</v>
      </c>
      <c r="B83" s="23">
        <v>732400</v>
      </c>
      <c r="C83" s="9" t="s">
        <v>88</v>
      </c>
      <c r="D83" s="9"/>
      <c r="E83" s="36"/>
      <c r="F83" s="36"/>
      <c r="G83" s="37">
        <f t="shared" si="10"/>
        <v>0</v>
      </c>
      <c r="H83" s="37"/>
      <c r="I83" s="36"/>
      <c r="J83" s="36"/>
      <c r="K83" s="36"/>
      <c r="L83" s="36"/>
      <c r="M83" s="36"/>
      <c r="N83" s="36"/>
      <c r="O83" s="36"/>
      <c r="P83" s="36"/>
      <c r="Q83" s="382"/>
      <c r="R83" s="47"/>
      <c r="S83" s="383"/>
      <c r="T83" s="47"/>
      <c r="U83" s="47"/>
      <c r="V83" s="47"/>
      <c r="W83" s="47"/>
      <c r="X83" s="47"/>
      <c r="Y83" s="47"/>
    </row>
    <row r="84" spans="1:25" ht="26.25" hidden="1" x14ac:dyDescent="0.25">
      <c r="A84" s="355">
        <v>5066</v>
      </c>
      <c r="B84" s="354">
        <v>733000</v>
      </c>
      <c r="C84" s="18" t="s">
        <v>89</v>
      </c>
      <c r="D84" s="18"/>
      <c r="E84" s="19">
        <f>E85+E86</f>
        <v>0</v>
      </c>
      <c r="F84" s="19"/>
      <c r="G84" s="19">
        <f t="shared" si="10"/>
        <v>0</v>
      </c>
      <c r="H84" s="19"/>
      <c r="I84" s="19">
        <f t="shared" ref="I84:Q84" si="19">I85+I86</f>
        <v>0</v>
      </c>
      <c r="J84" s="19">
        <f t="shared" si="19"/>
        <v>0</v>
      </c>
      <c r="K84" s="19"/>
      <c r="L84" s="19">
        <f t="shared" si="19"/>
        <v>0</v>
      </c>
      <c r="M84" s="19"/>
      <c r="N84" s="19">
        <f t="shared" si="19"/>
        <v>0</v>
      </c>
      <c r="O84" s="19">
        <f t="shared" si="19"/>
        <v>0</v>
      </c>
      <c r="P84" s="19"/>
      <c r="Q84" s="366">
        <f t="shared" si="19"/>
        <v>0</v>
      </c>
      <c r="R84" s="64"/>
      <c r="S84" s="367"/>
      <c r="T84" s="64"/>
      <c r="U84" s="64"/>
      <c r="V84" s="64"/>
      <c r="W84" s="64"/>
      <c r="X84" s="64"/>
      <c r="Y84" s="64"/>
    </row>
    <row r="85" spans="1:25" ht="26.25" hidden="1" x14ac:dyDescent="0.25">
      <c r="A85" s="22">
        <v>5067</v>
      </c>
      <c r="B85" s="23">
        <v>733100</v>
      </c>
      <c r="C85" s="9" t="s">
        <v>90</v>
      </c>
      <c r="D85" s="9"/>
      <c r="E85" s="36"/>
      <c r="F85" s="36"/>
      <c r="G85" s="37">
        <f t="shared" ref="G85:G120" si="20">SUM(I85:Q85)</f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382"/>
      <c r="R85" s="47"/>
      <c r="S85" s="383"/>
      <c r="T85" s="47"/>
      <c r="U85" s="47"/>
      <c r="V85" s="47"/>
      <c r="W85" s="47"/>
      <c r="X85" s="47"/>
      <c r="Y85" s="47"/>
    </row>
    <row r="86" spans="1:25" ht="26.25" hidden="1" x14ac:dyDescent="0.25">
      <c r="A86" s="22">
        <v>5068</v>
      </c>
      <c r="B86" s="23">
        <v>733200</v>
      </c>
      <c r="C86" s="9" t="s">
        <v>91</v>
      </c>
      <c r="D86" s="9"/>
      <c r="E86" s="36"/>
      <c r="F86" s="36"/>
      <c r="G86" s="37">
        <f t="shared" si="20"/>
        <v>0</v>
      </c>
      <c r="H86" s="37"/>
      <c r="I86" s="36"/>
      <c r="J86" s="36"/>
      <c r="K86" s="36"/>
      <c r="L86" s="36"/>
      <c r="M86" s="36"/>
      <c r="N86" s="36"/>
      <c r="O86" s="36"/>
      <c r="P86" s="36"/>
      <c r="Q86" s="382"/>
      <c r="R86" s="47"/>
      <c r="S86" s="383"/>
      <c r="T86" s="47"/>
      <c r="U86" s="47"/>
      <c r="V86" s="47"/>
      <c r="W86" s="47"/>
      <c r="X86" s="47"/>
      <c r="Y86" s="47"/>
    </row>
    <row r="87" spans="1:25" ht="26.25" x14ac:dyDescent="0.25">
      <c r="A87" s="355">
        <v>5069</v>
      </c>
      <c r="B87" s="354">
        <v>740000</v>
      </c>
      <c r="C87" s="18" t="s">
        <v>92</v>
      </c>
      <c r="D87" s="18"/>
      <c r="E87" s="19">
        <f>E88+E95+E100+E111+E114</f>
        <v>19095</v>
      </c>
      <c r="F87" s="19">
        <f>F88+F95+F100+F111+F114+F121</f>
        <v>14566</v>
      </c>
      <c r="G87" s="19">
        <f t="shared" ref="G87:Q87" si="21">G88+G95+G100+G111+G114</f>
        <v>14780</v>
      </c>
      <c r="H87" s="19">
        <f>H88+H95+H100+H111+H114</f>
        <v>1000</v>
      </c>
      <c r="I87" s="19">
        <f t="shared" si="21"/>
        <v>1165</v>
      </c>
      <c r="J87" s="19">
        <f t="shared" si="21"/>
        <v>0</v>
      </c>
      <c r="K87" s="19">
        <f t="shared" si="21"/>
        <v>0</v>
      </c>
      <c r="L87" s="19">
        <f t="shared" si="21"/>
        <v>0</v>
      </c>
      <c r="M87" s="19">
        <f>M88+M95+M121</f>
        <v>659</v>
      </c>
      <c r="N87" s="19">
        <f t="shared" si="21"/>
        <v>1130</v>
      </c>
      <c r="O87" s="19">
        <f t="shared" si="21"/>
        <v>0</v>
      </c>
      <c r="P87" s="19">
        <f>P88+P95+P100+P111+P114+P121</f>
        <v>12907</v>
      </c>
      <c r="Q87" s="366">
        <f t="shared" si="21"/>
        <v>12485</v>
      </c>
      <c r="R87" s="64"/>
      <c r="S87" s="367">
        <f>S88+S95+S121</f>
        <v>1324</v>
      </c>
      <c r="T87" s="64" t="e">
        <f>F87+F123+F127</f>
        <v>#REF!</v>
      </c>
      <c r="U87" s="64"/>
      <c r="V87" s="64"/>
      <c r="W87" s="64"/>
      <c r="X87" s="64"/>
      <c r="Y87" s="64"/>
    </row>
    <row r="88" spans="1:25" ht="26.25" x14ac:dyDescent="0.25">
      <c r="A88" s="355">
        <v>5070</v>
      </c>
      <c r="B88" s="354">
        <v>741000</v>
      </c>
      <c r="C88" s="18" t="s">
        <v>93</v>
      </c>
      <c r="D88" s="18"/>
      <c r="E88" s="19">
        <f>SUM(E89:E94)</f>
        <v>1130</v>
      </c>
      <c r="F88" s="19">
        <f t="shared" ref="F88:S88" si="22">SUM(F89:F94)</f>
        <v>659</v>
      </c>
      <c r="G88" s="19">
        <f>SUM(G89:G94)</f>
        <v>1130</v>
      </c>
      <c r="H88" s="19">
        <f t="shared" si="22"/>
        <v>0</v>
      </c>
      <c r="I88" s="19">
        <f t="shared" si="22"/>
        <v>0</v>
      </c>
      <c r="J88" s="19">
        <f t="shared" si="22"/>
        <v>0</v>
      </c>
      <c r="K88" s="19">
        <f t="shared" si="22"/>
        <v>0</v>
      </c>
      <c r="L88" s="19">
        <f t="shared" si="22"/>
        <v>0</v>
      </c>
      <c r="M88" s="19">
        <f t="shared" si="22"/>
        <v>659</v>
      </c>
      <c r="N88" s="19">
        <f t="shared" si="22"/>
        <v>1130</v>
      </c>
      <c r="O88" s="19">
        <f t="shared" si="22"/>
        <v>0</v>
      </c>
      <c r="P88" s="19">
        <f t="shared" si="22"/>
        <v>0</v>
      </c>
      <c r="Q88" s="366">
        <f t="shared" si="22"/>
        <v>0</v>
      </c>
      <c r="R88" s="64"/>
      <c r="S88" s="367">
        <f t="shared" si="22"/>
        <v>659</v>
      </c>
      <c r="T88" s="64"/>
      <c r="U88" s="64"/>
      <c r="V88" s="64"/>
      <c r="W88" s="64"/>
      <c r="X88" s="64"/>
      <c r="Y88" s="64"/>
    </row>
    <row r="89" spans="1:25" hidden="1" x14ac:dyDescent="0.25">
      <c r="A89" s="22">
        <v>5071</v>
      </c>
      <c r="B89" s="23">
        <v>741100</v>
      </c>
      <c r="C89" s="9" t="s">
        <v>94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382"/>
      <c r="R89" s="47"/>
      <c r="S89" s="383"/>
      <c r="T89" s="47"/>
      <c r="U89" s="47"/>
      <c r="V89" s="47"/>
      <c r="W89" s="47"/>
      <c r="X89" s="47"/>
      <c r="Y89" s="47"/>
    </row>
    <row r="90" spans="1:25" hidden="1" x14ac:dyDescent="0.25">
      <c r="A90" s="22">
        <v>5072</v>
      </c>
      <c r="B90" s="23">
        <v>741200</v>
      </c>
      <c r="C90" s="9" t="s">
        <v>95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382"/>
      <c r="R90" s="47"/>
      <c r="S90" s="383"/>
      <c r="T90" s="47"/>
      <c r="U90" s="47"/>
      <c r="V90" s="47"/>
      <c r="W90" s="47"/>
      <c r="X90" s="47"/>
      <c r="Y90" s="47"/>
    </row>
    <row r="91" spans="1:25" ht="26.25" hidden="1" x14ac:dyDescent="0.25">
      <c r="A91" s="22">
        <v>5073</v>
      </c>
      <c r="B91" s="23">
        <v>741300</v>
      </c>
      <c r="C91" s="9" t="s">
        <v>96</v>
      </c>
      <c r="D91" s="9"/>
      <c r="E91" s="36"/>
      <c r="F91" s="36"/>
      <c r="G91" s="37">
        <f t="shared" si="20"/>
        <v>0</v>
      </c>
      <c r="H91" s="37"/>
      <c r="I91" s="36"/>
      <c r="J91" s="36"/>
      <c r="K91" s="36"/>
      <c r="L91" s="36"/>
      <c r="M91" s="36"/>
      <c r="N91" s="36"/>
      <c r="O91" s="36"/>
      <c r="P91" s="36"/>
      <c r="Q91" s="382"/>
      <c r="R91" s="47"/>
      <c r="S91" s="383"/>
      <c r="T91" s="47"/>
      <c r="U91" s="47"/>
      <c r="V91" s="47"/>
      <c r="W91" s="47"/>
      <c r="X91" s="47"/>
      <c r="Y91" s="47"/>
    </row>
    <row r="92" spans="1:25" ht="26.25" x14ac:dyDescent="0.25">
      <c r="A92" s="22">
        <v>5074</v>
      </c>
      <c r="B92" s="23">
        <v>741400</v>
      </c>
      <c r="C92" s="9" t="s">
        <v>97</v>
      </c>
      <c r="D92" s="9"/>
      <c r="E92" s="20">
        <v>1130</v>
      </c>
      <c r="F92" s="38">
        <f>H92+K92+M92+P92</f>
        <v>659</v>
      </c>
      <c r="G92" s="37">
        <f>SUM(I92:Q92)-K92-M92-P92</f>
        <v>1130</v>
      </c>
      <c r="H92" s="37"/>
      <c r="I92" s="38"/>
      <c r="J92" s="38"/>
      <c r="K92" s="38"/>
      <c r="L92" s="38"/>
      <c r="M92" s="38">
        <f>1500-841</f>
        <v>659</v>
      </c>
      <c r="N92" s="38">
        <v>1130</v>
      </c>
      <c r="O92" s="38"/>
      <c r="P92" s="38"/>
      <c r="Q92" s="384"/>
      <c r="R92" s="385"/>
      <c r="S92" s="386">
        <f>1500-841</f>
        <v>659</v>
      </c>
      <c r="T92" s="385"/>
      <c r="U92" s="385"/>
      <c r="V92" s="385"/>
      <c r="W92" s="385"/>
      <c r="X92" s="385"/>
      <c r="Y92" s="385"/>
    </row>
    <row r="93" spans="1:25" hidden="1" x14ac:dyDescent="0.25">
      <c r="A93" s="22">
        <v>5075</v>
      </c>
      <c r="B93" s="23">
        <v>741500</v>
      </c>
      <c r="C93" s="9" t="s">
        <v>98</v>
      </c>
      <c r="D93" s="9"/>
      <c r="E93" s="36"/>
      <c r="F93" s="20">
        <f t="shared" ref="F93:F139" si="23">H93+K93+M93+P93</f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382"/>
      <c r="R93" s="47"/>
      <c r="S93" s="383"/>
      <c r="T93" s="47"/>
      <c r="U93" s="47"/>
      <c r="V93" s="47"/>
      <c r="W93" s="47"/>
      <c r="X93" s="47"/>
      <c r="Y93" s="47"/>
    </row>
    <row r="94" spans="1:25" ht="26.25" hidden="1" x14ac:dyDescent="0.25">
      <c r="A94" s="22">
        <v>5076</v>
      </c>
      <c r="B94" s="23">
        <v>741600</v>
      </c>
      <c r="C94" s="9" t="s">
        <v>99</v>
      </c>
      <c r="D94" s="9"/>
      <c r="E94" s="36"/>
      <c r="F94" s="20">
        <f t="shared" si="23"/>
        <v>0</v>
      </c>
      <c r="G94" s="37">
        <f t="shared" si="20"/>
        <v>0</v>
      </c>
      <c r="H94" s="37"/>
      <c r="I94" s="36"/>
      <c r="J94" s="36"/>
      <c r="K94" s="36"/>
      <c r="L94" s="36"/>
      <c r="M94" s="36"/>
      <c r="N94" s="36"/>
      <c r="O94" s="36"/>
      <c r="P94" s="36"/>
      <c r="Q94" s="382"/>
      <c r="R94" s="47"/>
      <c r="S94" s="383"/>
      <c r="T94" s="47"/>
      <c r="U94" s="47"/>
      <c r="V94" s="47"/>
      <c r="W94" s="47"/>
      <c r="X94" s="47"/>
      <c r="Y94" s="47"/>
    </row>
    <row r="95" spans="1:25" ht="39" x14ac:dyDescent="0.25">
      <c r="A95" s="355">
        <v>5077</v>
      </c>
      <c r="B95" s="354">
        <v>742000</v>
      </c>
      <c r="C95" s="18" t="s">
        <v>100</v>
      </c>
      <c r="D95" s="18"/>
      <c r="E95" s="19">
        <f>SUM(E96:E99)</f>
        <v>13865</v>
      </c>
      <c r="F95" s="20">
        <f>SUM(F96:F99)</f>
        <v>13807</v>
      </c>
      <c r="G95" s="19">
        <f t="shared" ref="G95:S95" si="24">SUM(G96:G99)</f>
        <v>13236</v>
      </c>
      <c r="H95" s="19">
        <f t="shared" si="24"/>
        <v>1000</v>
      </c>
      <c r="I95" s="19">
        <f t="shared" si="24"/>
        <v>1165</v>
      </c>
      <c r="J95" s="19">
        <f t="shared" si="24"/>
        <v>0</v>
      </c>
      <c r="K95" s="19">
        <f t="shared" si="24"/>
        <v>0</v>
      </c>
      <c r="L95" s="19">
        <f t="shared" si="24"/>
        <v>0</v>
      </c>
      <c r="M95" s="19">
        <f t="shared" si="24"/>
        <v>0</v>
      </c>
      <c r="N95" s="19">
        <f t="shared" si="24"/>
        <v>0</v>
      </c>
      <c r="O95" s="19">
        <f t="shared" si="24"/>
        <v>0</v>
      </c>
      <c r="P95" s="19">
        <f t="shared" si="24"/>
        <v>12807</v>
      </c>
      <c r="Q95" s="366">
        <f t="shared" si="24"/>
        <v>12071</v>
      </c>
      <c r="R95" s="64"/>
      <c r="S95" s="367">
        <f t="shared" si="24"/>
        <v>0</v>
      </c>
      <c r="T95" s="64"/>
      <c r="U95" s="64"/>
      <c r="V95" s="64"/>
      <c r="W95" s="64"/>
      <c r="X95" s="64"/>
      <c r="Y95" s="64"/>
    </row>
    <row r="96" spans="1:25" ht="26.25" x14ac:dyDescent="0.25">
      <c r="A96" s="22">
        <v>5078</v>
      </c>
      <c r="B96" s="23">
        <v>742100</v>
      </c>
      <c r="C96" s="9" t="s">
        <v>508</v>
      </c>
      <c r="D96" s="9"/>
      <c r="E96" s="36">
        <v>5000</v>
      </c>
      <c r="F96" s="38">
        <f t="shared" si="23"/>
        <v>5107</v>
      </c>
      <c r="G96" s="37">
        <f>SUM(I96:Q96)-K96-M96-P96</f>
        <v>4891</v>
      </c>
      <c r="H96" s="37"/>
      <c r="I96" s="36"/>
      <c r="J96" s="36"/>
      <c r="K96" s="36"/>
      <c r="L96" s="36"/>
      <c r="M96" s="36"/>
      <c r="N96" s="36"/>
      <c r="O96" s="36"/>
      <c r="P96" s="36">
        <f>5000+107</f>
        <v>5107</v>
      </c>
      <c r="Q96" s="382">
        <v>4891</v>
      </c>
      <c r="R96" s="47"/>
      <c r="S96" s="383"/>
      <c r="T96" s="47"/>
      <c r="U96" s="47"/>
      <c r="V96" s="47"/>
      <c r="W96" s="47"/>
      <c r="X96" s="47"/>
      <c r="Y96" s="47"/>
    </row>
    <row r="97" spans="1:25" hidden="1" x14ac:dyDescent="0.25">
      <c r="A97" s="22">
        <v>5079</v>
      </c>
      <c r="B97" s="23">
        <v>742200</v>
      </c>
      <c r="C97" s="9" t="s">
        <v>102</v>
      </c>
      <c r="D97" s="9"/>
      <c r="E97" s="36"/>
      <c r="F97" s="20">
        <f t="shared" si="23"/>
        <v>0</v>
      </c>
      <c r="G97" s="37">
        <f t="shared" ref="G97" si="25">SUM(I97:Q97)-H97-K97-M97-P97</f>
        <v>0</v>
      </c>
      <c r="H97" s="37"/>
      <c r="I97" s="36"/>
      <c r="J97" s="36"/>
      <c r="K97" s="36"/>
      <c r="L97" s="36"/>
      <c r="M97" s="36"/>
      <c r="N97" s="36"/>
      <c r="O97" s="36"/>
      <c r="P97" s="36"/>
      <c r="Q97" s="382"/>
      <c r="R97" s="47"/>
      <c r="S97" s="383"/>
      <c r="T97" s="47"/>
      <c r="U97" s="47"/>
      <c r="V97" s="47"/>
      <c r="W97" s="47"/>
      <c r="X97" s="47"/>
      <c r="Y97" s="47"/>
    </row>
    <row r="98" spans="1:25" ht="39" x14ac:dyDescent="0.25">
      <c r="A98" s="22">
        <v>5080</v>
      </c>
      <c r="B98" s="23">
        <v>742300</v>
      </c>
      <c r="C98" s="9" t="s">
        <v>103</v>
      </c>
      <c r="D98" s="9"/>
      <c r="E98" s="36">
        <v>8865</v>
      </c>
      <c r="F98" s="38">
        <f t="shared" si="23"/>
        <v>8700</v>
      </c>
      <c r="G98" s="37">
        <f>SUM(I98:Q98)-K98-M98-P98</f>
        <v>8345</v>
      </c>
      <c r="H98" s="37">
        <v>1000</v>
      </c>
      <c r="I98" s="36">
        <v>1165</v>
      </c>
      <c r="J98" s="36"/>
      <c r="K98" s="36"/>
      <c r="L98" s="36"/>
      <c r="M98" s="36"/>
      <c r="N98" s="36"/>
      <c r="O98" s="36"/>
      <c r="P98" s="36">
        <v>7700</v>
      </c>
      <c r="Q98" s="382">
        <v>7180</v>
      </c>
      <c r="R98" s="47"/>
      <c r="S98" s="383"/>
      <c r="T98" s="47"/>
      <c r="U98" s="47"/>
      <c r="V98" s="47"/>
      <c r="W98" s="47"/>
      <c r="X98" s="47"/>
      <c r="Y98" s="47"/>
    </row>
    <row r="99" spans="1:25" ht="26.25" hidden="1" x14ac:dyDescent="0.25">
      <c r="A99" s="22">
        <v>5081</v>
      </c>
      <c r="B99" s="23">
        <v>742400</v>
      </c>
      <c r="C99" s="9" t="s">
        <v>104</v>
      </c>
      <c r="D99" s="9"/>
      <c r="E99" s="36"/>
      <c r="F99" s="38">
        <f t="shared" si="23"/>
        <v>0</v>
      </c>
      <c r="G99" s="37">
        <f t="shared" si="20"/>
        <v>0</v>
      </c>
      <c r="H99" s="37"/>
      <c r="I99" s="36"/>
      <c r="J99" s="36"/>
      <c r="K99" s="36"/>
      <c r="L99" s="36"/>
      <c r="M99" s="36"/>
      <c r="N99" s="36"/>
      <c r="O99" s="36"/>
      <c r="P99" s="36"/>
      <c r="Q99" s="382"/>
      <c r="R99" s="47"/>
      <c r="S99" s="383"/>
      <c r="T99" s="47"/>
      <c r="U99" s="47"/>
      <c r="V99" s="47"/>
      <c r="W99" s="47"/>
      <c r="X99" s="47"/>
      <c r="Y99" s="47"/>
    </row>
    <row r="100" spans="1:25" ht="39" hidden="1" x14ac:dyDescent="0.25">
      <c r="A100" s="355">
        <v>5082</v>
      </c>
      <c r="B100" s="354">
        <v>743000</v>
      </c>
      <c r="C100" s="18" t="s">
        <v>105</v>
      </c>
      <c r="D100" s="18"/>
      <c r="E100" s="19">
        <f>SUM(E105:E110)</f>
        <v>0</v>
      </c>
      <c r="F100" s="38">
        <f t="shared" si="23"/>
        <v>0</v>
      </c>
      <c r="G100" s="19">
        <f t="shared" si="20"/>
        <v>0</v>
      </c>
      <c r="H100" s="19"/>
      <c r="I100" s="19">
        <f t="shared" ref="I100:Q100" si="26">SUM(I105:I110)</f>
        <v>0</v>
      </c>
      <c r="J100" s="19">
        <f t="shared" si="26"/>
        <v>0</v>
      </c>
      <c r="K100" s="19"/>
      <c r="L100" s="19">
        <f t="shared" si="26"/>
        <v>0</v>
      </c>
      <c r="M100" s="19"/>
      <c r="N100" s="19">
        <f t="shared" si="26"/>
        <v>0</v>
      </c>
      <c r="O100" s="19">
        <f t="shared" si="26"/>
        <v>0</v>
      </c>
      <c r="P100" s="19"/>
      <c r="Q100" s="366">
        <f t="shared" si="26"/>
        <v>0</v>
      </c>
      <c r="R100" s="64"/>
      <c r="S100" s="367"/>
      <c r="T100" s="64"/>
      <c r="U100" s="64"/>
      <c r="V100" s="64"/>
      <c r="W100" s="64"/>
      <c r="X100" s="64"/>
      <c r="Y100" s="64"/>
    </row>
    <row r="101" spans="1:25" hidden="1" x14ac:dyDescent="0.25">
      <c r="A101" s="546" t="s">
        <v>0</v>
      </c>
      <c r="B101" s="543" t="s">
        <v>1</v>
      </c>
      <c r="C101" s="542" t="s">
        <v>2</v>
      </c>
      <c r="D101" s="360"/>
      <c r="E101" s="544" t="s">
        <v>3</v>
      </c>
      <c r="F101" s="38">
        <f t="shared" si="23"/>
        <v>0</v>
      </c>
      <c r="G101" s="544" t="s">
        <v>4</v>
      </c>
      <c r="H101" s="544"/>
      <c r="I101" s="544"/>
      <c r="J101" s="544"/>
      <c r="K101" s="544"/>
      <c r="L101" s="544"/>
      <c r="M101" s="544"/>
      <c r="N101" s="544"/>
      <c r="O101" s="544"/>
      <c r="P101" s="544"/>
      <c r="Q101" s="547"/>
      <c r="R101" s="61"/>
      <c r="S101" s="61"/>
      <c r="T101" s="61"/>
      <c r="U101" s="61"/>
      <c r="V101" s="61"/>
      <c r="W101" s="61"/>
      <c r="X101" s="61"/>
      <c r="Y101" s="61"/>
    </row>
    <row r="102" spans="1:25" hidden="1" x14ac:dyDescent="0.25">
      <c r="A102" s="546"/>
      <c r="B102" s="543"/>
      <c r="C102" s="542"/>
      <c r="D102" s="360"/>
      <c r="E102" s="544"/>
      <c r="F102" s="38">
        <f t="shared" si="23"/>
        <v>0</v>
      </c>
      <c r="G102" s="548" t="s">
        <v>5</v>
      </c>
      <c r="H102" s="353"/>
      <c r="I102" s="544" t="s">
        <v>6</v>
      </c>
      <c r="J102" s="544"/>
      <c r="K102" s="544"/>
      <c r="L102" s="544"/>
      <c r="M102" s="544"/>
      <c r="N102" s="544"/>
      <c r="O102" s="544" t="s">
        <v>7</v>
      </c>
      <c r="P102" s="354"/>
      <c r="Q102" s="534" t="s">
        <v>8</v>
      </c>
      <c r="R102" s="61"/>
      <c r="S102" s="61"/>
      <c r="T102" s="61"/>
      <c r="U102" s="61"/>
      <c r="V102" s="61"/>
      <c r="W102" s="61"/>
      <c r="X102" s="61"/>
      <c r="Y102" s="61"/>
    </row>
    <row r="103" spans="1:25" ht="166.5" hidden="1" x14ac:dyDescent="0.25">
      <c r="A103" s="546"/>
      <c r="B103" s="543"/>
      <c r="C103" s="542"/>
      <c r="D103" s="360"/>
      <c r="E103" s="544"/>
      <c r="F103" s="38">
        <f t="shared" si="23"/>
        <v>0</v>
      </c>
      <c r="G103" s="548"/>
      <c r="H103" s="353"/>
      <c r="I103" s="354" t="s">
        <v>9</v>
      </c>
      <c r="J103" s="354" t="s">
        <v>10</v>
      </c>
      <c r="K103" s="354"/>
      <c r="L103" s="354" t="s">
        <v>11</v>
      </c>
      <c r="M103" s="354"/>
      <c r="N103" s="354" t="s">
        <v>12</v>
      </c>
      <c r="O103" s="544"/>
      <c r="P103" s="354"/>
      <c r="Q103" s="534"/>
      <c r="R103" s="61"/>
      <c r="S103" s="364"/>
      <c r="T103" s="61"/>
      <c r="U103" s="61"/>
      <c r="V103" s="61"/>
      <c r="W103" s="61"/>
      <c r="X103" s="61"/>
      <c r="Y103" s="61"/>
    </row>
    <row r="104" spans="1:25" ht="26.25" hidden="1" x14ac:dyDescent="0.25">
      <c r="A104" s="31" t="s">
        <v>18</v>
      </c>
      <c r="B104" s="359" t="s">
        <v>19</v>
      </c>
      <c r="C104" s="359" t="s">
        <v>20</v>
      </c>
      <c r="D104" s="359"/>
      <c r="E104" s="33" t="s">
        <v>21</v>
      </c>
      <c r="F104" s="38">
        <f t="shared" si="23"/>
        <v>0</v>
      </c>
      <c r="G104" s="33" t="s">
        <v>22</v>
      </c>
      <c r="H104" s="33"/>
      <c r="I104" s="33" t="s">
        <v>23</v>
      </c>
      <c r="J104" s="33" t="s">
        <v>24</v>
      </c>
      <c r="K104" s="33"/>
      <c r="L104" s="33" t="s">
        <v>25</v>
      </c>
      <c r="M104" s="33"/>
      <c r="N104" s="33" t="s">
        <v>26</v>
      </c>
      <c r="O104" s="33" t="s">
        <v>27</v>
      </c>
      <c r="P104" s="33"/>
      <c r="Q104" s="374" t="s">
        <v>28</v>
      </c>
      <c r="R104" s="375"/>
      <c r="S104" s="376"/>
      <c r="T104" s="375"/>
      <c r="U104" s="375"/>
      <c r="V104" s="375"/>
      <c r="W104" s="375"/>
      <c r="X104" s="375"/>
      <c r="Y104" s="375"/>
    </row>
    <row r="105" spans="1:25" ht="26.25" hidden="1" x14ac:dyDescent="0.25">
      <c r="A105" s="22">
        <v>5083</v>
      </c>
      <c r="B105" s="23">
        <v>743100</v>
      </c>
      <c r="C105" s="9" t="s">
        <v>106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382"/>
      <c r="R105" s="47"/>
      <c r="S105" s="383"/>
      <c r="T105" s="47"/>
      <c r="U105" s="47"/>
      <c r="V105" s="47"/>
      <c r="W105" s="47"/>
      <c r="X105" s="47"/>
      <c r="Y105" s="47"/>
    </row>
    <row r="106" spans="1:25" ht="26.25" hidden="1" x14ac:dyDescent="0.25">
      <c r="A106" s="22">
        <v>5084</v>
      </c>
      <c r="B106" s="23">
        <v>743200</v>
      </c>
      <c r="C106" s="9" t="s">
        <v>107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382"/>
      <c r="R106" s="47"/>
      <c r="S106" s="383"/>
      <c r="T106" s="47"/>
      <c r="U106" s="47"/>
      <c r="V106" s="47"/>
      <c r="W106" s="47"/>
      <c r="X106" s="47"/>
      <c r="Y106" s="47"/>
    </row>
    <row r="107" spans="1:25" ht="26.25" hidden="1" x14ac:dyDescent="0.25">
      <c r="A107" s="22">
        <v>5085</v>
      </c>
      <c r="B107" s="23">
        <v>743300</v>
      </c>
      <c r="C107" s="9" t="s">
        <v>108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382"/>
      <c r="R107" s="47"/>
      <c r="S107" s="383"/>
      <c r="T107" s="47"/>
      <c r="U107" s="47"/>
      <c r="V107" s="47"/>
      <c r="W107" s="47"/>
      <c r="X107" s="47"/>
      <c r="Y107" s="47"/>
    </row>
    <row r="108" spans="1:25" hidden="1" x14ac:dyDescent="0.25">
      <c r="A108" s="22">
        <v>5086</v>
      </c>
      <c r="B108" s="23">
        <v>743400</v>
      </c>
      <c r="C108" s="9" t="s">
        <v>109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382"/>
      <c r="R108" s="47"/>
      <c r="S108" s="383"/>
      <c r="T108" s="47"/>
      <c r="U108" s="47"/>
      <c r="V108" s="47"/>
      <c r="W108" s="47"/>
      <c r="X108" s="47"/>
      <c r="Y108" s="47"/>
    </row>
    <row r="109" spans="1:25" ht="26.25" hidden="1" x14ac:dyDescent="0.25">
      <c r="A109" s="22">
        <v>5087</v>
      </c>
      <c r="B109" s="23">
        <v>743500</v>
      </c>
      <c r="C109" s="9" t="s">
        <v>110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382"/>
      <c r="R109" s="47"/>
      <c r="S109" s="383"/>
      <c r="T109" s="47"/>
      <c r="U109" s="47"/>
      <c r="V109" s="47"/>
      <c r="W109" s="47"/>
      <c r="X109" s="47"/>
      <c r="Y109" s="47"/>
    </row>
    <row r="110" spans="1:25" ht="39" hidden="1" x14ac:dyDescent="0.25">
      <c r="A110" s="22">
        <v>5088</v>
      </c>
      <c r="B110" s="23">
        <v>743900</v>
      </c>
      <c r="C110" s="9" t="s">
        <v>111</v>
      </c>
      <c r="D110" s="9"/>
      <c r="E110" s="36"/>
      <c r="F110" s="38">
        <f t="shared" si="23"/>
        <v>0</v>
      </c>
      <c r="G110" s="37">
        <f t="shared" si="20"/>
        <v>0</v>
      </c>
      <c r="H110" s="37"/>
      <c r="I110" s="36"/>
      <c r="J110" s="36"/>
      <c r="K110" s="36"/>
      <c r="L110" s="36"/>
      <c r="M110" s="36"/>
      <c r="N110" s="36"/>
      <c r="O110" s="36"/>
      <c r="P110" s="36"/>
      <c r="Q110" s="382"/>
      <c r="R110" s="47"/>
      <c r="S110" s="383"/>
      <c r="T110" s="47"/>
      <c r="U110" s="47"/>
      <c r="V110" s="47"/>
      <c r="W110" s="47"/>
      <c r="X110" s="47"/>
      <c r="Y110" s="47"/>
    </row>
    <row r="111" spans="1:25" ht="39" hidden="1" x14ac:dyDescent="0.25">
      <c r="A111" s="355">
        <v>5089</v>
      </c>
      <c r="B111" s="354">
        <v>744000</v>
      </c>
      <c r="C111" s="18" t="s">
        <v>112</v>
      </c>
      <c r="D111" s="18"/>
      <c r="E111" s="19">
        <f>E112+E113</f>
        <v>4100</v>
      </c>
      <c r="F111" s="38">
        <f t="shared" si="23"/>
        <v>0</v>
      </c>
      <c r="G111" s="19">
        <f t="shared" ref="G111:S111" si="27">G112+G113</f>
        <v>414</v>
      </c>
      <c r="H111" s="19">
        <f t="shared" si="27"/>
        <v>0</v>
      </c>
      <c r="I111" s="19">
        <f t="shared" si="27"/>
        <v>0</v>
      </c>
      <c r="J111" s="19">
        <f t="shared" si="27"/>
        <v>0</v>
      </c>
      <c r="K111" s="19">
        <f t="shared" si="27"/>
        <v>0</v>
      </c>
      <c r="L111" s="19">
        <f t="shared" si="27"/>
        <v>0</v>
      </c>
      <c r="M111" s="19">
        <f t="shared" si="27"/>
        <v>0</v>
      </c>
      <c r="N111" s="19">
        <f t="shared" si="27"/>
        <v>0</v>
      </c>
      <c r="O111" s="19">
        <f t="shared" si="27"/>
        <v>0</v>
      </c>
      <c r="P111" s="19">
        <f t="shared" si="27"/>
        <v>0</v>
      </c>
      <c r="Q111" s="366">
        <f t="shared" si="27"/>
        <v>414</v>
      </c>
      <c r="R111" s="64"/>
      <c r="S111" s="367">
        <f t="shared" si="27"/>
        <v>0</v>
      </c>
      <c r="T111" s="64"/>
      <c r="U111" s="64"/>
      <c r="V111" s="64"/>
      <c r="W111" s="64"/>
      <c r="X111" s="64"/>
      <c r="Y111" s="64"/>
    </row>
    <row r="112" spans="1:25" ht="26.25" hidden="1" x14ac:dyDescent="0.25">
      <c r="A112" s="22">
        <v>5090</v>
      </c>
      <c r="B112" s="23">
        <v>744100</v>
      </c>
      <c r="C112" s="9" t="s">
        <v>113</v>
      </c>
      <c r="D112" s="9"/>
      <c r="E112" s="36">
        <v>4100</v>
      </c>
      <c r="F112" s="38">
        <f t="shared" si="23"/>
        <v>0</v>
      </c>
      <c r="G112" s="37">
        <f t="shared" si="20"/>
        <v>414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382">
        <v>414</v>
      </c>
      <c r="R112" s="47"/>
      <c r="S112" s="383"/>
      <c r="T112" s="47"/>
      <c r="U112" s="47"/>
      <c r="V112" s="47"/>
      <c r="W112" s="47"/>
      <c r="X112" s="47"/>
      <c r="Y112" s="47"/>
    </row>
    <row r="113" spans="1:30" ht="39" hidden="1" x14ac:dyDescent="0.25">
      <c r="A113" s="22">
        <v>5091</v>
      </c>
      <c r="B113" s="23">
        <v>744200</v>
      </c>
      <c r="C113" s="9" t="s">
        <v>114</v>
      </c>
      <c r="D113" s="9"/>
      <c r="E113" s="36"/>
      <c r="F113" s="38">
        <f t="shared" si="23"/>
        <v>0</v>
      </c>
      <c r="G113" s="37">
        <f t="shared" si="20"/>
        <v>0</v>
      </c>
      <c r="H113" s="37"/>
      <c r="I113" s="36"/>
      <c r="J113" s="36"/>
      <c r="K113" s="36"/>
      <c r="L113" s="36"/>
      <c r="M113" s="36"/>
      <c r="N113" s="36"/>
      <c r="O113" s="36"/>
      <c r="P113" s="36"/>
      <c r="Q113" s="382"/>
      <c r="R113" s="47"/>
      <c r="S113" s="383"/>
      <c r="T113" s="47"/>
      <c r="U113" s="47"/>
      <c r="V113" s="47"/>
      <c r="W113" s="47"/>
      <c r="X113" s="47"/>
      <c r="Y113" s="47"/>
    </row>
    <row r="114" spans="1:30" ht="26.25" hidden="1" x14ac:dyDescent="0.25">
      <c r="A114" s="355">
        <v>5092</v>
      </c>
      <c r="B114" s="354">
        <v>745000</v>
      </c>
      <c r="C114" s="18" t="s">
        <v>115</v>
      </c>
      <c r="D114" s="18"/>
      <c r="E114" s="19">
        <f>E115</f>
        <v>0</v>
      </c>
      <c r="F114" s="38">
        <f t="shared" si="23"/>
        <v>0</v>
      </c>
      <c r="G114" s="19">
        <f t="shared" si="20"/>
        <v>0</v>
      </c>
      <c r="H114" s="19"/>
      <c r="I114" s="19">
        <f t="shared" ref="I114:Q114" si="28">I115</f>
        <v>0</v>
      </c>
      <c r="J114" s="19">
        <f t="shared" si="28"/>
        <v>0</v>
      </c>
      <c r="K114" s="19"/>
      <c r="L114" s="19">
        <f t="shared" si="28"/>
        <v>0</v>
      </c>
      <c r="M114" s="19"/>
      <c r="N114" s="19">
        <f t="shared" si="28"/>
        <v>0</v>
      </c>
      <c r="O114" s="19">
        <f t="shared" si="28"/>
        <v>0</v>
      </c>
      <c r="P114" s="19"/>
      <c r="Q114" s="366">
        <f t="shared" si="28"/>
        <v>0</v>
      </c>
      <c r="R114" s="64"/>
      <c r="S114" s="367"/>
      <c r="T114" s="64"/>
      <c r="U114" s="64"/>
      <c r="V114" s="64"/>
      <c r="W114" s="64"/>
      <c r="X114" s="64"/>
      <c r="Y114" s="64"/>
    </row>
    <row r="115" spans="1:30" hidden="1" x14ac:dyDescent="0.25">
      <c r="A115" s="22">
        <v>5093</v>
      </c>
      <c r="B115" s="23">
        <v>745100</v>
      </c>
      <c r="C115" s="9" t="s">
        <v>116</v>
      </c>
      <c r="D115" s="9"/>
      <c r="E115" s="36"/>
      <c r="F115" s="38">
        <f t="shared" si="23"/>
        <v>0</v>
      </c>
      <c r="G115" s="37">
        <f t="shared" si="20"/>
        <v>0</v>
      </c>
      <c r="H115" s="37"/>
      <c r="I115" s="36"/>
      <c r="J115" s="36"/>
      <c r="K115" s="36"/>
      <c r="L115" s="36"/>
      <c r="M115" s="36"/>
      <c r="N115" s="36"/>
      <c r="O115" s="36"/>
      <c r="P115" s="36"/>
      <c r="Q115" s="382"/>
      <c r="R115" s="47"/>
      <c r="S115" s="383"/>
      <c r="T115" s="47"/>
      <c r="U115" s="47"/>
      <c r="V115" s="47"/>
      <c r="W115" s="47"/>
      <c r="X115" s="47"/>
      <c r="Y115" s="47"/>
    </row>
    <row r="116" spans="1:30" ht="39" hidden="1" x14ac:dyDescent="0.25">
      <c r="A116" s="355">
        <v>5094</v>
      </c>
      <c r="B116" s="354">
        <v>770000</v>
      </c>
      <c r="C116" s="18" t="s">
        <v>117</v>
      </c>
      <c r="D116" s="18"/>
      <c r="E116" s="19">
        <f>E117+E119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29">I117+I119</f>
        <v>0</v>
      </c>
      <c r="J116" s="19">
        <f t="shared" si="29"/>
        <v>0</v>
      </c>
      <c r="K116" s="19"/>
      <c r="L116" s="19">
        <f t="shared" si="29"/>
        <v>0</v>
      </c>
      <c r="M116" s="19"/>
      <c r="N116" s="19">
        <f t="shared" si="29"/>
        <v>0</v>
      </c>
      <c r="O116" s="19">
        <f t="shared" si="29"/>
        <v>0</v>
      </c>
      <c r="P116" s="19"/>
      <c r="Q116" s="366">
        <f t="shared" si="29"/>
        <v>0</v>
      </c>
      <c r="R116" s="64"/>
      <c r="S116" s="367"/>
      <c r="T116" s="64"/>
      <c r="U116" s="64"/>
      <c r="V116" s="64"/>
      <c r="W116" s="64"/>
      <c r="X116" s="64"/>
      <c r="Y116" s="64"/>
    </row>
    <row r="117" spans="1:30" ht="39" hidden="1" x14ac:dyDescent="0.25">
      <c r="A117" s="355">
        <v>5095</v>
      </c>
      <c r="B117" s="354">
        <v>771000</v>
      </c>
      <c r="C117" s="18" t="s">
        <v>118</v>
      </c>
      <c r="D117" s="18"/>
      <c r="E117" s="19">
        <f>E118</f>
        <v>0</v>
      </c>
      <c r="F117" s="38">
        <f t="shared" si="23"/>
        <v>0</v>
      </c>
      <c r="G117" s="19">
        <f t="shared" si="20"/>
        <v>0</v>
      </c>
      <c r="H117" s="19"/>
      <c r="I117" s="19">
        <f t="shared" ref="I117:Q117" si="30">I118</f>
        <v>0</v>
      </c>
      <c r="J117" s="19">
        <f t="shared" si="30"/>
        <v>0</v>
      </c>
      <c r="K117" s="19"/>
      <c r="L117" s="19">
        <f t="shared" si="30"/>
        <v>0</v>
      </c>
      <c r="M117" s="19"/>
      <c r="N117" s="19">
        <f t="shared" si="30"/>
        <v>0</v>
      </c>
      <c r="O117" s="19">
        <f t="shared" si="30"/>
        <v>0</v>
      </c>
      <c r="P117" s="19"/>
      <c r="Q117" s="366">
        <f t="shared" si="30"/>
        <v>0</v>
      </c>
      <c r="R117" s="64"/>
      <c r="S117" s="367"/>
      <c r="T117" s="64"/>
      <c r="U117" s="64"/>
      <c r="V117" s="64"/>
      <c r="W117" s="64"/>
      <c r="X117" s="64"/>
      <c r="Y117" s="64"/>
    </row>
    <row r="118" spans="1:30" ht="26.25" hidden="1" x14ac:dyDescent="0.25">
      <c r="A118" s="22">
        <v>5096</v>
      </c>
      <c r="B118" s="23">
        <v>771100</v>
      </c>
      <c r="C118" s="9" t="s">
        <v>119</v>
      </c>
      <c r="D118" s="9"/>
      <c r="E118" s="36"/>
      <c r="F118" s="38">
        <f t="shared" si="23"/>
        <v>0</v>
      </c>
      <c r="G118" s="37">
        <f t="shared" si="20"/>
        <v>0</v>
      </c>
      <c r="H118" s="37"/>
      <c r="I118" s="36"/>
      <c r="J118" s="36"/>
      <c r="K118" s="36"/>
      <c r="L118" s="36"/>
      <c r="M118" s="36"/>
      <c r="N118" s="36"/>
      <c r="O118" s="36"/>
      <c r="P118" s="36"/>
      <c r="Q118" s="382"/>
      <c r="R118" s="47"/>
      <c r="S118" s="383"/>
      <c r="T118" s="47"/>
      <c r="U118" s="47"/>
      <c r="V118" s="47"/>
      <c r="W118" s="47"/>
      <c r="X118" s="47"/>
      <c r="Y118" s="47"/>
    </row>
    <row r="119" spans="1:30" ht="51.75" hidden="1" x14ac:dyDescent="0.25">
      <c r="A119" s="355">
        <v>5097</v>
      </c>
      <c r="B119" s="354">
        <v>772000</v>
      </c>
      <c r="C119" s="18" t="s">
        <v>120</v>
      </c>
      <c r="D119" s="18"/>
      <c r="E119" s="19">
        <f>E120</f>
        <v>0</v>
      </c>
      <c r="F119" s="38">
        <f t="shared" si="23"/>
        <v>0</v>
      </c>
      <c r="G119" s="19">
        <f t="shared" si="20"/>
        <v>0</v>
      </c>
      <c r="H119" s="19"/>
      <c r="I119" s="19">
        <f t="shared" ref="I119:Q119" si="31">I120</f>
        <v>0</v>
      </c>
      <c r="J119" s="19">
        <f t="shared" si="31"/>
        <v>0</v>
      </c>
      <c r="K119" s="19"/>
      <c r="L119" s="19">
        <f t="shared" si="31"/>
        <v>0</v>
      </c>
      <c r="M119" s="19"/>
      <c r="N119" s="19">
        <f t="shared" si="31"/>
        <v>0</v>
      </c>
      <c r="O119" s="19">
        <f t="shared" si="31"/>
        <v>0</v>
      </c>
      <c r="P119" s="19"/>
      <c r="Q119" s="366">
        <f t="shared" si="31"/>
        <v>0</v>
      </c>
      <c r="R119" s="64"/>
      <c r="S119" s="367"/>
      <c r="T119" s="64"/>
      <c r="U119" s="64"/>
      <c r="V119" s="64"/>
      <c r="W119" s="64"/>
      <c r="X119" s="64"/>
      <c r="Y119" s="64"/>
    </row>
    <row r="120" spans="1:30" ht="39" hidden="1" x14ac:dyDescent="0.25">
      <c r="A120" s="22">
        <v>5098</v>
      </c>
      <c r="B120" s="23">
        <v>772100</v>
      </c>
      <c r="C120" s="9" t="s">
        <v>121</v>
      </c>
      <c r="D120" s="9"/>
      <c r="E120" s="36"/>
      <c r="F120" s="38">
        <f t="shared" si="23"/>
        <v>0</v>
      </c>
      <c r="G120" s="37">
        <f t="shared" si="20"/>
        <v>0</v>
      </c>
      <c r="H120" s="37"/>
      <c r="I120" s="36"/>
      <c r="J120" s="36"/>
      <c r="K120" s="36"/>
      <c r="L120" s="36"/>
      <c r="M120" s="36"/>
      <c r="N120" s="36"/>
      <c r="O120" s="36"/>
      <c r="P120" s="36"/>
      <c r="Q120" s="382"/>
      <c r="R120" s="47"/>
      <c r="S120" s="383"/>
      <c r="T120" s="47"/>
      <c r="U120" s="47"/>
      <c r="V120" s="47"/>
      <c r="W120" s="47"/>
      <c r="X120" s="47"/>
      <c r="Y120" s="47"/>
    </row>
    <row r="121" spans="1:30" ht="39" x14ac:dyDescent="0.25">
      <c r="A121" s="355">
        <v>5089</v>
      </c>
      <c r="B121" s="354">
        <v>744000</v>
      </c>
      <c r="C121" s="18" t="s">
        <v>112</v>
      </c>
      <c r="D121" s="18"/>
      <c r="E121" s="19">
        <f>E122+E123</f>
        <v>1447862</v>
      </c>
      <c r="F121" s="48">
        <f t="shared" si="23"/>
        <v>100</v>
      </c>
      <c r="G121" s="19" t="e">
        <f t="shared" ref="G121:L121" si="32">G122+G123</f>
        <v>#REF!</v>
      </c>
      <c r="H121" s="19">
        <f t="shared" si="32"/>
        <v>0</v>
      </c>
      <c r="I121" s="19">
        <f t="shared" si="32"/>
        <v>0</v>
      </c>
      <c r="J121" s="19">
        <f t="shared" si="32"/>
        <v>0</v>
      </c>
      <c r="K121" s="19">
        <f t="shared" si="32"/>
        <v>0</v>
      </c>
      <c r="L121" s="19">
        <f t="shared" si="32"/>
        <v>0</v>
      </c>
      <c r="M121" s="19">
        <f>M122</f>
        <v>0</v>
      </c>
      <c r="P121" s="19">
        <f>P122</f>
        <v>100</v>
      </c>
      <c r="S121" s="367">
        <f>S122</f>
        <v>665</v>
      </c>
      <c r="T121" s="64"/>
    </row>
    <row r="122" spans="1:30" ht="26.25" x14ac:dyDescent="0.25">
      <c r="A122" s="22">
        <v>5090</v>
      </c>
      <c r="B122" s="23">
        <v>744100</v>
      </c>
      <c r="C122" s="9" t="s">
        <v>113</v>
      </c>
      <c r="D122" s="9"/>
      <c r="E122" s="36">
        <v>4100</v>
      </c>
      <c r="F122" s="38">
        <f t="shared" si="23"/>
        <v>100</v>
      </c>
      <c r="G122" s="36"/>
      <c r="H122" s="36"/>
      <c r="I122" s="36"/>
      <c r="J122" s="36"/>
      <c r="K122" s="36"/>
      <c r="L122" s="36"/>
      <c r="M122" s="36"/>
      <c r="P122" s="352">
        <v>100</v>
      </c>
      <c r="S122" s="383">
        <v>665</v>
      </c>
      <c r="T122" s="47"/>
    </row>
    <row r="123" spans="1:30" ht="39" x14ac:dyDescent="0.25">
      <c r="A123" s="355">
        <v>5099</v>
      </c>
      <c r="B123" s="354">
        <v>780000</v>
      </c>
      <c r="C123" s="18" t="s">
        <v>122</v>
      </c>
      <c r="D123" s="18"/>
      <c r="E123" s="19">
        <f>E124</f>
        <v>1443762</v>
      </c>
      <c r="F123" s="20" t="e">
        <f t="shared" si="23"/>
        <v>#REF!</v>
      </c>
      <c r="G123" s="19" t="e">
        <f t="shared" ref="G123:S123" si="33">G124</f>
        <v>#REF!</v>
      </c>
      <c r="H123" s="19">
        <f t="shared" si="33"/>
        <v>0</v>
      </c>
      <c r="I123" s="19">
        <f t="shared" si="33"/>
        <v>0</v>
      </c>
      <c r="J123" s="19">
        <f t="shared" si="33"/>
        <v>0</v>
      </c>
      <c r="K123" s="19">
        <f t="shared" si="33"/>
        <v>0</v>
      </c>
      <c r="L123" s="19">
        <f t="shared" si="33"/>
        <v>0</v>
      </c>
      <c r="M123" s="19" t="e">
        <f t="shared" si="33"/>
        <v>#REF!</v>
      </c>
      <c r="N123" s="19">
        <f t="shared" si="33"/>
        <v>1397062</v>
      </c>
      <c r="O123" s="19">
        <f t="shared" si="33"/>
        <v>0</v>
      </c>
      <c r="P123" s="19">
        <f t="shared" si="33"/>
        <v>0</v>
      </c>
      <c r="Q123" s="366">
        <f t="shared" si="33"/>
        <v>0</v>
      </c>
      <c r="R123" s="64"/>
      <c r="S123" s="367">
        <f t="shared" si="33"/>
        <v>1622615</v>
      </c>
      <c r="T123" s="64"/>
      <c r="U123" s="64"/>
      <c r="V123" s="64"/>
      <c r="W123" s="64"/>
      <c r="X123" s="64"/>
      <c r="Y123" s="64"/>
    </row>
    <row r="124" spans="1:30" ht="39" x14ac:dyDescent="0.25">
      <c r="A124" s="355">
        <v>5100</v>
      </c>
      <c r="B124" s="354">
        <v>781000</v>
      </c>
      <c r="C124" s="18" t="s">
        <v>123</v>
      </c>
      <c r="D124" s="18"/>
      <c r="E124" s="19">
        <f>E125+E126</f>
        <v>1443762</v>
      </c>
      <c r="F124" s="20" t="e">
        <f t="shared" si="23"/>
        <v>#REF!</v>
      </c>
      <c r="G124" s="19" t="e">
        <f t="shared" ref="G124:S124" si="34">G125+G126</f>
        <v>#REF!</v>
      </c>
      <c r="H124" s="19">
        <f t="shared" si="34"/>
        <v>0</v>
      </c>
      <c r="I124" s="19">
        <f t="shared" si="34"/>
        <v>0</v>
      </c>
      <c r="J124" s="19">
        <f t="shared" si="34"/>
        <v>0</v>
      </c>
      <c r="K124" s="19">
        <f t="shared" si="34"/>
        <v>0</v>
      </c>
      <c r="L124" s="19">
        <f t="shared" si="34"/>
        <v>0</v>
      </c>
      <c r="M124" s="19" t="e">
        <f t="shared" si="34"/>
        <v>#REF!</v>
      </c>
      <c r="N124" s="19">
        <f t="shared" si="34"/>
        <v>1397062</v>
      </c>
      <c r="O124" s="19">
        <f t="shared" si="34"/>
        <v>0</v>
      </c>
      <c r="P124" s="19">
        <f t="shared" si="34"/>
        <v>0</v>
      </c>
      <c r="Q124" s="366">
        <f t="shared" si="34"/>
        <v>0</v>
      </c>
      <c r="R124" s="64"/>
      <c r="S124" s="367">
        <f t="shared" si="34"/>
        <v>1622615</v>
      </c>
      <c r="T124" s="64"/>
      <c r="U124" s="64"/>
      <c r="V124" s="64"/>
      <c r="W124" s="64"/>
      <c r="X124" s="64"/>
      <c r="Y124" s="64"/>
    </row>
    <row r="125" spans="1:30" ht="28.5" x14ac:dyDescent="0.4">
      <c r="A125" s="22">
        <v>5101</v>
      </c>
      <c r="B125" s="23">
        <v>781100</v>
      </c>
      <c r="C125" s="9" t="s">
        <v>124</v>
      </c>
      <c r="D125" s="9"/>
      <c r="E125" s="36">
        <v>1443762</v>
      </c>
      <c r="F125" s="20" t="e">
        <f t="shared" si="23"/>
        <v>#REF!</v>
      </c>
      <c r="G125" s="37" t="e">
        <f>SUM(I125:Q125)</f>
        <v>#REF!</v>
      </c>
      <c r="H125" s="37"/>
      <c r="I125" s="36"/>
      <c r="J125" s="36"/>
      <c r="K125" s="36"/>
      <c r="L125" s="36"/>
      <c r="M125" s="36" t="e">
        <f>1597834+3040+8678+13063+17641+2799+464+917-#REF!-82-44</f>
        <v>#REF!</v>
      </c>
      <c r="N125" s="36">
        <v>1397062</v>
      </c>
      <c r="O125" s="36"/>
      <c r="P125" s="36"/>
      <c r="Q125" s="382"/>
      <c r="R125" s="47"/>
      <c r="S125" s="383">
        <f>1597834+3040+8678+13063</f>
        <v>1622615</v>
      </c>
      <c r="T125" s="47"/>
      <c r="U125" s="47">
        <f>1599869+M234+M239+M243+M311+M393</f>
        <v>1643519</v>
      </c>
      <c r="V125" s="47"/>
      <c r="W125" s="47" t="e">
        <f>M125-M239-M234-M243-M311-M393</f>
        <v>#REF!</v>
      </c>
      <c r="X125" s="47"/>
      <c r="Y125" s="47">
        <f>1582228+M234+M239+M243+M311+M393</f>
        <v>1625878</v>
      </c>
      <c r="Z125" s="44" t="e">
        <f>M125-Y125</f>
        <v>#REF!</v>
      </c>
      <c r="AD125" s="388" t="s">
        <v>538</v>
      </c>
    </row>
    <row r="126" spans="1:30" ht="26.25" hidden="1" x14ac:dyDescent="0.25">
      <c r="A126" s="22">
        <v>5102</v>
      </c>
      <c r="B126" s="23">
        <v>781300</v>
      </c>
      <c r="C126" s="9" t="s">
        <v>125</v>
      </c>
      <c r="D126" s="9"/>
      <c r="E126" s="36"/>
      <c r="F126" s="20">
        <f t="shared" si="23"/>
        <v>0</v>
      </c>
      <c r="G126" s="37">
        <f t="shared" ref="G126:G162" si="35">SUM(I126:Q126)</f>
        <v>0</v>
      </c>
      <c r="H126" s="37"/>
      <c r="I126" s="36"/>
      <c r="J126" s="36"/>
      <c r="K126" s="36"/>
      <c r="L126" s="36"/>
      <c r="M126" s="36"/>
      <c r="N126" s="36"/>
      <c r="O126" s="36"/>
      <c r="P126" s="36"/>
      <c r="Q126" s="382"/>
      <c r="R126" s="47"/>
      <c r="S126" s="383"/>
      <c r="T126" s="47"/>
      <c r="U126" s="47"/>
      <c r="V126" s="47"/>
      <c r="W126" s="47"/>
      <c r="X126" s="47"/>
      <c r="Y126" s="47"/>
    </row>
    <row r="127" spans="1:30" x14ac:dyDescent="0.25">
      <c r="A127" s="355">
        <v>5103</v>
      </c>
      <c r="B127" s="354">
        <v>790000</v>
      </c>
      <c r="C127" s="18" t="s">
        <v>126</v>
      </c>
      <c r="D127" s="18"/>
      <c r="E127" s="19">
        <f>E128</f>
        <v>37481</v>
      </c>
      <c r="F127" s="20">
        <f t="shared" si="23"/>
        <v>86581</v>
      </c>
      <c r="G127" s="19">
        <f t="shared" ref="G127:S127" si="36">G128</f>
        <v>18078</v>
      </c>
      <c r="H127" s="19">
        <f>H128</f>
        <v>29200</v>
      </c>
      <c r="I127" s="19">
        <f t="shared" si="36"/>
        <v>17573</v>
      </c>
      <c r="J127" s="19">
        <f t="shared" si="36"/>
        <v>0</v>
      </c>
      <c r="K127" s="19">
        <f t="shared" si="36"/>
        <v>57381</v>
      </c>
      <c r="L127" s="19">
        <f t="shared" si="36"/>
        <v>505</v>
      </c>
      <c r="M127" s="19">
        <f t="shared" si="36"/>
        <v>0</v>
      </c>
      <c r="N127" s="19">
        <f t="shared" si="36"/>
        <v>0</v>
      </c>
      <c r="O127" s="19">
        <f t="shared" si="36"/>
        <v>0</v>
      </c>
      <c r="P127" s="19">
        <f t="shared" si="36"/>
        <v>0</v>
      </c>
      <c r="Q127" s="366">
        <f t="shared" si="36"/>
        <v>0</v>
      </c>
      <c r="R127" s="64"/>
      <c r="S127" s="367">
        <f t="shared" si="36"/>
        <v>0</v>
      </c>
      <c r="T127" s="64"/>
      <c r="U127" s="64"/>
      <c r="V127" s="64"/>
      <c r="W127" s="64"/>
      <c r="X127" s="64"/>
      <c r="Y127" s="64"/>
    </row>
    <row r="128" spans="1:30" x14ac:dyDescent="0.25">
      <c r="A128" s="355">
        <v>5104</v>
      </c>
      <c r="B128" s="354">
        <v>791000</v>
      </c>
      <c r="C128" s="18" t="s">
        <v>127</v>
      </c>
      <c r="D128" s="18"/>
      <c r="E128" s="19">
        <f>E133</f>
        <v>37481</v>
      </c>
      <c r="F128" s="20">
        <f t="shared" si="23"/>
        <v>86581</v>
      </c>
      <c r="G128" s="19">
        <f t="shared" ref="G128:S128" si="37">G133</f>
        <v>18078</v>
      </c>
      <c r="H128" s="19">
        <f t="shared" si="37"/>
        <v>29200</v>
      </c>
      <c r="I128" s="19">
        <f t="shared" si="37"/>
        <v>17573</v>
      </c>
      <c r="J128" s="19">
        <f t="shared" si="37"/>
        <v>0</v>
      </c>
      <c r="K128" s="19">
        <f t="shared" si="37"/>
        <v>57381</v>
      </c>
      <c r="L128" s="19">
        <f t="shared" si="37"/>
        <v>505</v>
      </c>
      <c r="M128" s="19">
        <f t="shared" si="37"/>
        <v>0</v>
      </c>
      <c r="N128" s="19">
        <f t="shared" si="37"/>
        <v>0</v>
      </c>
      <c r="O128" s="19">
        <f t="shared" si="37"/>
        <v>0</v>
      </c>
      <c r="P128" s="19">
        <f t="shared" si="37"/>
        <v>0</v>
      </c>
      <c r="Q128" s="366">
        <f t="shared" si="37"/>
        <v>0</v>
      </c>
      <c r="R128" s="64"/>
      <c r="S128" s="367">
        <f t="shared" si="37"/>
        <v>0</v>
      </c>
      <c r="T128" s="64"/>
      <c r="U128" s="64"/>
      <c r="V128" s="64"/>
      <c r="W128" s="64"/>
      <c r="X128" s="64"/>
      <c r="Y128" s="64"/>
    </row>
    <row r="129" spans="1:30" hidden="1" x14ac:dyDescent="0.25">
      <c r="A129" s="546" t="s">
        <v>0</v>
      </c>
      <c r="B129" s="543" t="s">
        <v>1</v>
      </c>
      <c r="C129" s="542" t="s">
        <v>2</v>
      </c>
      <c r="D129" s="360"/>
      <c r="E129" s="544" t="s">
        <v>3</v>
      </c>
      <c r="F129" s="20">
        <f t="shared" si="23"/>
        <v>0</v>
      </c>
      <c r="G129" s="544" t="s">
        <v>4</v>
      </c>
      <c r="H129" s="544"/>
      <c r="I129" s="544"/>
      <c r="J129" s="544"/>
      <c r="K129" s="544"/>
      <c r="L129" s="544"/>
      <c r="M129" s="544"/>
      <c r="N129" s="544"/>
      <c r="O129" s="544"/>
      <c r="P129" s="544"/>
      <c r="Q129" s="547"/>
      <c r="R129" s="61"/>
      <c r="S129" s="61"/>
      <c r="T129" s="61"/>
      <c r="U129" s="61"/>
      <c r="V129" s="61"/>
      <c r="W129" s="61"/>
      <c r="X129" s="61"/>
      <c r="Y129" s="61"/>
    </row>
    <row r="130" spans="1:30" hidden="1" x14ac:dyDescent="0.25">
      <c r="A130" s="546"/>
      <c r="B130" s="543"/>
      <c r="C130" s="542"/>
      <c r="D130" s="360"/>
      <c r="E130" s="544"/>
      <c r="F130" s="20">
        <f t="shared" si="23"/>
        <v>0</v>
      </c>
      <c r="G130" s="548" t="s">
        <v>5</v>
      </c>
      <c r="H130" s="353"/>
      <c r="I130" s="544" t="s">
        <v>6</v>
      </c>
      <c r="J130" s="544"/>
      <c r="K130" s="544"/>
      <c r="L130" s="544"/>
      <c r="M130" s="544"/>
      <c r="N130" s="544"/>
      <c r="O130" s="544" t="s">
        <v>7</v>
      </c>
      <c r="P130" s="354"/>
      <c r="Q130" s="534" t="s">
        <v>8</v>
      </c>
      <c r="R130" s="61"/>
      <c r="S130" s="61"/>
      <c r="T130" s="61"/>
      <c r="U130" s="61"/>
      <c r="V130" s="61"/>
      <c r="W130" s="61"/>
      <c r="X130" s="61"/>
      <c r="Y130" s="61"/>
    </row>
    <row r="131" spans="1:30" ht="166.5" hidden="1" x14ac:dyDescent="0.25">
      <c r="A131" s="546"/>
      <c r="B131" s="543"/>
      <c r="C131" s="542"/>
      <c r="D131" s="360"/>
      <c r="E131" s="544"/>
      <c r="F131" s="20">
        <f t="shared" si="23"/>
        <v>0</v>
      </c>
      <c r="G131" s="548"/>
      <c r="H131" s="353"/>
      <c r="I131" s="354" t="s">
        <v>9</v>
      </c>
      <c r="J131" s="354" t="s">
        <v>10</v>
      </c>
      <c r="K131" s="354"/>
      <c r="L131" s="354" t="s">
        <v>11</v>
      </c>
      <c r="M131" s="354"/>
      <c r="N131" s="354" t="s">
        <v>12</v>
      </c>
      <c r="O131" s="544"/>
      <c r="P131" s="354"/>
      <c r="Q131" s="534"/>
      <c r="R131" s="61"/>
      <c r="S131" s="364"/>
      <c r="T131" s="61"/>
      <c r="U131" s="61"/>
      <c r="V131" s="61"/>
      <c r="W131" s="61"/>
      <c r="X131" s="61"/>
      <c r="Y131" s="61"/>
    </row>
    <row r="132" spans="1:30" ht="26.25" hidden="1" x14ac:dyDescent="0.25">
      <c r="A132" s="31" t="s">
        <v>18</v>
      </c>
      <c r="B132" s="359" t="s">
        <v>19</v>
      </c>
      <c r="C132" s="359" t="s">
        <v>20</v>
      </c>
      <c r="D132" s="359"/>
      <c r="E132" s="33" t="s">
        <v>21</v>
      </c>
      <c r="F132" s="20">
        <f t="shared" si="23"/>
        <v>0</v>
      </c>
      <c r="G132" s="33" t="s">
        <v>22</v>
      </c>
      <c r="H132" s="33"/>
      <c r="I132" s="33" t="s">
        <v>23</v>
      </c>
      <c r="J132" s="33" t="s">
        <v>24</v>
      </c>
      <c r="K132" s="33"/>
      <c r="L132" s="33" t="s">
        <v>25</v>
      </c>
      <c r="M132" s="33"/>
      <c r="N132" s="33" t="s">
        <v>26</v>
      </c>
      <c r="O132" s="33" t="s">
        <v>27</v>
      </c>
      <c r="P132" s="33"/>
      <c r="Q132" s="374" t="s">
        <v>28</v>
      </c>
      <c r="R132" s="375"/>
      <c r="S132" s="376"/>
      <c r="T132" s="375"/>
      <c r="U132" s="375"/>
      <c r="V132" s="375"/>
      <c r="W132" s="375"/>
      <c r="X132" s="375"/>
      <c r="Y132" s="375"/>
    </row>
    <row r="133" spans="1:30" ht="26.25" x14ac:dyDescent="0.4">
      <c r="A133" s="22">
        <v>5105</v>
      </c>
      <c r="B133" s="23">
        <v>791100</v>
      </c>
      <c r="C133" s="9" t="s">
        <v>128</v>
      </c>
      <c r="D133" s="9"/>
      <c r="E133" s="36">
        <v>37481</v>
      </c>
      <c r="F133" s="38">
        <f t="shared" si="23"/>
        <v>86581</v>
      </c>
      <c r="G133" s="389">
        <f>SUM(I133:Q133)-K133-M133-P133</f>
        <v>18078</v>
      </c>
      <c r="H133" s="389">
        <f>25000+4200+162615+25321+535-162615-25321-535</f>
        <v>29200</v>
      </c>
      <c r="I133" s="36">
        <v>17573</v>
      </c>
      <c r="J133" s="36"/>
      <c r="K133" s="36">
        <f>1000+56381</f>
        <v>57381</v>
      </c>
      <c r="L133" s="36">
        <v>505</v>
      </c>
      <c r="M133" s="36"/>
      <c r="N133" s="36"/>
      <c r="O133" s="36"/>
      <c r="P133" s="36"/>
      <c r="Q133" s="382"/>
      <c r="R133" s="47"/>
      <c r="S133" s="383"/>
      <c r="T133" s="47"/>
      <c r="U133" s="47"/>
      <c r="V133" s="47"/>
      <c r="W133" s="47"/>
      <c r="X133" s="47"/>
      <c r="Y133" s="47"/>
      <c r="AD133" s="388" t="s">
        <v>538</v>
      </c>
    </row>
    <row r="134" spans="1:30" ht="39" x14ac:dyDescent="0.25">
      <c r="A134" s="355">
        <v>5106</v>
      </c>
      <c r="B134" s="354">
        <v>800000</v>
      </c>
      <c r="C134" s="18" t="s">
        <v>129</v>
      </c>
      <c r="D134" s="18"/>
      <c r="E134" s="19">
        <f>E135+E142+E149+E152</f>
        <v>200</v>
      </c>
      <c r="F134" s="20">
        <f t="shared" si="23"/>
        <v>397</v>
      </c>
      <c r="G134" s="19">
        <f t="shared" ref="G134:S134" si="38">G135+G142+G149+G152</f>
        <v>184</v>
      </c>
      <c r="H134" s="19">
        <f t="shared" si="38"/>
        <v>0</v>
      </c>
      <c r="I134" s="19">
        <f t="shared" si="38"/>
        <v>0</v>
      </c>
      <c r="J134" s="19">
        <f t="shared" si="38"/>
        <v>0</v>
      </c>
      <c r="K134" s="19">
        <f t="shared" si="38"/>
        <v>0</v>
      </c>
      <c r="L134" s="19">
        <f t="shared" si="38"/>
        <v>0</v>
      </c>
      <c r="M134" s="19">
        <f t="shared" si="38"/>
        <v>0</v>
      </c>
      <c r="N134" s="19">
        <f t="shared" si="38"/>
        <v>0</v>
      </c>
      <c r="O134" s="19">
        <f t="shared" si="38"/>
        <v>0</v>
      </c>
      <c r="P134" s="19">
        <f t="shared" si="38"/>
        <v>397</v>
      </c>
      <c r="Q134" s="366">
        <f t="shared" si="38"/>
        <v>184</v>
      </c>
      <c r="R134" s="64"/>
      <c r="S134" s="367">
        <f t="shared" si="38"/>
        <v>0</v>
      </c>
      <c r="T134" s="64"/>
      <c r="U134" s="64"/>
      <c r="V134" s="64"/>
      <c r="W134" s="64"/>
      <c r="X134" s="64"/>
      <c r="Y134" s="64"/>
    </row>
    <row r="135" spans="1:30" ht="39" x14ac:dyDescent="0.25">
      <c r="A135" s="355">
        <v>5107</v>
      </c>
      <c r="B135" s="354">
        <v>810000</v>
      </c>
      <c r="C135" s="18" t="s">
        <v>130</v>
      </c>
      <c r="D135" s="18"/>
      <c r="E135" s="19">
        <f>E136+E138+E140</f>
        <v>200</v>
      </c>
      <c r="F135" s="20">
        <f t="shared" si="23"/>
        <v>397</v>
      </c>
      <c r="G135" s="19">
        <f t="shared" ref="G135:S135" si="39">G136+G138+G140</f>
        <v>184</v>
      </c>
      <c r="H135" s="19">
        <f t="shared" si="39"/>
        <v>0</v>
      </c>
      <c r="I135" s="19">
        <f t="shared" si="39"/>
        <v>0</v>
      </c>
      <c r="J135" s="19">
        <f t="shared" si="39"/>
        <v>0</v>
      </c>
      <c r="K135" s="19">
        <f>K136+K138+K140</f>
        <v>0</v>
      </c>
      <c r="L135" s="19">
        <f t="shared" si="39"/>
        <v>0</v>
      </c>
      <c r="M135" s="19">
        <f t="shared" si="39"/>
        <v>0</v>
      </c>
      <c r="N135" s="19">
        <f t="shared" si="39"/>
        <v>0</v>
      </c>
      <c r="O135" s="19">
        <f t="shared" si="39"/>
        <v>0</v>
      </c>
      <c r="P135" s="19">
        <f t="shared" si="39"/>
        <v>397</v>
      </c>
      <c r="Q135" s="366">
        <f t="shared" si="39"/>
        <v>184</v>
      </c>
      <c r="R135" s="64"/>
      <c r="S135" s="367">
        <f t="shared" si="39"/>
        <v>0</v>
      </c>
      <c r="T135" s="64"/>
      <c r="U135" s="64"/>
      <c r="V135" s="64"/>
      <c r="W135" s="64"/>
      <c r="X135" s="64"/>
      <c r="Y135" s="64"/>
    </row>
    <row r="136" spans="1:30" ht="26.25" hidden="1" x14ac:dyDescent="0.25">
      <c r="A136" s="355">
        <v>5108</v>
      </c>
      <c r="B136" s="354">
        <v>811000</v>
      </c>
      <c r="C136" s="18" t="s">
        <v>131</v>
      </c>
      <c r="D136" s="18"/>
      <c r="E136" s="19">
        <f>E137</f>
        <v>0</v>
      </c>
      <c r="F136" s="20">
        <f t="shared" si="23"/>
        <v>0</v>
      </c>
      <c r="G136" s="19">
        <f t="shared" si="35"/>
        <v>0</v>
      </c>
      <c r="H136" s="19"/>
      <c r="I136" s="19">
        <f t="shared" ref="I136:Q136" si="40">I137</f>
        <v>0</v>
      </c>
      <c r="J136" s="19">
        <f t="shared" si="40"/>
        <v>0</v>
      </c>
      <c r="K136" s="19"/>
      <c r="L136" s="19">
        <f t="shared" si="40"/>
        <v>0</v>
      </c>
      <c r="M136" s="19"/>
      <c r="N136" s="19">
        <f t="shared" si="40"/>
        <v>0</v>
      </c>
      <c r="O136" s="19">
        <f t="shared" si="40"/>
        <v>0</v>
      </c>
      <c r="P136" s="19"/>
      <c r="Q136" s="366">
        <f t="shared" si="40"/>
        <v>0</v>
      </c>
      <c r="R136" s="64"/>
      <c r="S136" s="367"/>
      <c r="T136" s="64"/>
      <c r="U136" s="64"/>
      <c r="V136" s="64"/>
      <c r="W136" s="64"/>
      <c r="X136" s="64"/>
      <c r="Y136" s="64"/>
    </row>
    <row r="137" spans="1:30" ht="26.25" hidden="1" x14ac:dyDescent="0.25">
      <c r="A137" s="22">
        <v>5109</v>
      </c>
      <c r="B137" s="23">
        <v>811100</v>
      </c>
      <c r="C137" s="9" t="s">
        <v>132</v>
      </c>
      <c r="D137" s="9"/>
      <c r="E137" s="36"/>
      <c r="F137" s="20">
        <f t="shared" si="23"/>
        <v>0</v>
      </c>
      <c r="G137" s="37">
        <f t="shared" si="35"/>
        <v>0</v>
      </c>
      <c r="H137" s="37"/>
      <c r="I137" s="36"/>
      <c r="J137" s="36"/>
      <c r="K137" s="36"/>
      <c r="L137" s="36"/>
      <c r="M137" s="36"/>
      <c r="N137" s="36"/>
      <c r="O137" s="36"/>
      <c r="P137" s="36"/>
      <c r="Q137" s="382"/>
      <c r="R137" s="47"/>
      <c r="S137" s="383"/>
      <c r="T137" s="47"/>
      <c r="U137" s="47"/>
      <c r="V137" s="47"/>
      <c r="W137" s="47"/>
      <c r="X137" s="47"/>
      <c r="Y137" s="47"/>
    </row>
    <row r="138" spans="1:30" ht="26.25" x14ac:dyDescent="0.25">
      <c r="A138" s="355">
        <v>5110</v>
      </c>
      <c r="B138" s="354">
        <v>812000</v>
      </c>
      <c r="C138" s="18" t="s">
        <v>133</v>
      </c>
      <c r="D138" s="18"/>
      <c r="E138" s="19">
        <f>E139</f>
        <v>200</v>
      </c>
      <c r="F138" s="20">
        <f t="shared" si="23"/>
        <v>397</v>
      </c>
      <c r="G138" s="19">
        <f t="shared" ref="G138:S138" si="41">G139</f>
        <v>184</v>
      </c>
      <c r="H138" s="19">
        <f t="shared" si="41"/>
        <v>0</v>
      </c>
      <c r="I138" s="19">
        <f t="shared" si="41"/>
        <v>0</v>
      </c>
      <c r="J138" s="19">
        <f t="shared" si="41"/>
        <v>0</v>
      </c>
      <c r="K138" s="19">
        <f t="shared" si="41"/>
        <v>0</v>
      </c>
      <c r="L138" s="19">
        <f t="shared" si="41"/>
        <v>0</v>
      </c>
      <c r="M138" s="19">
        <f t="shared" si="41"/>
        <v>0</v>
      </c>
      <c r="N138" s="19">
        <f t="shared" si="41"/>
        <v>0</v>
      </c>
      <c r="O138" s="19">
        <f t="shared" si="41"/>
        <v>0</v>
      </c>
      <c r="P138" s="19">
        <f t="shared" si="41"/>
        <v>397</v>
      </c>
      <c r="Q138" s="366">
        <f t="shared" si="41"/>
        <v>184</v>
      </c>
      <c r="R138" s="64"/>
      <c r="S138" s="367">
        <f t="shared" si="41"/>
        <v>0</v>
      </c>
      <c r="T138" s="64"/>
      <c r="U138" s="64"/>
      <c r="V138" s="64"/>
      <c r="W138" s="64"/>
      <c r="X138" s="64"/>
      <c r="Y138" s="64"/>
    </row>
    <row r="139" spans="1:30" ht="26.25" x14ac:dyDescent="0.25">
      <c r="A139" s="22">
        <v>5111</v>
      </c>
      <c r="B139" s="23">
        <v>812100</v>
      </c>
      <c r="C139" s="9" t="s">
        <v>134</v>
      </c>
      <c r="D139" s="9"/>
      <c r="E139" s="36">
        <v>200</v>
      </c>
      <c r="F139" s="38">
        <f t="shared" si="23"/>
        <v>397</v>
      </c>
      <c r="G139" s="37">
        <f>SUM(I139:Q139)-K139-M139-P139</f>
        <v>184</v>
      </c>
      <c r="H139" s="37"/>
      <c r="I139" s="36"/>
      <c r="J139" s="36"/>
      <c r="K139" s="36"/>
      <c r="L139" s="36"/>
      <c r="M139" s="36"/>
      <c r="N139" s="36"/>
      <c r="O139" s="36"/>
      <c r="P139" s="36">
        <f>200+197</f>
        <v>397</v>
      </c>
      <c r="Q139" s="382">
        <v>184</v>
      </c>
      <c r="R139" s="47"/>
      <c r="S139" s="383"/>
      <c r="T139" s="47"/>
      <c r="U139" s="47"/>
      <c r="V139" s="47"/>
      <c r="W139" s="47"/>
      <c r="X139" s="47"/>
      <c r="Y139" s="47"/>
    </row>
    <row r="140" spans="1:30" ht="39" hidden="1" x14ac:dyDescent="0.25">
      <c r="A140" s="355">
        <v>5112</v>
      </c>
      <c r="B140" s="354">
        <v>813000</v>
      </c>
      <c r="C140" s="18" t="s">
        <v>135</v>
      </c>
      <c r="D140" s="18"/>
      <c r="E140" s="19">
        <f>E141</f>
        <v>0</v>
      </c>
      <c r="F140" s="19"/>
      <c r="G140" s="19">
        <f t="shared" si="35"/>
        <v>0</v>
      </c>
      <c r="H140" s="19"/>
      <c r="I140" s="19">
        <f t="shared" ref="I140:Q140" si="42">I141</f>
        <v>0</v>
      </c>
      <c r="J140" s="19">
        <f t="shared" si="42"/>
        <v>0</v>
      </c>
      <c r="K140" s="19"/>
      <c r="L140" s="19">
        <f t="shared" si="42"/>
        <v>0</v>
      </c>
      <c r="M140" s="19"/>
      <c r="N140" s="19">
        <f t="shared" si="42"/>
        <v>0</v>
      </c>
      <c r="O140" s="19">
        <f t="shared" si="42"/>
        <v>0</v>
      </c>
      <c r="P140" s="19"/>
      <c r="Q140" s="366">
        <f t="shared" si="42"/>
        <v>0</v>
      </c>
      <c r="R140" s="64"/>
      <c r="S140" s="367"/>
      <c r="T140" s="64"/>
      <c r="U140" s="64"/>
      <c r="V140" s="64"/>
      <c r="W140" s="64"/>
      <c r="X140" s="64"/>
      <c r="Y140" s="64"/>
    </row>
    <row r="141" spans="1:30" ht="26.25" hidden="1" x14ac:dyDescent="0.25">
      <c r="A141" s="22">
        <v>5113</v>
      </c>
      <c r="B141" s="23">
        <v>813100</v>
      </c>
      <c r="C141" s="9" t="s">
        <v>136</v>
      </c>
      <c r="D141" s="9"/>
      <c r="E141" s="36"/>
      <c r="F141" s="36"/>
      <c r="G141" s="37">
        <f t="shared" si="35"/>
        <v>0</v>
      </c>
      <c r="H141" s="37"/>
      <c r="I141" s="36"/>
      <c r="J141" s="36"/>
      <c r="K141" s="36"/>
      <c r="L141" s="36"/>
      <c r="M141" s="36"/>
      <c r="N141" s="36"/>
      <c r="O141" s="36"/>
      <c r="P141" s="36"/>
      <c r="Q141" s="382"/>
      <c r="R141" s="47"/>
      <c r="S141" s="383"/>
      <c r="T141" s="47"/>
      <c r="U141" s="47"/>
      <c r="V141" s="47"/>
      <c r="W141" s="47"/>
      <c r="X141" s="47"/>
      <c r="Y141" s="47"/>
    </row>
    <row r="142" spans="1:30" ht="26.25" hidden="1" x14ac:dyDescent="0.25">
      <c r="A142" s="355">
        <v>5114</v>
      </c>
      <c r="B142" s="354">
        <v>820000</v>
      </c>
      <c r="C142" s="18" t="s">
        <v>137</v>
      </c>
      <c r="D142" s="18"/>
      <c r="E142" s="19">
        <f>E143+E145+E147</f>
        <v>0</v>
      </c>
      <c r="F142" s="19"/>
      <c r="G142" s="19">
        <f t="shared" si="35"/>
        <v>0</v>
      </c>
      <c r="H142" s="19"/>
      <c r="I142" s="19">
        <f t="shared" ref="I142:Q142" si="43">I143+I145+I147</f>
        <v>0</v>
      </c>
      <c r="J142" s="19">
        <f t="shared" si="43"/>
        <v>0</v>
      </c>
      <c r="K142" s="19"/>
      <c r="L142" s="19">
        <f t="shared" si="43"/>
        <v>0</v>
      </c>
      <c r="M142" s="19"/>
      <c r="N142" s="19">
        <f t="shared" si="43"/>
        <v>0</v>
      </c>
      <c r="O142" s="19">
        <f t="shared" si="43"/>
        <v>0</v>
      </c>
      <c r="P142" s="19"/>
      <c r="Q142" s="366">
        <f t="shared" si="43"/>
        <v>0</v>
      </c>
      <c r="R142" s="64"/>
      <c r="S142" s="367"/>
      <c r="T142" s="64"/>
      <c r="U142" s="64"/>
      <c r="V142" s="64"/>
      <c r="W142" s="64"/>
      <c r="X142" s="64"/>
      <c r="Y142" s="64"/>
    </row>
    <row r="143" spans="1:30" ht="26.25" hidden="1" x14ac:dyDescent="0.25">
      <c r="A143" s="355">
        <v>5115</v>
      </c>
      <c r="B143" s="354">
        <v>821000</v>
      </c>
      <c r="C143" s="18" t="s">
        <v>138</v>
      </c>
      <c r="D143" s="18"/>
      <c r="E143" s="19">
        <f>E144</f>
        <v>0</v>
      </c>
      <c r="F143" s="19"/>
      <c r="G143" s="19">
        <f t="shared" si="35"/>
        <v>0</v>
      </c>
      <c r="H143" s="19"/>
      <c r="I143" s="19">
        <f t="shared" ref="I143:Q143" si="44">I144</f>
        <v>0</v>
      </c>
      <c r="J143" s="19">
        <f t="shared" si="44"/>
        <v>0</v>
      </c>
      <c r="K143" s="19"/>
      <c r="L143" s="19">
        <f t="shared" si="44"/>
        <v>0</v>
      </c>
      <c r="M143" s="19"/>
      <c r="N143" s="19">
        <f t="shared" si="44"/>
        <v>0</v>
      </c>
      <c r="O143" s="19">
        <f t="shared" si="44"/>
        <v>0</v>
      </c>
      <c r="P143" s="19"/>
      <c r="Q143" s="366">
        <f t="shared" si="44"/>
        <v>0</v>
      </c>
      <c r="R143" s="64"/>
      <c r="S143" s="367"/>
      <c r="T143" s="64"/>
      <c r="U143" s="64"/>
      <c r="V143" s="64"/>
      <c r="W143" s="64"/>
      <c r="X143" s="64"/>
      <c r="Y143" s="64"/>
    </row>
    <row r="144" spans="1:30" ht="26.25" hidden="1" x14ac:dyDescent="0.25">
      <c r="A144" s="22">
        <v>5116</v>
      </c>
      <c r="B144" s="23">
        <v>821100</v>
      </c>
      <c r="C144" s="9" t="s">
        <v>139</v>
      </c>
      <c r="D144" s="9"/>
      <c r="E144" s="36"/>
      <c r="F144" s="36"/>
      <c r="G144" s="37">
        <f t="shared" si="35"/>
        <v>0</v>
      </c>
      <c r="H144" s="37"/>
      <c r="I144" s="36"/>
      <c r="J144" s="36"/>
      <c r="K144" s="36"/>
      <c r="L144" s="36"/>
      <c r="M144" s="36"/>
      <c r="N144" s="36"/>
      <c r="O144" s="36"/>
      <c r="P144" s="36"/>
      <c r="Q144" s="382"/>
      <c r="R144" s="47"/>
      <c r="S144" s="383"/>
      <c r="T144" s="47"/>
      <c r="U144" s="47"/>
      <c r="V144" s="47"/>
      <c r="W144" s="47"/>
      <c r="X144" s="47"/>
      <c r="Y144" s="47"/>
    </row>
    <row r="145" spans="1:25" ht="39" hidden="1" x14ac:dyDescent="0.25">
      <c r="A145" s="355">
        <v>5117</v>
      </c>
      <c r="B145" s="354">
        <v>822000</v>
      </c>
      <c r="C145" s="18" t="s">
        <v>140</v>
      </c>
      <c r="D145" s="18"/>
      <c r="E145" s="19">
        <f>E146</f>
        <v>0</v>
      </c>
      <c r="F145" s="19"/>
      <c r="G145" s="19">
        <f t="shared" si="35"/>
        <v>0</v>
      </c>
      <c r="H145" s="19"/>
      <c r="I145" s="19">
        <f t="shared" ref="I145:Q145" si="45">I146</f>
        <v>0</v>
      </c>
      <c r="J145" s="19">
        <f t="shared" si="45"/>
        <v>0</v>
      </c>
      <c r="K145" s="19"/>
      <c r="L145" s="19">
        <f t="shared" si="45"/>
        <v>0</v>
      </c>
      <c r="M145" s="19"/>
      <c r="N145" s="19">
        <f t="shared" si="45"/>
        <v>0</v>
      </c>
      <c r="O145" s="19">
        <f t="shared" si="45"/>
        <v>0</v>
      </c>
      <c r="P145" s="19"/>
      <c r="Q145" s="366">
        <f t="shared" si="45"/>
        <v>0</v>
      </c>
      <c r="R145" s="64"/>
      <c r="S145" s="367"/>
      <c r="T145" s="64"/>
      <c r="U145" s="64"/>
      <c r="V145" s="64"/>
      <c r="W145" s="64"/>
      <c r="X145" s="64"/>
      <c r="Y145" s="64"/>
    </row>
    <row r="146" spans="1:25" ht="26.25" hidden="1" x14ac:dyDescent="0.25">
      <c r="A146" s="22">
        <v>5118</v>
      </c>
      <c r="B146" s="23">
        <v>822100</v>
      </c>
      <c r="C146" s="9" t="s">
        <v>141</v>
      </c>
      <c r="D146" s="9"/>
      <c r="E146" s="36"/>
      <c r="F146" s="36"/>
      <c r="G146" s="37">
        <f t="shared" si="35"/>
        <v>0</v>
      </c>
      <c r="H146" s="37"/>
      <c r="I146" s="36"/>
      <c r="J146" s="36"/>
      <c r="K146" s="36"/>
      <c r="L146" s="36"/>
      <c r="M146" s="36"/>
      <c r="N146" s="36"/>
      <c r="O146" s="36"/>
      <c r="P146" s="36"/>
      <c r="Q146" s="382"/>
      <c r="R146" s="47"/>
      <c r="S146" s="383"/>
      <c r="T146" s="47"/>
      <c r="U146" s="47"/>
      <c r="V146" s="47"/>
      <c r="W146" s="47"/>
      <c r="X146" s="47"/>
      <c r="Y146" s="47"/>
    </row>
    <row r="147" spans="1:25" ht="39" hidden="1" x14ac:dyDescent="0.25">
      <c r="A147" s="355">
        <v>5119</v>
      </c>
      <c r="B147" s="354">
        <v>823000</v>
      </c>
      <c r="C147" s="18" t="s">
        <v>142</v>
      </c>
      <c r="D147" s="18"/>
      <c r="E147" s="19">
        <f>E148</f>
        <v>0</v>
      </c>
      <c r="F147" s="19"/>
      <c r="G147" s="19">
        <f t="shared" si="35"/>
        <v>0</v>
      </c>
      <c r="H147" s="19"/>
      <c r="I147" s="19">
        <f t="shared" ref="I147:Q147" si="46">I148</f>
        <v>0</v>
      </c>
      <c r="J147" s="19">
        <f t="shared" si="46"/>
        <v>0</v>
      </c>
      <c r="K147" s="19"/>
      <c r="L147" s="19">
        <f t="shared" si="46"/>
        <v>0</v>
      </c>
      <c r="M147" s="19"/>
      <c r="N147" s="19">
        <f t="shared" si="46"/>
        <v>0</v>
      </c>
      <c r="O147" s="19">
        <f t="shared" si="46"/>
        <v>0</v>
      </c>
      <c r="P147" s="19"/>
      <c r="Q147" s="366">
        <f t="shared" si="46"/>
        <v>0</v>
      </c>
      <c r="R147" s="64"/>
      <c r="S147" s="367"/>
      <c r="T147" s="64"/>
      <c r="U147" s="64"/>
      <c r="V147" s="64"/>
      <c r="W147" s="64"/>
      <c r="X147" s="64"/>
      <c r="Y147" s="64"/>
    </row>
    <row r="148" spans="1:25" ht="26.25" hidden="1" x14ac:dyDescent="0.25">
      <c r="A148" s="22">
        <v>5120</v>
      </c>
      <c r="B148" s="23">
        <v>823100</v>
      </c>
      <c r="C148" s="9" t="s">
        <v>143</v>
      </c>
      <c r="D148" s="9"/>
      <c r="E148" s="36"/>
      <c r="F148" s="36"/>
      <c r="G148" s="37">
        <f t="shared" si="35"/>
        <v>0</v>
      </c>
      <c r="H148" s="37"/>
      <c r="I148" s="36"/>
      <c r="J148" s="36"/>
      <c r="K148" s="36"/>
      <c r="L148" s="36"/>
      <c r="M148" s="36"/>
      <c r="N148" s="36"/>
      <c r="O148" s="36"/>
      <c r="P148" s="36"/>
      <c r="Q148" s="382"/>
      <c r="R148" s="47"/>
      <c r="S148" s="383"/>
      <c r="T148" s="47"/>
      <c r="U148" s="47"/>
      <c r="V148" s="47"/>
      <c r="W148" s="47"/>
      <c r="X148" s="47"/>
      <c r="Y148" s="47"/>
    </row>
    <row r="149" spans="1:25" ht="26.25" hidden="1" x14ac:dyDescent="0.25">
      <c r="A149" s="355">
        <v>5121</v>
      </c>
      <c r="B149" s="354">
        <v>830000</v>
      </c>
      <c r="C149" s="18" t="s">
        <v>144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ref="I149:Q150" si="47">I150</f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366">
        <f t="shared" si="47"/>
        <v>0</v>
      </c>
      <c r="R149" s="64"/>
      <c r="S149" s="367"/>
      <c r="T149" s="64"/>
      <c r="U149" s="64"/>
      <c r="V149" s="64"/>
      <c r="W149" s="64"/>
      <c r="X149" s="64"/>
      <c r="Y149" s="64"/>
    </row>
    <row r="150" spans="1:25" ht="26.25" hidden="1" x14ac:dyDescent="0.25">
      <c r="A150" s="355">
        <v>5122</v>
      </c>
      <c r="B150" s="354">
        <v>831000</v>
      </c>
      <c r="C150" s="18" t="s">
        <v>145</v>
      </c>
      <c r="D150" s="18"/>
      <c r="E150" s="19">
        <f>E151</f>
        <v>0</v>
      </c>
      <c r="F150" s="19"/>
      <c r="G150" s="19">
        <f t="shared" si="35"/>
        <v>0</v>
      </c>
      <c r="H150" s="19"/>
      <c r="I150" s="19">
        <f t="shared" si="47"/>
        <v>0</v>
      </c>
      <c r="J150" s="19">
        <f t="shared" si="47"/>
        <v>0</v>
      </c>
      <c r="K150" s="19"/>
      <c r="L150" s="19">
        <f t="shared" si="47"/>
        <v>0</v>
      </c>
      <c r="M150" s="19"/>
      <c r="N150" s="19">
        <f t="shared" si="47"/>
        <v>0</v>
      </c>
      <c r="O150" s="19">
        <f t="shared" si="47"/>
        <v>0</v>
      </c>
      <c r="P150" s="19"/>
      <c r="Q150" s="366">
        <f t="shared" si="47"/>
        <v>0</v>
      </c>
      <c r="R150" s="64"/>
      <c r="S150" s="367"/>
      <c r="T150" s="64"/>
      <c r="U150" s="64"/>
      <c r="V150" s="64"/>
      <c r="W150" s="64"/>
      <c r="X150" s="64"/>
      <c r="Y150" s="64"/>
    </row>
    <row r="151" spans="1:25" ht="26.25" hidden="1" x14ac:dyDescent="0.25">
      <c r="A151" s="22">
        <v>5123</v>
      </c>
      <c r="B151" s="23">
        <v>831100</v>
      </c>
      <c r="C151" s="9" t="s">
        <v>146</v>
      </c>
      <c r="D151" s="9"/>
      <c r="E151" s="36"/>
      <c r="F151" s="36"/>
      <c r="G151" s="37">
        <f t="shared" si="35"/>
        <v>0</v>
      </c>
      <c r="H151" s="37"/>
      <c r="I151" s="36"/>
      <c r="J151" s="36"/>
      <c r="K151" s="36"/>
      <c r="L151" s="36"/>
      <c r="M151" s="36"/>
      <c r="N151" s="36"/>
      <c r="O151" s="36"/>
      <c r="P151" s="36"/>
      <c r="Q151" s="382"/>
      <c r="R151" s="47"/>
      <c r="S151" s="383"/>
      <c r="T151" s="47"/>
      <c r="U151" s="47"/>
      <c r="V151" s="47"/>
      <c r="W151" s="47"/>
      <c r="X151" s="47"/>
      <c r="Y151" s="47"/>
    </row>
    <row r="152" spans="1:25" ht="39" hidden="1" x14ac:dyDescent="0.25">
      <c r="A152" s="355">
        <v>5124</v>
      </c>
      <c r="B152" s="354">
        <v>840000</v>
      </c>
      <c r="C152" s="18" t="s">
        <v>147</v>
      </c>
      <c r="D152" s="18"/>
      <c r="E152" s="19">
        <f>E153+E155+E161</f>
        <v>0</v>
      </c>
      <c r="F152" s="19"/>
      <c r="G152" s="19">
        <f t="shared" si="35"/>
        <v>0</v>
      </c>
      <c r="H152" s="19"/>
      <c r="I152" s="19">
        <f t="shared" ref="I152:Q152" si="48">I153+I155+I161</f>
        <v>0</v>
      </c>
      <c r="J152" s="19">
        <f t="shared" si="48"/>
        <v>0</v>
      </c>
      <c r="K152" s="19"/>
      <c r="L152" s="19">
        <f t="shared" si="48"/>
        <v>0</v>
      </c>
      <c r="M152" s="19"/>
      <c r="N152" s="19">
        <f t="shared" si="48"/>
        <v>0</v>
      </c>
      <c r="O152" s="19">
        <f t="shared" si="48"/>
        <v>0</v>
      </c>
      <c r="P152" s="19"/>
      <c r="Q152" s="366">
        <f t="shared" si="48"/>
        <v>0</v>
      </c>
      <c r="R152" s="64"/>
      <c r="S152" s="367"/>
      <c r="T152" s="64"/>
      <c r="U152" s="64"/>
      <c r="V152" s="64"/>
      <c r="W152" s="64"/>
      <c r="X152" s="64"/>
      <c r="Y152" s="64"/>
    </row>
    <row r="153" spans="1:25" ht="26.25" hidden="1" x14ac:dyDescent="0.25">
      <c r="A153" s="355">
        <v>5125</v>
      </c>
      <c r="B153" s="354">
        <v>841000</v>
      </c>
      <c r="C153" s="18" t="s">
        <v>148</v>
      </c>
      <c r="D153" s="18"/>
      <c r="E153" s="19">
        <f>E154</f>
        <v>0</v>
      </c>
      <c r="F153" s="19"/>
      <c r="G153" s="19">
        <f t="shared" si="35"/>
        <v>0</v>
      </c>
      <c r="H153" s="19"/>
      <c r="I153" s="19">
        <f t="shared" ref="I153:Q153" si="49">I154</f>
        <v>0</v>
      </c>
      <c r="J153" s="19">
        <f t="shared" si="49"/>
        <v>0</v>
      </c>
      <c r="K153" s="19"/>
      <c r="L153" s="19">
        <f t="shared" si="49"/>
        <v>0</v>
      </c>
      <c r="M153" s="19"/>
      <c r="N153" s="19">
        <f t="shared" si="49"/>
        <v>0</v>
      </c>
      <c r="O153" s="19">
        <f t="shared" si="49"/>
        <v>0</v>
      </c>
      <c r="P153" s="19"/>
      <c r="Q153" s="366">
        <f t="shared" si="49"/>
        <v>0</v>
      </c>
      <c r="R153" s="64"/>
      <c r="S153" s="367"/>
      <c r="T153" s="64"/>
      <c r="U153" s="64"/>
      <c r="V153" s="64"/>
      <c r="W153" s="64"/>
      <c r="X153" s="64"/>
      <c r="Y153" s="64"/>
    </row>
    <row r="154" spans="1:25" hidden="1" x14ac:dyDescent="0.25">
      <c r="A154" s="22">
        <v>5126</v>
      </c>
      <c r="B154" s="23">
        <v>841100</v>
      </c>
      <c r="C154" s="9" t="s">
        <v>149</v>
      </c>
      <c r="D154" s="9"/>
      <c r="E154" s="36"/>
      <c r="F154" s="36"/>
      <c r="G154" s="37">
        <f t="shared" si="35"/>
        <v>0</v>
      </c>
      <c r="H154" s="37"/>
      <c r="I154" s="36"/>
      <c r="J154" s="36"/>
      <c r="K154" s="36"/>
      <c r="L154" s="36"/>
      <c r="M154" s="36"/>
      <c r="N154" s="36"/>
      <c r="O154" s="36"/>
      <c r="P154" s="36"/>
      <c r="Q154" s="382"/>
      <c r="R154" s="47"/>
      <c r="S154" s="383"/>
      <c r="T154" s="47"/>
      <c r="U154" s="47"/>
      <c r="V154" s="47"/>
      <c r="W154" s="47"/>
      <c r="X154" s="47"/>
      <c r="Y154" s="47"/>
    </row>
    <row r="155" spans="1:25" ht="26.25" hidden="1" x14ac:dyDescent="0.25">
      <c r="A155" s="355">
        <v>5127</v>
      </c>
      <c r="B155" s="354">
        <v>842000</v>
      </c>
      <c r="C155" s="18" t="s">
        <v>150</v>
      </c>
      <c r="D155" s="18"/>
      <c r="E155" s="19">
        <f>E160</f>
        <v>0</v>
      </c>
      <c r="F155" s="19"/>
      <c r="G155" s="19">
        <f t="shared" si="35"/>
        <v>0</v>
      </c>
      <c r="H155" s="19"/>
      <c r="I155" s="19">
        <f t="shared" ref="I155:Q155" si="50">I160</f>
        <v>0</v>
      </c>
      <c r="J155" s="19">
        <f t="shared" si="50"/>
        <v>0</v>
      </c>
      <c r="K155" s="19"/>
      <c r="L155" s="19">
        <f t="shared" si="50"/>
        <v>0</v>
      </c>
      <c r="M155" s="19"/>
      <c r="N155" s="19">
        <f t="shared" si="50"/>
        <v>0</v>
      </c>
      <c r="O155" s="19">
        <f t="shared" si="50"/>
        <v>0</v>
      </c>
      <c r="P155" s="19"/>
      <c r="Q155" s="366">
        <f t="shared" si="50"/>
        <v>0</v>
      </c>
      <c r="R155" s="64"/>
      <c r="S155" s="367"/>
      <c r="T155" s="64"/>
      <c r="U155" s="64"/>
      <c r="V155" s="64"/>
      <c r="W155" s="64"/>
      <c r="X155" s="64"/>
      <c r="Y155" s="64"/>
    </row>
    <row r="156" spans="1:25" hidden="1" x14ac:dyDescent="0.25">
      <c r="A156" s="546" t="s">
        <v>0</v>
      </c>
      <c r="B156" s="543" t="s">
        <v>1</v>
      </c>
      <c r="C156" s="542" t="s">
        <v>2</v>
      </c>
      <c r="D156" s="360"/>
      <c r="E156" s="544" t="s">
        <v>3</v>
      </c>
      <c r="F156" s="354"/>
      <c r="G156" s="544" t="s">
        <v>4</v>
      </c>
      <c r="H156" s="544"/>
      <c r="I156" s="544"/>
      <c r="J156" s="544"/>
      <c r="K156" s="544"/>
      <c r="L156" s="544"/>
      <c r="M156" s="544"/>
      <c r="N156" s="544"/>
      <c r="O156" s="544"/>
      <c r="P156" s="544"/>
      <c r="Q156" s="547"/>
      <c r="R156" s="61"/>
      <c r="S156" s="61"/>
      <c r="T156" s="61"/>
      <c r="U156" s="61"/>
      <c r="V156" s="61"/>
      <c r="W156" s="61"/>
      <c r="X156" s="61"/>
      <c r="Y156" s="61"/>
    </row>
    <row r="157" spans="1:25" hidden="1" x14ac:dyDescent="0.25">
      <c r="A157" s="546"/>
      <c r="B157" s="543"/>
      <c r="C157" s="542"/>
      <c r="D157" s="360"/>
      <c r="E157" s="544"/>
      <c r="F157" s="354"/>
      <c r="G157" s="548" t="s">
        <v>5</v>
      </c>
      <c r="H157" s="353"/>
      <c r="I157" s="544" t="s">
        <v>6</v>
      </c>
      <c r="J157" s="544"/>
      <c r="K157" s="544"/>
      <c r="L157" s="544"/>
      <c r="M157" s="544"/>
      <c r="N157" s="544"/>
      <c r="O157" s="544" t="s">
        <v>7</v>
      </c>
      <c r="P157" s="354"/>
      <c r="Q157" s="534" t="s">
        <v>8</v>
      </c>
      <c r="R157" s="61"/>
      <c r="S157" s="61"/>
      <c r="T157" s="61"/>
      <c r="U157" s="61"/>
      <c r="V157" s="61"/>
      <c r="W157" s="61"/>
      <c r="X157" s="61"/>
      <c r="Y157" s="61"/>
    </row>
    <row r="158" spans="1:25" ht="166.5" hidden="1" x14ac:dyDescent="0.25">
      <c r="A158" s="546"/>
      <c r="B158" s="543"/>
      <c r="C158" s="542"/>
      <c r="D158" s="360"/>
      <c r="E158" s="544"/>
      <c r="F158" s="354"/>
      <c r="G158" s="548"/>
      <c r="H158" s="353"/>
      <c r="I158" s="354" t="s">
        <v>9</v>
      </c>
      <c r="J158" s="354" t="s">
        <v>10</v>
      </c>
      <c r="K158" s="354"/>
      <c r="L158" s="354" t="s">
        <v>11</v>
      </c>
      <c r="M158" s="354"/>
      <c r="N158" s="354" t="s">
        <v>12</v>
      </c>
      <c r="O158" s="544"/>
      <c r="P158" s="354"/>
      <c r="Q158" s="534"/>
      <c r="R158" s="61"/>
      <c r="S158" s="364"/>
      <c r="T158" s="61"/>
      <c r="U158" s="61"/>
      <c r="V158" s="61"/>
      <c r="W158" s="61"/>
      <c r="X158" s="61"/>
      <c r="Y158" s="61"/>
    </row>
    <row r="159" spans="1:25" ht="26.25" hidden="1" x14ac:dyDescent="0.25">
      <c r="A159" s="31" t="s">
        <v>18</v>
      </c>
      <c r="B159" s="359" t="s">
        <v>19</v>
      </c>
      <c r="C159" s="359" t="s">
        <v>20</v>
      </c>
      <c r="D159" s="359"/>
      <c r="E159" s="33" t="s">
        <v>21</v>
      </c>
      <c r="F159" s="33"/>
      <c r="G159" s="33" t="s">
        <v>22</v>
      </c>
      <c r="H159" s="33"/>
      <c r="I159" s="33" t="s">
        <v>23</v>
      </c>
      <c r="J159" s="33" t="s">
        <v>24</v>
      </c>
      <c r="K159" s="33"/>
      <c r="L159" s="33" t="s">
        <v>25</v>
      </c>
      <c r="M159" s="33"/>
      <c r="N159" s="33" t="s">
        <v>26</v>
      </c>
      <c r="O159" s="33" t="s">
        <v>27</v>
      </c>
      <c r="P159" s="33"/>
      <c r="Q159" s="374" t="s">
        <v>28</v>
      </c>
      <c r="R159" s="375"/>
      <c r="S159" s="376"/>
      <c r="T159" s="375"/>
      <c r="U159" s="375"/>
      <c r="V159" s="375"/>
      <c r="W159" s="375"/>
      <c r="X159" s="375"/>
      <c r="Y159" s="375"/>
    </row>
    <row r="160" spans="1:25" ht="26.25" hidden="1" x14ac:dyDescent="0.25">
      <c r="A160" s="22">
        <v>5128</v>
      </c>
      <c r="B160" s="23">
        <v>842100</v>
      </c>
      <c r="C160" s="9" t="s">
        <v>151</v>
      </c>
      <c r="D160" s="9"/>
      <c r="E160" s="36"/>
      <c r="F160" s="36"/>
      <c r="G160" s="37">
        <f t="shared" si="35"/>
        <v>0</v>
      </c>
      <c r="H160" s="37"/>
      <c r="I160" s="36"/>
      <c r="J160" s="36"/>
      <c r="K160" s="36"/>
      <c r="L160" s="36"/>
      <c r="M160" s="36"/>
      <c r="N160" s="36"/>
      <c r="O160" s="36"/>
      <c r="P160" s="36"/>
      <c r="Q160" s="382"/>
      <c r="R160" s="47"/>
      <c r="S160" s="383"/>
      <c r="T160" s="47"/>
      <c r="U160" s="47"/>
      <c r="V160" s="47"/>
      <c r="W160" s="47"/>
      <c r="X160" s="47"/>
      <c r="Y160" s="47"/>
    </row>
    <row r="161" spans="1:25" ht="26.25" hidden="1" x14ac:dyDescent="0.25">
      <c r="A161" s="355">
        <v>5129</v>
      </c>
      <c r="B161" s="354">
        <v>843000</v>
      </c>
      <c r="C161" s="18" t="s">
        <v>152</v>
      </c>
      <c r="D161" s="18"/>
      <c r="E161" s="19">
        <f>E162</f>
        <v>0</v>
      </c>
      <c r="F161" s="19"/>
      <c r="G161" s="19">
        <f t="shared" si="35"/>
        <v>0</v>
      </c>
      <c r="H161" s="19"/>
      <c r="I161" s="19">
        <f t="shared" ref="I161:Q161" si="51">I162</f>
        <v>0</v>
      </c>
      <c r="J161" s="19">
        <f t="shared" si="51"/>
        <v>0</v>
      </c>
      <c r="K161" s="19"/>
      <c r="L161" s="19">
        <f t="shared" si="51"/>
        <v>0</v>
      </c>
      <c r="M161" s="19"/>
      <c r="N161" s="19">
        <f t="shared" si="51"/>
        <v>0</v>
      </c>
      <c r="O161" s="19">
        <f t="shared" si="51"/>
        <v>0</v>
      </c>
      <c r="P161" s="19"/>
      <c r="Q161" s="366">
        <f t="shared" si="51"/>
        <v>0</v>
      </c>
      <c r="R161" s="64"/>
      <c r="S161" s="367"/>
      <c r="T161" s="64"/>
      <c r="U161" s="64"/>
      <c r="V161" s="64"/>
      <c r="W161" s="64"/>
      <c r="X161" s="64"/>
      <c r="Y161" s="64"/>
    </row>
    <row r="162" spans="1:25" hidden="1" x14ac:dyDescent="0.25">
      <c r="A162" s="22">
        <v>5130</v>
      </c>
      <c r="B162" s="23">
        <v>843100</v>
      </c>
      <c r="C162" s="9" t="s">
        <v>153</v>
      </c>
      <c r="D162" s="9"/>
      <c r="E162" s="36"/>
      <c r="F162" s="36"/>
      <c r="G162" s="37">
        <f t="shared" si="35"/>
        <v>0</v>
      </c>
      <c r="H162" s="37"/>
      <c r="I162" s="36"/>
      <c r="J162" s="36"/>
      <c r="K162" s="36"/>
      <c r="L162" s="36"/>
      <c r="M162" s="36"/>
      <c r="N162" s="36"/>
      <c r="O162" s="36"/>
      <c r="P162" s="36"/>
      <c r="Q162" s="382"/>
      <c r="R162" s="47"/>
      <c r="S162" s="383"/>
      <c r="T162" s="47"/>
      <c r="U162" s="47"/>
      <c r="V162" s="47"/>
      <c r="W162" s="47"/>
      <c r="X162" s="47"/>
      <c r="Y162" s="47"/>
    </row>
    <row r="163" spans="1:25" ht="51.75" hidden="1" x14ac:dyDescent="0.25">
      <c r="A163" s="355">
        <v>5131</v>
      </c>
      <c r="B163" s="354">
        <v>900000</v>
      </c>
      <c r="C163" s="18" t="s">
        <v>154</v>
      </c>
      <c r="D163" s="18"/>
      <c r="E163" s="19">
        <f>E164+E187</f>
        <v>0</v>
      </c>
      <c r="F163" s="19"/>
      <c r="G163" s="19">
        <f t="shared" ref="G163:G198" si="52">SUM(I163:Q163)</f>
        <v>0</v>
      </c>
      <c r="H163" s="19"/>
      <c r="I163" s="19">
        <f t="shared" ref="I163:Q163" si="53">I164+I187</f>
        <v>0</v>
      </c>
      <c r="J163" s="19">
        <f t="shared" si="53"/>
        <v>0</v>
      </c>
      <c r="K163" s="19"/>
      <c r="L163" s="19">
        <f t="shared" si="53"/>
        <v>0</v>
      </c>
      <c r="M163" s="19"/>
      <c r="N163" s="19">
        <f t="shared" si="53"/>
        <v>0</v>
      </c>
      <c r="O163" s="19">
        <f t="shared" si="53"/>
        <v>0</v>
      </c>
      <c r="P163" s="19"/>
      <c r="Q163" s="366">
        <f t="shared" si="53"/>
        <v>0</v>
      </c>
      <c r="R163" s="64"/>
      <c r="S163" s="367"/>
      <c r="T163" s="64"/>
      <c r="U163" s="64"/>
      <c r="V163" s="64"/>
      <c r="W163" s="64"/>
      <c r="X163" s="64"/>
      <c r="Y163" s="64"/>
    </row>
    <row r="164" spans="1:25" ht="26.25" hidden="1" x14ac:dyDescent="0.25">
      <c r="A164" s="355">
        <v>5132</v>
      </c>
      <c r="B164" s="354">
        <v>910000</v>
      </c>
      <c r="C164" s="18" t="s">
        <v>155</v>
      </c>
      <c r="D164" s="18"/>
      <c r="E164" s="19">
        <f>E165+E175</f>
        <v>0</v>
      </c>
      <c r="F164" s="19"/>
      <c r="G164" s="19">
        <f t="shared" si="52"/>
        <v>0</v>
      </c>
      <c r="H164" s="19"/>
      <c r="I164" s="19">
        <f t="shared" ref="I164:Q164" si="54">I165+I175</f>
        <v>0</v>
      </c>
      <c r="J164" s="19">
        <f t="shared" si="54"/>
        <v>0</v>
      </c>
      <c r="K164" s="19"/>
      <c r="L164" s="19">
        <f t="shared" si="54"/>
        <v>0</v>
      </c>
      <c r="M164" s="19"/>
      <c r="N164" s="19">
        <f t="shared" si="54"/>
        <v>0</v>
      </c>
      <c r="O164" s="19">
        <f t="shared" si="54"/>
        <v>0</v>
      </c>
      <c r="P164" s="19"/>
      <c r="Q164" s="366">
        <f t="shared" si="54"/>
        <v>0</v>
      </c>
      <c r="R164" s="64"/>
      <c r="S164" s="367"/>
      <c r="T164" s="64"/>
      <c r="U164" s="64"/>
      <c r="V164" s="64"/>
      <c r="W164" s="64"/>
      <c r="X164" s="64"/>
      <c r="Y164" s="64"/>
    </row>
    <row r="165" spans="1:25" ht="39" hidden="1" x14ac:dyDescent="0.25">
      <c r="A165" s="355">
        <v>5133</v>
      </c>
      <c r="B165" s="354">
        <v>911000</v>
      </c>
      <c r="C165" s="18" t="s">
        <v>156</v>
      </c>
      <c r="D165" s="18"/>
      <c r="E165" s="19">
        <f>SUM(E166:E174)</f>
        <v>0</v>
      </c>
      <c r="F165" s="19"/>
      <c r="G165" s="19">
        <f t="shared" si="52"/>
        <v>0</v>
      </c>
      <c r="H165" s="19"/>
      <c r="I165" s="19">
        <f t="shared" ref="I165:Q165" si="55">SUM(I166:I174)</f>
        <v>0</v>
      </c>
      <c r="J165" s="19">
        <f t="shared" si="55"/>
        <v>0</v>
      </c>
      <c r="K165" s="19"/>
      <c r="L165" s="19">
        <f t="shared" si="55"/>
        <v>0</v>
      </c>
      <c r="M165" s="19"/>
      <c r="N165" s="19">
        <f t="shared" si="55"/>
        <v>0</v>
      </c>
      <c r="O165" s="19">
        <f t="shared" si="55"/>
        <v>0</v>
      </c>
      <c r="P165" s="19"/>
      <c r="Q165" s="366">
        <f t="shared" si="55"/>
        <v>0</v>
      </c>
      <c r="R165" s="64"/>
      <c r="S165" s="367"/>
      <c r="T165" s="64"/>
      <c r="U165" s="64"/>
      <c r="V165" s="64"/>
      <c r="W165" s="64"/>
      <c r="X165" s="64"/>
      <c r="Y165" s="64"/>
    </row>
    <row r="166" spans="1:25" ht="39" hidden="1" x14ac:dyDescent="0.25">
      <c r="A166" s="22">
        <v>5134</v>
      </c>
      <c r="B166" s="23">
        <v>911100</v>
      </c>
      <c r="C166" s="9" t="s">
        <v>157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382"/>
      <c r="R166" s="47"/>
      <c r="S166" s="383"/>
      <c r="T166" s="47"/>
      <c r="U166" s="47"/>
      <c r="V166" s="47"/>
      <c r="W166" s="47"/>
      <c r="X166" s="47"/>
      <c r="Y166" s="47"/>
    </row>
    <row r="167" spans="1:25" ht="26.25" hidden="1" x14ac:dyDescent="0.25">
      <c r="A167" s="22">
        <v>5135</v>
      </c>
      <c r="B167" s="23">
        <v>911200</v>
      </c>
      <c r="C167" s="9" t="s">
        <v>158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382"/>
      <c r="R167" s="47"/>
      <c r="S167" s="383"/>
      <c r="T167" s="47"/>
      <c r="U167" s="47"/>
      <c r="V167" s="47"/>
      <c r="W167" s="47"/>
      <c r="X167" s="47"/>
      <c r="Y167" s="47"/>
    </row>
    <row r="168" spans="1:25" ht="39" hidden="1" x14ac:dyDescent="0.25">
      <c r="A168" s="22">
        <v>5136</v>
      </c>
      <c r="B168" s="23">
        <v>911300</v>
      </c>
      <c r="C168" s="9" t="s">
        <v>159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382"/>
      <c r="R168" s="47"/>
      <c r="S168" s="383"/>
      <c r="T168" s="47"/>
      <c r="U168" s="47"/>
      <c r="V168" s="47"/>
      <c r="W168" s="47"/>
      <c r="X168" s="47"/>
      <c r="Y168" s="47"/>
    </row>
    <row r="169" spans="1:25" ht="26.25" hidden="1" x14ac:dyDescent="0.25">
      <c r="A169" s="22">
        <v>5137</v>
      </c>
      <c r="B169" s="23">
        <v>911400</v>
      </c>
      <c r="C169" s="9" t="s">
        <v>160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382"/>
      <c r="R169" s="47"/>
      <c r="S169" s="383"/>
      <c r="T169" s="47"/>
      <c r="U169" s="47"/>
      <c r="V169" s="47"/>
      <c r="W169" s="47"/>
      <c r="X169" s="47"/>
      <c r="Y169" s="47"/>
    </row>
    <row r="170" spans="1:25" ht="26.25" hidden="1" x14ac:dyDescent="0.25">
      <c r="A170" s="22">
        <v>5138</v>
      </c>
      <c r="B170" s="23">
        <v>911500</v>
      </c>
      <c r="C170" s="9" t="s">
        <v>161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382"/>
      <c r="R170" s="47"/>
      <c r="S170" s="383"/>
      <c r="T170" s="47"/>
      <c r="U170" s="47"/>
      <c r="V170" s="47"/>
      <c r="W170" s="47"/>
      <c r="X170" s="47"/>
      <c r="Y170" s="47"/>
    </row>
    <row r="171" spans="1:25" ht="26.25" hidden="1" x14ac:dyDescent="0.25">
      <c r="A171" s="22">
        <v>5139</v>
      </c>
      <c r="B171" s="23">
        <v>911600</v>
      </c>
      <c r="C171" s="9" t="s">
        <v>162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382"/>
      <c r="R171" s="47"/>
      <c r="S171" s="383"/>
      <c r="T171" s="47"/>
      <c r="U171" s="47"/>
      <c r="V171" s="47"/>
      <c r="W171" s="47"/>
      <c r="X171" s="47"/>
      <c r="Y171" s="47"/>
    </row>
    <row r="172" spans="1:25" ht="26.25" hidden="1" x14ac:dyDescent="0.25">
      <c r="A172" s="22">
        <v>5140</v>
      </c>
      <c r="B172" s="23">
        <v>911700</v>
      </c>
      <c r="C172" s="9" t="s">
        <v>163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382"/>
      <c r="R172" s="47"/>
      <c r="S172" s="383"/>
      <c r="T172" s="47"/>
      <c r="U172" s="47"/>
      <c r="V172" s="47"/>
      <c r="W172" s="47"/>
      <c r="X172" s="47"/>
      <c r="Y172" s="47"/>
    </row>
    <row r="173" spans="1:25" hidden="1" x14ac:dyDescent="0.25">
      <c r="A173" s="22">
        <v>5141</v>
      </c>
      <c r="B173" s="23">
        <v>911800</v>
      </c>
      <c r="C173" s="9" t="s">
        <v>164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382"/>
      <c r="R173" s="47"/>
      <c r="S173" s="383"/>
      <c r="T173" s="47"/>
      <c r="U173" s="47"/>
      <c r="V173" s="47"/>
      <c r="W173" s="47"/>
      <c r="X173" s="47"/>
      <c r="Y173" s="47"/>
    </row>
    <row r="174" spans="1:25" hidden="1" x14ac:dyDescent="0.25">
      <c r="A174" s="22">
        <v>5142</v>
      </c>
      <c r="B174" s="23">
        <v>911900</v>
      </c>
      <c r="C174" s="9" t="s">
        <v>165</v>
      </c>
      <c r="D174" s="9"/>
      <c r="E174" s="36"/>
      <c r="F174" s="36"/>
      <c r="G174" s="37">
        <f t="shared" si="52"/>
        <v>0</v>
      </c>
      <c r="H174" s="37"/>
      <c r="I174" s="36"/>
      <c r="J174" s="36"/>
      <c r="K174" s="36"/>
      <c r="L174" s="36"/>
      <c r="M174" s="36"/>
      <c r="N174" s="36"/>
      <c r="O174" s="36"/>
      <c r="P174" s="36"/>
      <c r="Q174" s="382"/>
      <c r="R174" s="47"/>
      <c r="S174" s="383"/>
      <c r="T174" s="47"/>
      <c r="U174" s="47"/>
      <c r="V174" s="47"/>
      <c r="W174" s="47"/>
      <c r="X174" s="47"/>
      <c r="Y174" s="47"/>
    </row>
    <row r="175" spans="1:25" ht="39" hidden="1" x14ac:dyDescent="0.25">
      <c r="A175" s="355">
        <v>5143</v>
      </c>
      <c r="B175" s="354">
        <v>912000</v>
      </c>
      <c r="C175" s="18" t="s">
        <v>166</v>
      </c>
      <c r="D175" s="18"/>
      <c r="E175" s="19">
        <f>SUM(E176:E186)</f>
        <v>0</v>
      </c>
      <c r="F175" s="19"/>
      <c r="G175" s="19">
        <f t="shared" si="52"/>
        <v>0</v>
      </c>
      <c r="H175" s="19"/>
      <c r="I175" s="19">
        <f t="shared" ref="I175:Q175" si="56">SUM(I176:I186)</f>
        <v>0</v>
      </c>
      <c r="J175" s="19">
        <f t="shared" si="56"/>
        <v>0</v>
      </c>
      <c r="K175" s="19"/>
      <c r="L175" s="19">
        <f t="shared" si="56"/>
        <v>0</v>
      </c>
      <c r="M175" s="19"/>
      <c r="N175" s="19">
        <f t="shared" si="56"/>
        <v>0</v>
      </c>
      <c r="O175" s="19">
        <f t="shared" si="56"/>
        <v>0</v>
      </c>
      <c r="P175" s="19"/>
      <c r="Q175" s="366">
        <f t="shared" si="56"/>
        <v>0</v>
      </c>
      <c r="R175" s="64"/>
      <c r="S175" s="367"/>
      <c r="T175" s="64"/>
      <c r="U175" s="64"/>
      <c r="V175" s="64"/>
      <c r="W175" s="64"/>
      <c r="X175" s="64"/>
      <c r="Y175" s="64"/>
    </row>
    <row r="176" spans="1:25" ht="51.75" hidden="1" x14ac:dyDescent="0.25">
      <c r="A176" s="22">
        <v>5144</v>
      </c>
      <c r="B176" s="23">
        <v>912100</v>
      </c>
      <c r="C176" s="9" t="s">
        <v>167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382"/>
      <c r="R176" s="47"/>
      <c r="S176" s="383"/>
      <c r="T176" s="47"/>
      <c r="U176" s="47"/>
      <c r="V176" s="47"/>
      <c r="W176" s="47"/>
      <c r="X176" s="47"/>
      <c r="Y176" s="47"/>
    </row>
    <row r="177" spans="1:25" ht="26.25" hidden="1" x14ac:dyDescent="0.25">
      <c r="A177" s="22">
        <v>5145</v>
      </c>
      <c r="B177" s="23">
        <v>912200</v>
      </c>
      <c r="C177" s="9" t="s">
        <v>168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382"/>
      <c r="R177" s="47"/>
      <c r="S177" s="383"/>
      <c r="T177" s="47"/>
      <c r="U177" s="47"/>
      <c r="V177" s="47"/>
      <c r="W177" s="47"/>
      <c r="X177" s="47"/>
      <c r="Y177" s="47"/>
    </row>
    <row r="178" spans="1:25" ht="26.25" hidden="1" x14ac:dyDescent="0.25">
      <c r="A178" s="22">
        <v>5146</v>
      </c>
      <c r="B178" s="23">
        <v>912300</v>
      </c>
      <c r="C178" s="9" t="s">
        <v>169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382"/>
      <c r="R178" s="47"/>
      <c r="S178" s="383"/>
      <c r="T178" s="47"/>
      <c r="U178" s="47"/>
      <c r="V178" s="47"/>
      <c r="W178" s="47"/>
      <c r="X178" s="47"/>
      <c r="Y178" s="47"/>
    </row>
    <row r="179" spans="1:25" ht="26.25" hidden="1" x14ac:dyDescent="0.25">
      <c r="A179" s="22">
        <v>5147</v>
      </c>
      <c r="B179" s="23">
        <v>912400</v>
      </c>
      <c r="C179" s="9" t="s">
        <v>170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382"/>
      <c r="R179" s="47"/>
      <c r="S179" s="383"/>
      <c r="T179" s="47"/>
      <c r="U179" s="47"/>
      <c r="V179" s="47"/>
      <c r="W179" s="47"/>
      <c r="X179" s="47"/>
      <c r="Y179" s="47"/>
    </row>
    <row r="180" spans="1:25" ht="26.25" hidden="1" x14ac:dyDescent="0.25">
      <c r="A180" s="22">
        <v>5148</v>
      </c>
      <c r="B180" s="23">
        <v>912500</v>
      </c>
      <c r="C180" s="9" t="s">
        <v>171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382"/>
      <c r="R180" s="47"/>
      <c r="S180" s="383"/>
      <c r="T180" s="47"/>
      <c r="U180" s="47"/>
      <c r="V180" s="47"/>
      <c r="W180" s="47"/>
      <c r="X180" s="47"/>
      <c r="Y180" s="47"/>
    </row>
    <row r="181" spans="1:25" ht="26.25" hidden="1" x14ac:dyDescent="0.25">
      <c r="A181" s="22">
        <v>5149</v>
      </c>
      <c r="B181" s="23">
        <v>912600</v>
      </c>
      <c r="C181" s="9" t="s">
        <v>172</v>
      </c>
      <c r="D181" s="9"/>
      <c r="E181" s="36"/>
      <c r="F181" s="36"/>
      <c r="G181" s="37">
        <f t="shared" si="52"/>
        <v>0</v>
      </c>
      <c r="H181" s="37"/>
      <c r="I181" s="36"/>
      <c r="J181" s="36"/>
      <c r="K181" s="36"/>
      <c r="L181" s="36"/>
      <c r="M181" s="36"/>
      <c r="N181" s="36"/>
      <c r="O181" s="36"/>
      <c r="P181" s="36"/>
      <c r="Q181" s="382"/>
      <c r="R181" s="47"/>
      <c r="S181" s="383"/>
      <c r="T181" s="47"/>
      <c r="U181" s="47"/>
      <c r="V181" s="47"/>
      <c r="W181" s="47"/>
      <c r="X181" s="47"/>
      <c r="Y181" s="47"/>
    </row>
    <row r="182" spans="1:25" hidden="1" x14ac:dyDescent="0.25">
      <c r="A182" s="546" t="s">
        <v>0</v>
      </c>
      <c r="B182" s="543" t="s">
        <v>1</v>
      </c>
      <c r="C182" s="542" t="s">
        <v>2</v>
      </c>
      <c r="D182" s="360"/>
      <c r="E182" s="544" t="s">
        <v>3</v>
      </c>
      <c r="F182" s="354"/>
      <c r="G182" s="544" t="s">
        <v>4</v>
      </c>
      <c r="H182" s="544"/>
      <c r="I182" s="544"/>
      <c r="J182" s="544"/>
      <c r="K182" s="544"/>
      <c r="L182" s="544"/>
      <c r="M182" s="544"/>
      <c r="N182" s="544"/>
      <c r="O182" s="544"/>
      <c r="P182" s="544"/>
      <c r="Q182" s="547"/>
      <c r="R182" s="61"/>
      <c r="S182" s="61"/>
      <c r="T182" s="61"/>
      <c r="U182" s="61"/>
      <c r="V182" s="61"/>
      <c r="W182" s="61"/>
      <c r="X182" s="61"/>
      <c r="Y182" s="61"/>
    </row>
    <row r="183" spans="1:25" hidden="1" x14ac:dyDescent="0.25">
      <c r="A183" s="546"/>
      <c r="B183" s="543"/>
      <c r="C183" s="542"/>
      <c r="D183" s="360"/>
      <c r="E183" s="544"/>
      <c r="F183" s="354"/>
      <c r="G183" s="548" t="s">
        <v>5</v>
      </c>
      <c r="H183" s="353"/>
      <c r="I183" s="544" t="s">
        <v>6</v>
      </c>
      <c r="J183" s="544"/>
      <c r="K183" s="544"/>
      <c r="L183" s="544"/>
      <c r="M183" s="544"/>
      <c r="N183" s="544"/>
      <c r="O183" s="544" t="s">
        <v>7</v>
      </c>
      <c r="P183" s="354"/>
      <c r="Q183" s="534" t="s">
        <v>8</v>
      </c>
      <c r="R183" s="61"/>
      <c r="S183" s="61"/>
      <c r="T183" s="61"/>
      <c r="U183" s="61"/>
      <c r="V183" s="61"/>
      <c r="W183" s="61"/>
      <c r="X183" s="61"/>
      <c r="Y183" s="61"/>
    </row>
    <row r="184" spans="1:25" ht="166.5" hidden="1" x14ac:dyDescent="0.25">
      <c r="A184" s="546"/>
      <c r="B184" s="543"/>
      <c r="C184" s="542"/>
      <c r="D184" s="360"/>
      <c r="E184" s="544"/>
      <c r="F184" s="354"/>
      <c r="G184" s="548"/>
      <c r="H184" s="353"/>
      <c r="I184" s="354" t="s">
        <v>9</v>
      </c>
      <c r="J184" s="354" t="s">
        <v>10</v>
      </c>
      <c r="K184" s="354"/>
      <c r="L184" s="354" t="s">
        <v>11</v>
      </c>
      <c r="M184" s="354"/>
      <c r="N184" s="354" t="s">
        <v>12</v>
      </c>
      <c r="O184" s="544"/>
      <c r="P184" s="354"/>
      <c r="Q184" s="534"/>
      <c r="R184" s="61"/>
      <c r="S184" s="364"/>
      <c r="T184" s="61"/>
      <c r="U184" s="61"/>
      <c r="V184" s="61"/>
      <c r="W184" s="61"/>
      <c r="X184" s="61"/>
      <c r="Y184" s="61"/>
    </row>
    <row r="185" spans="1:25" ht="26.25" hidden="1" x14ac:dyDescent="0.25">
      <c r="A185" s="31" t="s">
        <v>18</v>
      </c>
      <c r="B185" s="359" t="s">
        <v>19</v>
      </c>
      <c r="C185" s="359" t="s">
        <v>20</v>
      </c>
      <c r="D185" s="359"/>
      <c r="E185" s="33" t="s">
        <v>21</v>
      </c>
      <c r="F185" s="33"/>
      <c r="G185" s="33" t="s">
        <v>22</v>
      </c>
      <c r="H185" s="33"/>
      <c r="I185" s="33" t="s">
        <v>23</v>
      </c>
      <c r="J185" s="33" t="s">
        <v>24</v>
      </c>
      <c r="K185" s="33"/>
      <c r="L185" s="33" t="s">
        <v>25</v>
      </c>
      <c r="M185" s="33"/>
      <c r="N185" s="33" t="s">
        <v>26</v>
      </c>
      <c r="O185" s="33" t="s">
        <v>27</v>
      </c>
      <c r="P185" s="33"/>
      <c r="Q185" s="374" t="s">
        <v>28</v>
      </c>
      <c r="R185" s="375"/>
      <c r="S185" s="376"/>
      <c r="T185" s="375"/>
      <c r="U185" s="375"/>
      <c r="V185" s="375"/>
      <c r="W185" s="375"/>
      <c r="X185" s="375"/>
      <c r="Y185" s="375"/>
    </row>
    <row r="186" spans="1:25" hidden="1" x14ac:dyDescent="0.25">
      <c r="A186" s="22">
        <v>5150</v>
      </c>
      <c r="B186" s="23">
        <v>912900</v>
      </c>
      <c r="C186" s="9" t="s">
        <v>173</v>
      </c>
      <c r="D186" s="9"/>
      <c r="E186" s="36"/>
      <c r="F186" s="36"/>
      <c r="G186" s="37">
        <f t="shared" si="52"/>
        <v>0</v>
      </c>
      <c r="H186" s="37"/>
      <c r="I186" s="36"/>
      <c r="J186" s="36"/>
      <c r="K186" s="36"/>
      <c r="L186" s="36"/>
      <c r="M186" s="36"/>
      <c r="N186" s="36"/>
      <c r="O186" s="36"/>
      <c r="P186" s="36"/>
      <c r="Q186" s="382"/>
      <c r="R186" s="47"/>
      <c r="S186" s="383"/>
      <c r="T186" s="47"/>
      <c r="U186" s="47"/>
      <c r="V186" s="47"/>
      <c r="W186" s="47"/>
      <c r="X186" s="47"/>
      <c r="Y186" s="47"/>
    </row>
    <row r="187" spans="1:25" ht="39" hidden="1" x14ac:dyDescent="0.25">
      <c r="A187" s="355">
        <v>5151</v>
      </c>
      <c r="B187" s="354">
        <v>920000</v>
      </c>
      <c r="C187" s="18" t="s">
        <v>174</v>
      </c>
      <c r="D187" s="18"/>
      <c r="E187" s="19">
        <f>E188+E198</f>
        <v>0</v>
      </c>
      <c r="F187" s="19"/>
      <c r="G187" s="19">
        <f t="shared" si="52"/>
        <v>0</v>
      </c>
      <c r="H187" s="19"/>
      <c r="I187" s="19">
        <f t="shared" ref="I187:Q187" si="57">I188+I198</f>
        <v>0</v>
      </c>
      <c r="J187" s="19">
        <f t="shared" si="57"/>
        <v>0</v>
      </c>
      <c r="K187" s="19"/>
      <c r="L187" s="19">
        <f t="shared" si="57"/>
        <v>0</v>
      </c>
      <c r="M187" s="19"/>
      <c r="N187" s="19">
        <f t="shared" si="57"/>
        <v>0</v>
      </c>
      <c r="O187" s="19">
        <f t="shared" si="57"/>
        <v>0</v>
      </c>
      <c r="P187" s="19"/>
      <c r="Q187" s="366">
        <f t="shared" si="57"/>
        <v>0</v>
      </c>
      <c r="R187" s="64"/>
      <c r="S187" s="367"/>
      <c r="T187" s="64"/>
      <c r="U187" s="64"/>
      <c r="V187" s="64"/>
      <c r="W187" s="64"/>
      <c r="X187" s="64"/>
      <c r="Y187" s="64"/>
    </row>
    <row r="188" spans="1:25" ht="39" hidden="1" x14ac:dyDescent="0.25">
      <c r="A188" s="355">
        <v>5152</v>
      </c>
      <c r="B188" s="354">
        <v>921000</v>
      </c>
      <c r="C188" s="18" t="s">
        <v>175</v>
      </c>
      <c r="D188" s="18"/>
      <c r="E188" s="19">
        <f>SUM(E189:E197)</f>
        <v>0</v>
      </c>
      <c r="F188" s="19"/>
      <c r="G188" s="19">
        <f t="shared" si="52"/>
        <v>0</v>
      </c>
      <c r="H188" s="19"/>
      <c r="I188" s="19">
        <f t="shared" ref="I188:Q188" si="58">SUM(I189:I197)</f>
        <v>0</v>
      </c>
      <c r="J188" s="19">
        <f t="shared" si="58"/>
        <v>0</v>
      </c>
      <c r="K188" s="19"/>
      <c r="L188" s="19">
        <f t="shared" si="58"/>
        <v>0</v>
      </c>
      <c r="M188" s="19"/>
      <c r="N188" s="19">
        <f t="shared" si="58"/>
        <v>0</v>
      </c>
      <c r="O188" s="19">
        <f t="shared" si="58"/>
        <v>0</v>
      </c>
      <c r="P188" s="19"/>
      <c r="Q188" s="366">
        <f t="shared" si="58"/>
        <v>0</v>
      </c>
      <c r="R188" s="64"/>
      <c r="S188" s="367"/>
      <c r="T188" s="64"/>
      <c r="U188" s="64"/>
      <c r="V188" s="64"/>
      <c r="W188" s="64"/>
      <c r="X188" s="64"/>
      <c r="Y188" s="64"/>
    </row>
    <row r="189" spans="1:25" ht="39" hidden="1" x14ac:dyDescent="0.25">
      <c r="A189" s="22">
        <v>5153</v>
      </c>
      <c r="B189" s="23">
        <v>921100</v>
      </c>
      <c r="C189" s="9" t="s">
        <v>176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382"/>
      <c r="R189" s="47"/>
      <c r="S189" s="383"/>
      <c r="T189" s="47"/>
      <c r="U189" s="47"/>
      <c r="V189" s="47"/>
      <c r="W189" s="47"/>
      <c r="X189" s="47"/>
      <c r="Y189" s="47"/>
    </row>
    <row r="190" spans="1:25" ht="26.25" hidden="1" x14ac:dyDescent="0.25">
      <c r="A190" s="22">
        <v>5154</v>
      </c>
      <c r="B190" s="23">
        <v>921200</v>
      </c>
      <c r="C190" s="9" t="s">
        <v>177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382"/>
      <c r="R190" s="47"/>
      <c r="S190" s="383"/>
      <c r="T190" s="47"/>
      <c r="U190" s="47"/>
      <c r="V190" s="47"/>
      <c r="W190" s="47"/>
      <c r="X190" s="47"/>
      <c r="Y190" s="47"/>
    </row>
    <row r="191" spans="1:25" ht="39" hidden="1" x14ac:dyDescent="0.25">
      <c r="A191" s="22">
        <v>5155</v>
      </c>
      <c r="B191" s="23">
        <v>921300</v>
      </c>
      <c r="C191" s="9" t="s">
        <v>178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382"/>
      <c r="R191" s="47"/>
      <c r="S191" s="383"/>
      <c r="T191" s="47"/>
      <c r="U191" s="47"/>
      <c r="V191" s="47"/>
      <c r="W191" s="47"/>
      <c r="X191" s="47"/>
      <c r="Y191" s="47"/>
    </row>
    <row r="192" spans="1:25" ht="26.25" hidden="1" x14ac:dyDescent="0.25">
      <c r="A192" s="22">
        <v>5156</v>
      </c>
      <c r="B192" s="23">
        <v>921400</v>
      </c>
      <c r="C192" s="9" t="s">
        <v>179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382"/>
      <c r="R192" s="47"/>
      <c r="S192" s="383"/>
      <c r="T192" s="47"/>
      <c r="U192" s="47"/>
      <c r="V192" s="47"/>
      <c r="W192" s="47"/>
      <c r="X192" s="47"/>
      <c r="Y192" s="47"/>
    </row>
    <row r="193" spans="1:25" ht="39" hidden="1" x14ac:dyDescent="0.25">
      <c r="A193" s="22">
        <v>5157</v>
      </c>
      <c r="B193" s="23">
        <v>921500</v>
      </c>
      <c r="C193" s="9" t="s">
        <v>180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382"/>
      <c r="R193" s="47"/>
      <c r="S193" s="383"/>
      <c r="T193" s="47"/>
      <c r="U193" s="47"/>
      <c r="V193" s="47"/>
      <c r="W193" s="47"/>
      <c r="X193" s="47"/>
      <c r="Y193" s="47"/>
    </row>
    <row r="194" spans="1:25" ht="39" hidden="1" x14ac:dyDescent="0.25">
      <c r="A194" s="22">
        <v>5158</v>
      </c>
      <c r="B194" s="23">
        <v>921600</v>
      </c>
      <c r="C194" s="9" t="s">
        <v>181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382"/>
      <c r="R194" s="47"/>
      <c r="S194" s="383"/>
      <c r="T194" s="47"/>
      <c r="U194" s="47"/>
      <c r="V194" s="47"/>
      <c r="W194" s="47"/>
      <c r="X194" s="47"/>
      <c r="Y194" s="47"/>
    </row>
    <row r="195" spans="1:25" ht="39" hidden="1" x14ac:dyDescent="0.25">
      <c r="A195" s="22">
        <v>5159</v>
      </c>
      <c r="B195" s="23">
        <v>921700</v>
      </c>
      <c r="C195" s="9" t="s">
        <v>182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382"/>
      <c r="R195" s="47"/>
      <c r="S195" s="383"/>
      <c r="T195" s="47"/>
      <c r="U195" s="47"/>
      <c r="V195" s="47"/>
      <c r="W195" s="47"/>
      <c r="X195" s="47"/>
      <c r="Y195" s="47"/>
    </row>
    <row r="196" spans="1:25" ht="39" hidden="1" x14ac:dyDescent="0.25">
      <c r="A196" s="22">
        <v>5160</v>
      </c>
      <c r="B196" s="23">
        <v>921800</v>
      </c>
      <c r="C196" s="9" t="s">
        <v>183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382"/>
      <c r="R196" s="47"/>
      <c r="S196" s="383"/>
      <c r="T196" s="47"/>
      <c r="U196" s="47"/>
      <c r="V196" s="47"/>
      <c r="W196" s="47"/>
      <c r="X196" s="47"/>
      <c r="Y196" s="47"/>
    </row>
    <row r="197" spans="1:25" ht="26.25" hidden="1" x14ac:dyDescent="0.25">
      <c r="A197" s="22">
        <v>5161</v>
      </c>
      <c r="B197" s="23">
        <v>921900</v>
      </c>
      <c r="C197" s="9" t="s">
        <v>184</v>
      </c>
      <c r="D197" s="9"/>
      <c r="E197" s="36"/>
      <c r="F197" s="36"/>
      <c r="G197" s="37">
        <f t="shared" si="52"/>
        <v>0</v>
      </c>
      <c r="H197" s="37"/>
      <c r="I197" s="36"/>
      <c r="J197" s="36"/>
      <c r="K197" s="36"/>
      <c r="L197" s="36"/>
      <c r="M197" s="36"/>
      <c r="N197" s="36"/>
      <c r="O197" s="36"/>
      <c r="P197" s="36"/>
      <c r="Q197" s="382"/>
      <c r="R197" s="47"/>
      <c r="S197" s="383"/>
      <c r="T197" s="47"/>
      <c r="U197" s="47"/>
      <c r="V197" s="47"/>
      <c r="W197" s="47"/>
      <c r="X197" s="47"/>
      <c r="Y197" s="47"/>
    </row>
    <row r="198" spans="1:25" ht="39" hidden="1" x14ac:dyDescent="0.25">
      <c r="A198" s="355">
        <v>5162</v>
      </c>
      <c r="B198" s="354">
        <v>922000</v>
      </c>
      <c r="C198" s="18" t="s">
        <v>185</v>
      </c>
      <c r="D198" s="18"/>
      <c r="E198" s="19">
        <f>SUM(E199:E210)</f>
        <v>0</v>
      </c>
      <c r="F198" s="19"/>
      <c r="G198" s="19">
        <f t="shared" si="52"/>
        <v>0</v>
      </c>
      <c r="H198" s="19"/>
      <c r="I198" s="19">
        <f t="shared" ref="I198:Q198" si="59">SUM(I199:I210)</f>
        <v>0</v>
      </c>
      <c r="J198" s="19">
        <f t="shared" si="59"/>
        <v>0</v>
      </c>
      <c r="K198" s="19"/>
      <c r="L198" s="19">
        <f t="shared" si="59"/>
        <v>0</v>
      </c>
      <c r="M198" s="19"/>
      <c r="N198" s="19">
        <f t="shared" si="59"/>
        <v>0</v>
      </c>
      <c r="O198" s="19">
        <f t="shared" si="59"/>
        <v>0</v>
      </c>
      <c r="P198" s="19"/>
      <c r="Q198" s="366">
        <f t="shared" si="59"/>
        <v>0</v>
      </c>
      <c r="R198" s="64"/>
      <c r="S198" s="367"/>
      <c r="T198" s="64"/>
      <c r="U198" s="64"/>
      <c r="V198" s="64"/>
      <c r="W198" s="64"/>
      <c r="X198" s="64"/>
      <c r="Y198" s="64"/>
    </row>
    <row r="199" spans="1:25" ht="39" hidden="1" x14ac:dyDescent="0.25">
      <c r="A199" s="22">
        <v>5163</v>
      </c>
      <c r="B199" s="23">
        <v>922100</v>
      </c>
      <c r="C199" s="9" t="s">
        <v>186</v>
      </c>
      <c r="D199" s="9"/>
      <c r="E199" s="36"/>
      <c r="F199" s="36"/>
      <c r="G199" s="37">
        <f t="shared" ref="G199:G210" si="60">SUM(I199:Q199)</f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382"/>
      <c r="R199" s="47"/>
      <c r="S199" s="383"/>
      <c r="T199" s="47"/>
      <c r="U199" s="47"/>
      <c r="V199" s="47"/>
      <c r="W199" s="47"/>
      <c r="X199" s="47"/>
      <c r="Y199" s="47"/>
    </row>
    <row r="200" spans="1:25" ht="26.25" hidden="1" x14ac:dyDescent="0.25">
      <c r="A200" s="22">
        <v>5164</v>
      </c>
      <c r="B200" s="23">
        <v>922200</v>
      </c>
      <c r="C200" s="9" t="s">
        <v>187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382"/>
      <c r="R200" s="47"/>
      <c r="S200" s="383"/>
      <c r="T200" s="47"/>
      <c r="U200" s="47"/>
      <c r="V200" s="47"/>
      <c r="W200" s="47"/>
      <c r="X200" s="47"/>
      <c r="Y200" s="47"/>
    </row>
    <row r="201" spans="1:25" ht="39" hidden="1" x14ac:dyDescent="0.25">
      <c r="A201" s="22">
        <v>5165</v>
      </c>
      <c r="B201" s="23">
        <v>922300</v>
      </c>
      <c r="C201" s="9" t="s">
        <v>188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382"/>
      <c r="R201" s="47"/>
      <c r="S201" s="383"/>
      <c r="T201" s="47"/>
      <c r="U201" s="47"/>
      <c r="V201" s="47"/>
      <c r="W201" s="47"/>
      <c r="X201" s="47"/>
      <c r="Y201" s="47"/>
    </row>
    <row r="202" spans="1:25" ht="39" hidden="1" x14ac:dyDescent="0.25">
      <c r="A202" s="22">
        <v>5166</v>
      </c>
      <c r="B202" s="23">
        <v>922400</v>
      </c>
      <c r="C202" s="9" t="s">
        <v>189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382"/>
      <c r="R202" s="47"/>
      <c r="S202" s="383"/>
      <c r="T202" s="47"/>
      <c r="U202" s="47"/>
      <c r="V202" s="47"/>
      <c r="W202" s="47"/>
      <c r="X202" s="47"/>
      <c r="Y202" s="47"/>
    </row>
    <row r="203" spans="1:25" ht="39" hidden="1" x14ac:dyDescent="0.25">
      <c r="A203" s="22">
        <v>5167</v>
      </c>
      <c r="B203" s="23">
        <v>922500</v>
      </c>
      <c r="C203" s="9" t="s">
        <v>190</v>
      </c>
      <c r="D203" s="9"/>
      <c r="E203" s="36"/>
      <c r="F203" s="36"/>
      <c r="G203" s="37">
        <f t="shared" si="60"/>
        <v>0</v>
      </c>
      <c r="H203" s="37"/>
      <c r="I203" s="36"/>
      <c r="J203" s="36"/>
      <c r="K203" s="36"/>
      <c r="L203" s="36"/>
      <c r="M203" s="36"/>
      <c r="N203" s="36"/>
      <c r="O203" s="36"/>
      <c r="P203" s="36"/>
      <c r="Q203" s="382"/>
      <c r="R203" s="47"/>
      <c r="S203" s="383"/>
      <c r="T203" s="47"/>
      <c r="U203" s="47"/>
      <c r="V203" s="47"/>
      <c r="W203" s="47"/>
      <c r="X203" s="47"/>
      <c r="Y203" s="47"/>
    </row>
    <row r="204" spans="1:25" hidden="1" x14ac:dyDescent="0.25">
      <c r="A204" s="546" t="s">
        <v>0</v>
      </c>
      <c r="B204" s="543" t="s">
        <v>1</v>
      </c>
      <c r="C204" s="542" t="s">
        <v>2</v>
      </c>
      <c r="D204" s="360"/>
      <c r="E204" s="544" t="s">
        <v>3</v>
      </c>
      <c r="F204" s="354"/>
      <c r="G204" s="544" t="s">
        <v>4</v>
      </c>
      <c r="H204" s="544"/>
      <c r="I204" s="544"/>
      <c r="J204" s="544"/>
      <c r="K204" s="544"/>
      <c r="L204" s="544"/>
      <c r="M204" s="544"/>
      <c r="N204" s="544"/>
      <c r="O204" s="544"/>
      <c r="P204" s="544"/>
      <c r="Q204" s="547"/>
      <c r="R204" s="61"/>
      <c r="S204" s="61"/>
      <c r="T204" s="61"/>
      <c r="U204" s="61"/>
      <c r="V204" s="61"/>
      <c r="W204" s="61"/>
      <c r="X204" s="61"/>
      <c r="Y204" s="61"/>
    </row>
    <row r="205" spans="1:25" hidden="1" x14ac:dyDescent="0.25">
      <c r="A205" s="546"/>
      <c r="B205" s="543"/>
      <c r="C205" s="542"/>
      <c r="D205" s="360"/>
      <c r="E205" s="544"/>
      <c r="F205" s="354"/>
      <c r="G205" s="548" t="s">
        <v>5</v>
      </c>
      <c r="H205" s="353"/>
      <c r="I205" s="544" t="s">
        <v>6</v>
      </c>
      <c r="J205" s="544"/>
      <c r="K205" s="544"/>
      <c r="L205" s="544"/>
      <c r="M205" s="544"/>
      <c r="N205" s="544"/>
      <c r="O205" s="544" t="s">
        <v>7</v>
      </c>
      <c r="P205" s="354"/>
      <c r="Q205" s="534" t="s">
        <v>8</v>
      </c>
      <c r="R205" s="61"/>
      <c r="S205" s="61"/>
      <c r="T205" s="61"/>
      <c r="U205" s="61"/>
      <c r="V205" s="61"/>
      <c r="W205" s="61"/>
      <c r="X205" s="61"/>
      <c r="Y205" s="61"/>
    </row>
    <row r="206" spans="1:25" ht="166.5" hidden="1" x14ac:dyDescent="0.25">
      <c r="A206" s="546"/>
      <c r="B206" s="543"/>
      <c r="C206" s="542"/>
      <c r="D206" s="360"/>
      <c r="E206" s="544"/>
      <c r="F206" s="354"/>
      <c r="G206" s="548"/>
      <c r="H206" s="353"/>
      <c r="I206" s="354" t="s">
        <v>9</v>
      </c>
      <c r="J206" s="354" t="s">
        <v>10</v>
      </c>
      <c r="K206" s="354"/>
      <c r="L206" s="354" t="s">
        <v>11</v>
      </c>
      <c r="M206" s="354"/>
      <c r="N206" s="354" t="s">
        <v>12</v>
      </c>
      <c r="O206" s="544"/>
      <c r="P206" s="354"/>
      <c r="Q206" s="534"/>
      <c r="R206" s="61"/>
      <c r="S206" s="364"/>
      <c r="T206" s="61"/>
      <c r="U206" s="61"/>
      <c r="V206" s="61"/>
      <c r="W206" s="61"/>
      <c r="X206" s="61"/>
      <c r="Y206" s="61"/>
    </row>
    <row r="207" spans="1:25" ht="26.25" hidden="1" x14ac:dyDescent="0.25">
      <c r="A207" s="31" t="s">
        <v>18</v>
      </c>
      <c r="B207" s="359" t="s">
        <v>19</v>
      </c>
      <c r="C207" s="359" t="s">
        <v>20</v>
      </c>
      <c r="D207" s="359"/>
      <c r="E207" s="33" t="s">
        <v>21</v>
      </c>
      <c r="F207" s="33"/>
      <c r="G207" s="33" t="s">
        <v>22</v>
      </c>
      <c r="H207" s="33"/>
      <c r="I207" s="33" t="s">
        <v>23</v>
      </c>
      <c r="J207" s="33" t="s">
        <v>24</v>
      </c>
      <c r="K207" s="33"/>
      <c r="L207" s="33" t="s">
        <v>25</v>
      </c>
      <c r="M207" s="33"/>
      <c r="N207" s="33" t="s">
        <v>26</v>
      </c>
      <c r="O207" s="33" t="s">
        <v>27</v>
      </c>
      <c r="P207" s="33"/>
      <c r="Q207" s="374" t="s">
        <v>28</v>
      </c>
      <c r="R207" s="375"/>
      <c r="S207" s="376"/>
      <c r="T207" s="375"/>
      <c r="U207" s="375"/>
      <c r="V207" s="375"/>
      <c r="W207" s="375"/>
      <c r="X207" s="375"/>
      <c r="Y207" s="375"/>
    </row>
    <row r="208" spans="1:25" ht="39" hidden="1" x14ac:dyDescent="0.25">
      <c r="A208" s="22">
        <v>5168</v>
      </c>
      <c r="B208" s="23">
        <v>922600</v>
      </c>
      <c r="C208" s="9" t="s">
        <v>191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382"/>
      <c r="R208" s="47"/>
      <c r="S208" s="383"/>
      <c r="T208" s="47"/>
      <c r="U208" s="47"/>
      <c r="V208" s="47"/>
      <c r="W208" s="47"/>
      <c r="X208" s="47"/>
      <c r="Y208" s="47"/>
    </row>
    <row r="209" spans="1:26" ht="26.25" hidden="1" x14ac:dyDescent="0.25">
      <c r="A209" s="22">
        <v>5169</v>
      </c>
      <c r="B209" s="23">
        <v>922700</v>
      </c>
      <c r="C209" s="9" t="s">
        <v>192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382"/>
      <c r="R209" s="47"/>
      <c r="S209" s="383"/>
      <c r="T209" s="47"/>
      <c r="U209" s="47"/>
      <c r="V209" s="47"/>
      <c r="W209" s="47"/>
      <c r="X209" s="47"/>
      <c r="Y209" s="47"/>
    </row>
    <row r="210" spans="1:26" ht="26.25" hidden="1" x14ac:dyDescent="0.25">
      <c r="A210" s="22">
        <v>5170</v>
      </c>
      <c r="B210" s="23">
        <v>922800</v>
      </c>
      <c r="C210" s="9" t="s">
        <v>193</v>
      </c>
      <c r="D210" s="9"/>
      <c r="E210" s="36"/>
      <c r="F210" s="36"/>
      <c r="G210" s="37">
        <f t="shared" si="60"/>
        <v>0</v>
      </c>
      <c r="H210" s="37"/>
      <c r="I210" s="36"/>
      <c r="J210" s="36"/>
      <c r="K210" s="36"/>
      <c r="L210" s="36"/>
      <c r="M210" s="36"/>
      <c r="N210" s="36"/>
      <c r="O210" s="36"/>
      <c r="P210" s="36"/>
      <c r="Q210" s="382"/>
      <c r="R210" s="47"/>
      <c r="S210" s="383"/>
      <c r="T210" s="47"/>
      <c r="U210" s="47"/>
      <c r="V210" s="47"/>
      <c r="W210" s="47"/>
      <c r="X210" s="47"/>
      <c r="Y210" s="47"/>
    </row>
    <row r="211" spans="1:26" ht="27" thickBot="1" x14ac:dyDescent="0.3">
      <c r="A211" s="39">
        <v>5171</v>
      </c>
      <c r="B211" s="40"/>
      <c r="C211" s="41" t="s">
        <v>194</v>
      </c>
      <c r="D211" s="41"/>
      <c r="E211" s="42">
        <f>E7+E163</f>
        <v>1500538</v>
      </c>
      <c r="F211" s="42" t="e">
        <f t="shared" ref="F211:S211" si="61">F7+F163</f>
        <v>#REF!</v>
      </c>
      <c r="G211" s="42" t="e">
        <f t="shared" si="61"/>
        <v>#REF!</v>
      </c>
      <c r="H211" s="42">
        <f t="shared" si="61"/>
        <v>30200</v>
      </c>
      <c r="I211" s="42">
        <f t="shared" si="61"/>
        <v>18738</v>
      </c>
      <c r="J211" s="42">
        <f t="shared" si="61"/>
        <v>0</v>
      </c>
      <c r="K211" s="42">
        <f t="shared" si="61"/>
        <v>57381</v>
      </c>
      <c r="L211" s="42">
        <f t="shared" si="61"/>
        <v>505</v>
      </c>
      <c r="M211" s="42" t="e">
        <f t="shared" si="61"/>
        <v>#REF!</v>
      </c>
      <c r="N211" s="42">
        <f t="shared" si="61"/>
        <v>1398192</v>
      </c>
      <c r="O211" s="42">
        <f t="shared" si="61"/>
        <v>0</v>
      </c>
      <c r="P211" s="42">
        <f t="shared" si="61"/>
        <v>13304</v>
      </c>
      <c r="Q211" s="390">
        <f t="shared" si="61"/>
        <v>12669</v>
      </c>
      <c r="R211" s="64"/>
      <c r="S211" s="391">
        <f t="shared" si="61"/>
        <v>1623939</v>
      </c>
      <c r="T211" s="64"/>
      <c r="U211" s="64"/>
      <c r="V211" s="64"/>
      <c r="W211" s="64"/>
      <c r="X211" s="64"/>
      <c r="Y211" s="64"/>
    </row>
    <row r="212" spans="1:26" ht="25.5" customHeight="1" x14ac:dyDescent="0.25">
      <c r="A212" s="61"/>
      <c r="B212" s="62"/>
      <c r="C212" s="63"/>
      <c r="D212" s="63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</row>
    <row r="213" spans="1:26" ht="15" customHeight="1" x14ac:dyDescent="0.25">
      <c r="A213" s="43"/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  <c r="R213" s="365"/>
      <c r="S213" s="14"/>
      <c r="T213" s="14"/>
      <c r="U213" s="14"/>
      <c r="V213" s="14"/>
      <c r="W213" s="14"/>
      <c r="X213" s="14"/>
      <c r="Y213" s="14"/>
    </row>
    <row r="214" spans="1:26" ht="19.5" customHeight="1" x14ac:dyDescent="0.25">
      <c r="A214" s="13" t="s">
        <v>195</v>
      </c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/>
      <c r="P214" s="14"/>
      <c r="Q214" s="14"/>
      <c r="R214" s="365"/>
      <c r="S214" s="14"/>
      <c r="T214" s="14"/>
      <c r="U214" s="14"/>
      <c r="V214" s="14"/>
      <c r="W214" s="14"/>
      <c r="X214" s="14"/>
      <c r="Y214" s="14"/>
    </row>
    <row r="215" spans="1:26" ht="6.75" customHeight="1" x14ac:dyDescent="0.25">
      <c r="A215" s="43"/>
      <c r="B215" s="14"/>
      <c r="C215" s="14"/>
      <c r="D215" s="14"/>
      <c r="E215" s="14"/>
      <c r="F215" s="14"/>
      <c r="G215" s="14"/>
      <c r="H215" s="14"/>
      <c r="I215" s="14"/>
      <c r="J215" s="14"/>
      <c r="K215" s="14"/>
      <c r="L215" s="14"/>
      <c r="M215" s="14"/>
      <c r="N215" s="14"/>
      <c r="O215" s="14" t="s">
        <v>196</v>
      </c>
      <c r="P215" s="14"/>
      <c r="Q215" s="14"/>
      <c r="R215" s="365"/>
      <c r="S215" s="14"/>
      <c r="T215" s="14"/>
      <c r="U215" s="14"/>
      <c r="V215" s="14"/>
      <c r="W215" s="14"/>
      <c r="X215" s="14"/>
      <c r="Y215" s="14"/>
    </row>
    <row r="216" spans="1:26" ht="15" customHeight="1" x14ac:dyDescent="0.25">
      <c r="A216" s="544" t="s">
        <v>0</v>
      </c>
      <c r="B216" s="544" t="s">
        <v>1</v>
      </c>
      <c r="C216" s="544" t="s">
        <v>2</v>
      </c>
      <c r="D216" s="544"/>
      <c r="E216" s="544" t="s">
        <v>197</v>
      </c>
      <c r="F216" s="534" t="s">
        <v>512</v>
      </c>
      <c r="G216" s="535"/>
      <c r="H216" s="535"/>
      <c r="I216" s="535"/>
      <c r="J216" s="535"/>
      <c r="K216" s="535"/>
      <c r="L216" s="535"/>
      <c r="M216" s="535"/>
      <c r="N216" s="535"/>
      <c r="O216" s="535"/>
      <c r="P216" s="535"/>
      <c r="Q216" s="536"/>
      <c r="R216" s="61"/>
      <c r="S216" s="61"/>
      <c r="T216" s="61"/>
      <c r="U216" s="61"/>
      <c r="V216" s="61"/>
      <c r="W216" s="61"/>
      <c r="X216" s="61"/>
      <c r="Y216" s="61"/>
    </row>
    <row r="217" spans="1:26" ht="15" customHeight="1" x14ac:dyDescent="0.25">
      <c r="A217" s="545"/>
      <c r="B217" s="545"/>
      <c r="C217" s="545"/>
      <c r="D217" s="544"/>
      <c r="E217" s="545"/>
      <c r="F217" s="544" t="s">
        <v>511</v>
      </c>
      <c r="G217" s="544" t="s">
        <v>199</v>
      </c>
      <c r="H217" s="534" t="s">
        <v>200</v>
      </c>
      <c r="I217" s="535"/>
      <c r="J217" s="535"/>
      <c r="K217" s="535"/>
      <c r="L217" s="535"/>
      <c r="M217" s="535"/>
      <c r="N217" s="536"/>
      <c r="O217" s="544" t="s">
        <v>7</v>
      </c>
      <c r="P217" s="544" t="s">
        <v>8</v>
      </c>
      <c r="Q217" s="534" t="s">
        <v>8</v>
      </c>
      <c r="R217" s="61"/>
      <c r="S217" s="61"/>
      <c r="T217" s="61"/>
      <c r="U217" s="61"/>
      <c r="V217" s="61"/>
      <c r="W217" s="61"/>
      <c r="X217" s="61"/>
      <c r="Y217" s="61"/>
    </row>
    <row r="218" spans="1:26" ht="57" customHeight="1" x14ac:dyDescent="0.25">
      <c r="A218" s="545"/>
      <c r="B218" s="545"/>
      <c r="C218" s="545"/>
      <c r="D218" s="544"/>
      <c r="E218" s="545"/>
      <c r="F218" s="545"/>
      <c r="G218" s="545"/>
      <c r="H218" s="354" t="s">
        <v>201</v>
      </c>
      <c r="I218" s="354" t="s">
        <v>201</v>
      </c>
      <c r="J218" s="354" t="s">
        <v>10</v>
      </c>
      <c r="K218" s="354" t="s">
        <v>11</v>
      </c>
      <c r="L218" s="354" t="s">
        <v>11</v>
      </c>
      <c r="M218" s="354" t="s">
        <v>12</v>
      </c>
      <c r="N218" s="354" t="s">
        <v>12</v>
      </c>
      <c r="O218" s="545"/>
      <c r="P218" s="545"/>
      <c r="Q218" s="741"/>
      <c r="R218" s="365"/>
      <c r="S218" s="364" t="s">
        <v>12</v>
      </c>
      <c r="T218" s="61"/>
      <c r="U218" s="365"/>
      <c r="V218" s="365"/>
      <c r="W218" s="365"/>
      <c r="X218" s="365"/>
      <c r="Y218" s="365"/>
    </row>
    <row r="219" spans="1:26" x14ac:dyDescent="0.25">
      <c r="A219" s="354">
        <v>1</v>
      </c>
      <c r="B219" s="354">
        <v>2</v>
      </c>
      <c r="C219" s="354">
        <v>3</v>
      </c>
      <c r="D219" s="354"/>
      <c r="E219" s="354">
        <v>4</v>
      </c>
      <c r="F219" s="354">
        <v>4</v>
      </c>
      <c r="G219" s="354">
        <v>5</v>
      </c>
      <c r="H219" s="354">
        <v>5</v>
      </c>
      <c r="I219" s="354">
        <v>6</v>
      </c>
      <c r="J219" s="354">
        <v>7</v>
      </c>
      <c r="K219" s="354">
        <v>6</v>
      </c>
      <c r="L219" s="354">
        <v>8</v>
      </c>
      <c r="M219" s="354">
        <v>7</v>
      </c>
      <c r="N219" s="354">
        <v>9</v>
      </c>
      <c r="O219" s="354">
        <v>10</v>
      </c>
      <c r="P219" s="354">
        <v>8</v>
      </c>
      <c r="Q219" s="363">
        <v>11</v>
      </c>
      <c r="R219" s="61"/>
      <c r="S219" s="364">
        <v>7</v>
      </c>
      <c r="T219" s="61"/>
      <c r="U219" s="61"/>
      <c r="V219" s="61"/>
      <c r="W219" s="61"/>
      <c r="X219" s="61"/>
      <c r="Y219" s="61"/>
    </row>
    <row r="220" spans="1:26" ht="39" x14ac:dyDescent="0.25">
      <c r="A220" s="361">
        <v>5172</v>
      </c>
      <c r="B220" s="354"/>
      <c r="C220" s="18" t="s">
        <v>202</v>
      </c>
      <c r="D220" s="18"/>
      <c r="E220" s="19">
        <f t="shared" ref="E220:S220" si="62">E221+E435</f>
        <v>1500538</v>
      </c>
      <c r="F220" s="19">
        <f t="shared" si="62"/>
        <v>1745792</v>
      </c>
      <c r="G220" s="19">
        <f t="shared" si="62"/>
        <v>1138166</v>
      </c>
      <c r="H220" s="19">
        <f>H221+H435</f>
        <v>30200</v>
      </c>
      <c r="I220" s="19">
        <f t="shared" si="62"/>
        <v>1577</v>
      </c>
      <c r="J220" s="19">
        <f t="shared" si="62"/>
        <v>0</v>
      </c>
      <c r="K220" s="19">
        <f t="shared" si="62"/>
        <v>57381</v>
      </c>
      <c r="L220" s="19">
        <f t="shared" si="62"/>
        <v>1273</v>
      </c>
      <c r="M220" s="19">
        <f t="shared" si="62"/>
        <v>1644907</v>
      </c>
      <c r="N220" s="19">
        <f t="shared" si="62"/>
        <v>1125638</v>
      </c>
      <c r="O220" s="19">
        <f t="shared" si="62"/>
        <v>0</v>
      </c>
      <c r="P220" s="19">
        <f t="shared" si="62"/>
        <v>13304</v>
      </c>
      <c r="Q220" s="366">
        <f t="shared" si="62"/>
        <v>9668</v>
      </c>
      <c r="R220" s="64"/>
      <c r="S220" s="367">
        <f t="shared" si="62"/>
        <v>1624856</v>
      </c>
      <c r="T220" s="64"/>
      <c r="U220" s="64"/>
      <c r="V220" s="64"/>
      <c r="W220" s="64"/>
      <c r="X220" s="64"/>
      <c r="Y220" s="64"/>
      <c r="Z220" s="44">
        <f>H220+K220+M220+P220</f>
        <v>1745792</v>
      </c>
    </row>
    <row r="221" spans="1:26" ht="39" x14ac:dyDescent="0.25">
      <c r="A221" s="361">
        <v>5173</v>
      </c>
      <c r="B221" s="354">
        <v>400000</v>
      </c>
      <c r="C221" s="18" t="s">
        <v>203</v>
      </c>
      <c r="D221" s="18"/>
      <c r="E221" s="19">
        <f>E222+E248+E315+E334+E362+E375+E395+E414</f>
        <v>1464986</v>
      </c>
      <c r="F221" s="19">
        <f>F222+F248+F334+F375+F414</f>
        <v>1657510</v>
      </c>
      <c r="G221" s="19">
        <f t="shared" ref="G221:S221" si="63">G222+G248+G315+G334+G362+G375+G395+G414</f>
        <v>1134903</v>
      </c>
      <c r="H221" s="19">
        <f t="shared" si="63"/>
        <v>1000</v>
      </c>
      <c r="I221" s="19">
        <f t="shared" si="63"/>
        <v>127</v>
      </c>
      <c r="J221" s="19">
        <f t="shared" si="63"/>
        <v>0</v>
      </c>
      <c r="K221" s="19">
        <f t="shared" si="63"/>
        <v>0</v>
      </c>
      <c r="L221" s="19">
        <f t="shared" si="63"/>
        <v>1273</v>
      </c>
      <c r="M221" s="19">
        <f>M222+M248+M315+M334+M362+M375+M395+M414</f>
        <v>1644907</v>
      </c>
      <c r="N221" s="19">
        <f t="shared" si="63"/>
        <v>1125638</v>
      </c>
      <c r="O221" s="19">
        <f t="shared" si="63"/>
        <v>0</v>
      </c>
      <c r="P221" s="19">
        <f t="shared" si="63"/>
        <v>11603</v>
      </c>
      <c r="Q221" s="366">
        <f t="shared" si="63"/>
        <v>7855</v>
      </c>
      <c r="R221" s="64"/>
      <c r="S221" s="367">
        <f t="shared" si="63"/>
        <v>1624856</v>
      </c>
      <c r="T221" s="64">
        <f>H221+M221+P221</f>
        <v>1657510</v>
      </c>
      <c r="U221" s="64"/>
      <c r="V221" s="64"/>
      <c r="W221" s="64"/>
      <c r="X221" s="64"/>
      <c r="Y221" s="64"/>
      <c r="Z221" s="44">
        <f>F221+F435</f>
        <v>1745792</v>
      </c>
    </row>
    <row r="222" spans="1:26" ht="39" x14ac:dyDescent="0.25">
      <c r="A222" s="361">
        <v>5174</v>
      </c>
      <c r="B222" s="354">
        <v>410000</v>
      </c>
      <c r="C222" s="18" t="s">
        <v>204</v>
      </c>
      <c r="D222" s="18"/>
      <c r="E222" s="19">
        <f>E223+E225+E229+E231+E240+E242+E244+E246</f>
        <v>1029655</v>
      </c>
      <c r="F222" s="19">
        <f t="shared" ref="F222:S222" si="64">F223+F225+F229+F231+F240+F242+F244+F246</f>
        <v>1219790</v>
      </c>
      <c r="G222" s="19">
        <f t="shared" si="64"/>
        <v>1027665</v>
      </c>
      <c r="H222" s="19">
        <f t="shared" si="64"/>
        <v>0</v>
      </c>
      <c r="I222" s="19">
        <f t="shared" si="64"/>
        <v>0</v>
      </c>
      <c r="J222" s="19">
        <f t="shared" si="64"/>
        <v>0</v>
      </c>
      <c r="K222" s="19">
        <f t="shared" si="64"/>
        <v>0</v>
      </c>
      <c r="L222" s="19">
        <f t="shared" si="64"/>
        <v>0</v>
      </c>
      <c r="M222" s="19">
        <f t="shared" si="64"/>
        <v>1216140</v>
      </c>
      <c r="N222" s="19">
        <f t="shared" si="64"/>
        <v>1025065</v>
      </c>
      <c r="O222" s="19">
        <f t="shared" si="64"/>
        <v>0</v>
      </c>
      <c r="P222" s="19">
        <f t="shared" si="64"/>
        <v>3650</v>
      </c>
      <c r="Q222" s="366">
        <f t="shared" si="64"/>
        <v>2600</v>
      </c>
      <c r="R222" s="64"/>
      <c r="S222" s="367">
        <f t="shared" si="64"/>
        <v>1212877</v>
      </c>
      <c r="T222" s="64"/>
      <c r="U222" s="64"/>
      <c r="V222" s="64"/>
      <c r="W222" s="64"/>
      <c r="X222" s="64"/>
      <c r="Y222" s="64"/>
    </row>
    <row r="223" spans="1:26" ht="26.25" x14ac:dyDescent="0.25">
      <c r="A223" s="361">
        <v>5175</v>
      </c>
      <c r="B223" s="354">
        <v>411000</v>
      </c>
      <c r="C223" s="18" t="s">
        <v>205</v>
      </c>
      <c r="D223" s="18"/>
      <c r="E223" s="19">
        <f>E224</f>
        <v>851785</v>
      </c>
      <c r="F223" s="19">
        <f t="shared" ref="F223:S223" si="65">F224</f>
        <v>1010985</v>
      </c>
      <c r="G223" s="19">
        <f t="shared" si="65"/>
        <v>851785</v>
      </c>
      <c r="H223" s="19">
        <f t="shared" si="65"/>
        <v>0</v>
      </c>
      <c r="I223" s="19">
        <f t="shared" si="65"/>
        <v>0</v>
      </c>
      <c r="J223" s="19">
        <f t="shared" si="65"/>
        <v>0</v>
      </c>
      <c r="K223" s="19">
        <f t="shared" si="65"/>
        <v>0</v>
      </c>
      <c r="L223" s="19">
        <f t="shared" si="65"/>
        <v>0</v>
      </c>
      <c r="M223" s="19">
        <f t="shared" si="65"/>
        <v>1008061</v>
      </c>
      <c r="N223" s="19">
        <f t="shared" si="65"/>
        <v>849796</v>
      </c>
      <c r="O223" s="19">
        <f t="shared" si="65"/>
        <v>0</v>
      </c>
      <c r="P223" s="19">
        <f t="shared" si="65"/>
        <v>2924</v>
      </c>
      <c r="Q223" s="366">
        <f t="shared" si="65"/>
        <v>1989</v>
      </c>
      <c r="R223" s="64"/>
      <c r="S223" s="367">
        <f t="shared" si="65"/>
        <v>1008061</v>
      </c>
      <c r="T223" s="64"/>
      <c r="U223" s="64"/>
      <c r="V223" s="64"/>
      <c r="W223" s="64"/>
      <c r="X223" s="64"/>
      <c r="Y223" s="64"/>
    </row>
    <row r="224" spans="1:26" ht="26.25" x14ac:dyDescent="0.25">
      <c r="A224" s="45">
        <v>5176</v>
      </c>
      <c r="B224" s="23">
        <v>411100</v>
      </c>
      <c r="C224" s="9" t="s">
        <v>206</v>
      </c>
      <c r="D224" s="9"/>
      <c r="E224" s="36">
        <f>851823-26-11-1</f>
        <v>851785</v>
      </c>
      <c r="F224" s="36">
        <f>H224+K224+M224+P224</f>
        <v>1010985</v>
      </c>
      <c r="G224" s="37">
        <f>SUM(I224:Q224)-K224-M224-P224</f>
        <v>851785</v>
      </c>
      <c r="H224" s="37"/>
      <c r="I224" s="36"/>
      <c r="J224" s="36"/>
      <c r="K224" s="36"/>
      <c r="L224" s="36"/>
      <c r="M224" s="36">
        <v>1008061</v>
      </c>
      <c r="N224" s="36">
        <f>851785-1989</f>
        <v>849796</v>
      </c>
      <c r="O224" s="36"/>
      <c r="P224" s="36">
        <v>2924</v>
      </c>
      <c r="Q224" s="382">
        <v>1989</v>
      </c>
      <c r="R224" s="47"/>
      <c r="S224" s="383">
        <v>1008061</v>
      </c>
      <c r="T224" s="47"/>
      <c r="U224" s="47"/>
      <c r="V224" s="47"/>
      <c r="W224" s="47"/>
      <c r="X224" s="47"/>
      <c r="Y224" s="47"/>
      <c r="Z224" s="44">
        <f>M224+P224</f>
        <v>1010985</v>
      </c>
    </row>
    <row r="225" spans="1:30" ht="39" x14ac:dyDescent="0.25">
      <c r="A225" s="361">
        <v>5177</v>
      </c>
      <c r="B225" s="354">
        <v>412000</v>
      </c>
      <c r="C225" s="18" t="s">
        <v>207</v>
      </c>
      <c r="D225" s="18"/>
      <c r="E225" s="19">
        <f>SUM(E226:E228)</f>
        <v>141866</v>
      </c>
      <c r="F225" s="19">
        <f t="shared" ref="F225:S225" si="66">SUM(F226:F228)</f>
        <v>153194</v>
      </c>
      <c r="G225" s="19">
        <f t="shared" si="66"/>
        <v>141866</v>
      </c>
      <c r="H225" s="19">
        <f t="shared" si="66"/>
        <v>0</v>
      </c>
      <c r="I225" s="19">
        <f t="shared" si="66"/>
        <v>0</v>
      </c>
      <c r="J225" s="19">
        <f t="shared" si="66"/>
        <v>0</v>
      </c>
      <c r="K225" s="19">
        <f t="shared" si="66"/>
        <v>0</v>
      </c>
      <c r="L225" s="19">
        <f t="shared" si="66"/>
        <v>0</v>
      </c>
      <c r="M225" s="19">
        <f t="shared" si="66"/>
        <v>152721</v>
      </c>
      <c r="N225" s="19">
        <f t="shared" si="66"/>
        <v>141535</v>
      </c>
      <c r="O225" s="19">
        <f t="shared" si="66"/>
        <v>0</v>
      </c>
      <c r="P225" s="19">
        <f t="shared" si="66"/>
        <v>473</v>
      </c>
      <c r="Q225" s="366">
        <f t="shared" si="66"/>
        <v>331</v>
      </c>
      <c r="R225" s="64"/>
      <c r="S225" s="367">
        <f t="shared" si="66"/>
        <v>152721</v>
      </c>
      <c r="T225" s="64"/>
      <c r="U225" s="64"/>
      <c r="V225" s="64"/>
      <c r="W225" s="64"/>
      <c r="X225" s="64"/>
      <c r="Y225" s="64"/>
    </row>
    <row r="226" spans="1:30" ht="26.25" x14ac:dyDescent="0.25">
      <c r="A226" s="45">
        <v>5178</v>
      </c>
      <c r="B226" s="23">
        <v>412100</v>
      </c>
      <c r="C226" s="9" t="s">
        <v>208</v>
      </c>
      <c r="D226" s="9"/>
      <c r="E226" s="36">
        <f>97960+26</f>
        <v>97986</v>
      </c>
      <c r="F226" s="36">
        <f>H226+K226+M226+P226</f>
        <v>101128</v>
      </c>
      <c r="G226" s="37">
        <f>SUM(I226:Q226)-K226-M226-P226</f>
        <v>97986</v>
      </c>
      <c r="H226" s="37"/>
      <c r="I226" s="36"/>
      <c r="J226" s="36"/>
      <c r="K226" s="36"/>
      <c r="L226" s="36"/>
      <c r="M226" s="36">
        <v>100806</v>
      </c>
      <c r="N226" s="36">
        <f>97986-229</f>
        <v>97757</v>
      </c>
      <c r="O226" s="36"/>
      <c r="P226" s="36">
        <v>322</v>
      </c>
      <c r="Q226" s="382">
        <v>229</v>
      </c>
      <c r="R226" s="47"/>
      <c r="S226" s="383">
        <v>100806</v>
      </c>
      <c r="T226" s="47"/>
      <c r="U226" s="47"/>
      <c r="V226" s="47"/>
      <c r="W226" s="47"/>
      <c r="X226" s="47"/>
      <c r="Y226" s="47"/>
    </row>
    <row r="227" spans="1:30" ht="26.25" x14ac:dyDescent="0.25">
      <c r="A227" s="45">
        <v>5179</v>
      </c>
      <c r="B227" s="23">
        <v>412200</v>
      </c>
      <c r="C227" s="9" t="s">
        <v>209</v>
      </c>
      <c r="D227" s="9"/>
      <c r="E227" s="36">
        <f>43869+11</f>
        <v>43880</v>
      </c>
      <c r="F227" s="36">
        <f>H227+K227+M227+P227</f>
        <v>52066</v>
      </c>
      <c r="G227" s="37">
        <f>SUM(I227:Q227)-K227-M227-P227</f>
        <v>43880</v>
      </c>
      <c r="H227" s="37"/>
      <c r="I227" s="36"/>
      <c r="J227" s="36"/>
      <c r="K227" s="36"/>
      <c r="L227" s="36"/>
      <c r="M227" s="36">
        <v>51915</v>
      </c>
      <c r="N227" s="36">
        <f>43880-102</f>
        <v>43778</v>
      </c>
      <c r="O227" s="36"/>
      <c r="P227" s="36">
        <v>151</v>
      </c>
      <c r="Q227" s="382">
        <v>102</v>
      </c>
      <c r="R227" s="47"/>
      <c r="S227" s="383">
        <v>51915</v>
      </c>
      <c r="T227" s="47"/>
      <c r="U227" s="47"/>
      <c r="V227" s="47"/>
      <c r="W227" s="47"/>
      <c r="X227" s="47"/>
      <c r="Y227" s="47"/>
    </row>
    <row r="228" spans="1:30" ht="58.5" hidden="1" customHeight="1" x14ac:dyDescent="0.25">
      <c r="A228" s="45">
        <v>5180</v>
      </c>
      <c r="B228" s="23">
        <v>412300</v>
      </c>
      <c r="C228" s="9" t="s">
        <v>210</v>
      </c>
      <c r="D228" s="9"/>
      <c r="E228" s="36"/>
      <c r="F228" s="36"/>
      <c r="G228" s="37">
        <f t="shared" ref="G228:G289" si="67">SUM(I228:Q228)</f>
        <v>0</v>
      </c>
      <c r="H228" s="37"/>
      <c r="I228" s="36"/>
      <c r="J228" s="36"/>
      <c r="K228" s="36"/>
      <c r="L228" s="36"/>
      <c r="M228" s="36"/>
      <c r="N228" s="36"/>
      <c r="O228" s="36"/>
      <c r="P228" s="36"/>
      <c r="Q228" s="382"/>
      <c r="R228" s="47"/>
      <c r="S228" s="383"/>
      <c r="T228" s="47"/>
      <c r="U228" s="47"/>
      <c r="V228" s="47"/>
      <c r="W228" s="47"/>
      <c r="X228" s="47"/>
      <c r="Y228" s="47"/>
    </row>
    <row r="229" spans="1:30" ht="58.5" hidden="1" customHeight="1" x14ac:dyDescent="0.25">
      <c r="A229" s="361">
        <v>5181</v>
      </c>
      <c r="B229" s="354">
        <v>413000</v>
      </c>
      <c r="C229" s="18" t="s">
        <v>211</v>
      </c>
      <c r="D229" s="18"/>
      <c r="E229" s="19">
        <f>E230</f>
        <v>0</v>
      </c>
      <c r="F229" s="19"/>
      <c r="G229" s="19">
        <f t="shared" si="67"/>
        <v>0</v>
      </c>
      <c r="H229" s="19"/>
      <c r="I229" s="19">
        <f t="shared" ref="I229:Q229" si="68">I230</f>
        <v>0</v>
      </c>
      <c r="J229" s="19">
        <f t="shared" si="68"/>
        <v>0</v>
      </c>
      <c r="K229" s="19"/>
      <c r="L229" s="19">
        <f t="shared" si="68"/>
        <v>0</v>
      </c>
      <c r="M229" s="19"/>
      <c r="N229" s="19">
        <f t="shared" si="68"/>
        <v>0</v>
      </c>
      <c r="O229" s="19">
        <f t="shared" si="68"/>
        <v>0</v>
      </c>
      <c r="P229" s="19"/>
      <c r="Q229" s="366">
        <f t="shared" si="68"/>
        <v>0</v>
      </c>
      <c r="R229" s="64"/>
      <c r="S229" s="367"/>
      <c r="T229" s="64"/>
      <c r="U229" s="64"/>
      <c r="V229" s="64"/>
      <c r="W229" s="64"/>
      <c r="X229" s="64"/>
      <c r="Y229" s="64"/>
    </row>
    <row r="230" spans="1:30" ht="58.5" hidden="1" customHeight="1" x14ac:dyDescent="0.25">
      <c r="A230" s="45">
        <v>5182</v>
      </c>
      <c r="B230" s="23">
        <v>413100</v>
      </c>
      <c r="C230" s="9" t="s">
        <v>212</v>
      </c>
      <c r="D230" s="9"/>
      <c r="E230" s="36"/>
      <c r="F230" s="36"/>
      <c r="G230" s="37">
        <f t="shared" si="67"/>
        <v>0</v>
      </c>
      <c r="H230" s="37"/>
      <c r="I230" s="36"/>
      <c r="J230" s="36"/>
      <c r="K230" s="36"/>
      <c r="L230" s="36"/>
      <c r="M230" s="36"/>
      <c r="N230" s="36"/>
      <c r="O230" s="36"/>
      <c r="P230" s="36"/>
      <c r="Q230" s="382"/>
      <c r="R230" s="47"/>
      <c r="S230" s="383"/>
      <c r="T230" s="47"/>
      <c r="U230" s="47"/>
      <c r="V230" s="47"/>
      <c r="W230" s="47"/>
      <c r="X230" s="47"/>
      <c r="Y230" s="47"/>
    </row>
    <row r="231" spans="1:30" ht="39" x14ac:dyDescent="0.25">
      <c r="A231" s="361">
        <v>5183</v>
      </c>
      <c r="B231" s="354">
        <v>414000</v>
      </c>
      <c r="C231" s="18" t="s">
        <v>213</v>
      </c>
      <c r="D231" s="18"/>
      <c r="E231" s="19">
        <f>SUM(E232:E239)</f>
        <v>6722</v>
      </c>
      <c r="F231" s="19">
        <f t="shared" ref="F231:S231" si="69">SUM(F232:F239)</f>
        <v>12916</v>
      </c>
      <c r="G231" s="19">
        <f t="shared" si="69"/>
        <v>5239</v>
      </c>
      <c r="H231" s="19">
        <f t="shared" si="69"/>
        <v>0</v>
      </c>
      <c r="I231" s="19">
        <f t="shared" si="69"/>
        <v>0</v>
      </c>
      <c r="J231" s="19">
        <f t="shared" si="69"/>
        <v>0</v>
      </c>
      <c r="K231" s="19">
        <f t="shared" si="69"/>
        <v>0</v>
      </c>
      <c r="L231" s="19">
        <f t="shared" si="69"/>
        <v>0</v>
      </c>
      <c r="M231" s="19">
        <f t="shared" si="69"/>
        <v>12663</v>
      </c>
      <c r="N231" s="19">
        <f t="shared" si="69"/>
        <v>4959</v>
      </c>
      <c r="O231" s="19">
        <f t="shared" si="69"/>
        <v>0</v>
      </c>
      <c r="P231" s="19">
        <f t="shared" si="69"/>
        <v>253</v>
      </c>
      <c r="Q231" s="366">
        <f t="shared" si="69"/>
        <v>280</v>
      </c>
      <c r="R231" s="64"/>
      <c r="S231" s="367">
        <f t="shared" si="69"/>
        <v>9400</v>
      </c>
      <c r="T231" s="64"/>
      <c r="U231" s="64"/>
      <c r="V231" s="64"/>
      <c r="W231" s="64"/>
      <c r="X231" s="64"/>
      <c r="Y231" s="64"/>
    </row>
    <row r="232" spans="1:30" ht="39" hidden="1" x14ac:dyDescent="0.25">
      <c r="A232" s="45">
        <v>5184</v>
      </c>
      <c r="B232" s="23">
        <v>414100</v>
      </c>
      <c r="C232" s="9" t="s">
        <v>214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82"/>
      <c r="R232" s="47"/>
      <c r="S232" s="383"/>
      <c r="T232" s="47"/>
      <c r="U232" s="47"/>
      <c r="V232" s="47"/>
      <c r="W232" s="47"/>
      <c r="X232" s="47"/>
      <c r="Y232" s="47"/>
    </row>
    <row r="233" spans="1:30" ht="26.25" hidden="1" x14ac:dyDescent="0.25">
      <c r="A233" s="45">
        <v>5185</v>
      </c>
      <c r="B233" s="23">
        <v>414200</v>
      </c>
      <c r="C233" s="9" t="s">
        <v>215</v>
      </c>
      <c r="D233" s="9"/>
      <c r="E233" s="36"/>
      <c r="F233" s="36"/>
      <c r="G233" s="37">
        <f t="shared" si="67"/>
        <v>0</v>
      </c>
      <c r="H233" s="37"/>
      <c r="I233" s="36"/>
      <c r="J233" s="36"/>
      <c r="K233" s="36"/>
      <c r="L233" s="36"/>
      <c r="M233" s="36"/>
      <c r="N233" s="36"/>
      <c r="O233" s="36"/>
      <c r="P233" s="36"/>
      <c r="Q233" s="382"/>
      <c r="R233" s="47"/>
      <c r="S233" s="383"/>
      <c r="T233" s="47"/>
      <c r="U233" s="47"/>
      <c r="V233" s="47"/>
      <c r="W233" s="47"/>
      <c r="X233" s="47"/>
      <c r="Y233" s="47"/>
    </row>
    <row r="234" spans="1:30" x14ac:dyDescent="0.25">
      <c r="A234" s="45">
        <v>5186</v>
      </c>
      <c r="B234" s="23">
        <v>414300</v>
      </c>
      <c r="C234" s="9" t="s">
        <v>216</v>
      </c>
      <c r="D234" s="9"/>
      <c r="E234" s="36">
        <v>5351</v>
      </c>
      <c r="F234" s="36">
        <f>H234+K234+M234+P234</f>
        <v>11247</v>
      </c>
      <c r="G234" s="37">
        <f>SUM(I234:Q234)-K234-M234-P234</f>
        <v>3934</v>
      </c>
      <c r="H234" s="37"/>
      <c r="I234" s="36"/>
      <c r="J234" s="36"/>
      <c r="K234" s="36"/>
      <c r="L234" s="36"/>
      <c r="M234" s="36">
        <f>8200+2799</f>
        <v>10999</v>
      </c>
      <c r="N234" s="36">
        <v>3654</v>
      </c>
      <c r="O234" s="36"/>
      <c r="P234" s="36">
        <f>232+16</f>
        <v>248</v>
      </c>
      <c r="Q234" s="382">
        <v>280</v>
      </c>
      <c r="R234" s="47"/>
      <c r="S234" s="383">
        <v>8200</v>
      </c>
      <c r="T234" s="47"/>
      <c r="U234" s="47"/>
      <c r="V234" s="47"/>
      <c r="W234" s="47"/>
      <c r="X234" s="47"/>
      <c r="Y234" s="47"/>
    </row>
    <row r="235" spans="1:30" ht="58.5" hidden="1" customHeight="1" x14ac:dyDescent="0.25">
      <c r="A235" s="542" t="s">
        <v>0</v>
      </c>
      <c r="B235" s="543" t="s">
        <v>1</v>
      </c>
      <c r="C235" s="542" t="s">
        <v>2</v>
      </c>
      <c r="D235" s="360"/>
      <c r="E235" s="542" t="s">
        <v>217</v>
      </c>
      <c r="F235" s="360"/>
      <c r="G235" s="544" t="s">
        <v>198</v>
      </c>
      <c r="H235" s="544"/>
      <c r="I235" s="545"/>
      <c r="J235" s="545"/>
      <c r="K235" s="545"/>
      <c r="L235" s="545"/>
      <c r="M235" s="545"/>
      <c r="N235" s="545"/>
      <c r="O235" s="545"/>
      <c r="P235" s="545"/>
      <c r="Q235" s="545"/>
      <c r="R235" s="365"/>
      <c r="S235" s="365"/>
      <c r="T235" s="365"/>
      <c r="U235" s="365"/>
      <c r="V235" s="365"/>
      <c r="W235" s="365"/>
      <c r="X235" s="365"/>
      <c r="Y235" s="365"/>
    </row>
    <row r="236" spans="1:30" ht="58.5" hidden="1" customHeight="1" x14ac:dyDescent="0.25">
      <c r="A236" s="542"/>
      <c r="B236" s="543"/>
      <c r="C236" s="542"/>
      <c r="D236" s="360"/>
      <c r="E236" s="542"/>
      <c r="F236" s="360"/>
      <c r="G236" s="544" t="s">
        <v>199</v>
      </c>
      <c r="H236" s="354"/>
      <c r="I236" s="544" t="s">
        <v>200</v>
      </c>
      <c r="J236" s="545"/>
      <c r="K236" s="545"/>
      <c r="L236" s="545"/>
      <c r="M236" s="545"/>
      <c r="N236" s="545"/>
      <c r="O236" s="544" t="s">
        <v>7</v>
      </c>
      <c r="P236" s="354"/>
      <c r="Q236" s="534" t="s">
        <v>8</v>
      </c>
      <c r="R236" s="61"/>
      <c r="S236" s="61"/>
      <c r="T236" s="61"/>
      <c r="U236" s="61"/>
      <c r="V236" s="61"/>
      <c r="W236" s="61"/>
      <c r="X236" s="61"/>
      <c r="Y236" s="61"/>
    </row>
    <row r="237" spans="1:30" ht="58.5" hidden="1" customHeight="1" x14ac:dyDescent="0.25">
      <c r="A237" s="542"/>
      <c r="B237" s="543"/>
      <c r="C237" s="542"/>
      <c r="D237" s="360"/>
      <c r="E237" s="542"/>
      <c r="F237" s="360"/>
      <c r="G237" s="545"/>
      <c r="H237" s="362"/>
      <c r="I237" s="354" t="s">
        <v>201</v>
      </c>
      <c r="J237" s="354" t="s">
        <v>10</v>
      </c>
      <c r="K237" s="354"/>
      <c r="L237" s="354" t="s">
        <v>11</v>
      </c>
      <c r="M237" s="354"/>
      <c r="N237" s="354" t="s">
        <v>12</v>
      </c>
      <c r="O237" s="545"/>
      <c r="P237" s="362"/>
      <c r="Q237" s="741"/>
      <c r="R237" s="365"/>
      <c r="S237" s="364"/>
      <c r="T237" s="61"/>
      <c r="U237" s="365"/>
      <c r="V237" s="365"/>
      <c r="W237" s="365"/>
      <c r="X237" s="365"/>
      <c r="Y237" s="365"/>
    </row>
    <row r="238" spans="1:30" ht="58.5" hidden="1" customHeight="1" x14ac:dyDescent="0.25">
      <c r="A238" s="359" t="s">
        <v>18</v>
      </c>
      <c r="B238" s="359" t="s">
        <v>19</v>
      </c>
      <c r="C238" s="359" t="s">
        <v>20</v>
      </c>
      <c r="D238" s="359"/>
      <c r="E238" s="359" t="s">
        <v>21</v>
      </c>
      <c r="F238" s="359"/>
      <c r="G238" s="359" t="s">
        <v>22</v>
      </c>
      <c r="H238" s="359"/>
      <c r="I238" s="359" t="s">
        <v>23</v>
      </c>
      <c r="J238" s="359" t="s">
        <v>24</v>
      </c>
      <c r="K238" s="359"/>
      <c r="L238" s="359" t="s">
        <v>25</v>
      </c>
      <c r="M238" s="359"/>
      <c r="N238" s="359" t="s">
        <v>26</v>
      </c>
      <c r="O238" s="359" t="s">
        <v>27</v>
      </c>
      <c r="P238" s="359"/>
      <c r="Q238" s="379" t="s">
        <v>28</v>
      </c>
      <c r="R238" s="380"/>
      <c r="S238" s="381"/>
      <c r="T238" s="380"/>
      <c r="U238" s="380"/>
      <c r="V238" s="380"/>
      <c r="W238" s="380"/>
      <c r="X238" s="380"/>
      <c r="Y238" s="380"/>
    </row>
    <row r="239" spans="1:30" ht="54" x14ac:dyDescent="0.4">
      <c r="A239" s="45">
        <v>5187</v>
      </c>
      <c r="B239" s="23">
        <v>414400</v>
      </c>
      <c r="C239" s="9" t="s">
        <v>218</v>
      </c>
      <c r="D239" s="9"/>
      <c r="E239" s="36">
        <v>1371</v>
      </c>
      <c r="F239" s="36">
        <f>H239+K239+M239+P239</f>
        <v>1669</v>
      </c>
      <c r="G239" s="37">
        <f>SUM(I239:Q239)-K239-M239-P239</f>
        <v>1305</v>
      </c>
      <c r="H239" s="37"/>
      <c r="I239" s="36"/>
      <c r="J239" s="36"/>
      <c r="K239" s="36"/>
      <c r="L239" s="36"/>
      <c r="M239" s="36">
        <f>1200+464</f>
        <v>1664</v>
      </c>
      <c r="N239" s="36">
        <v>1305</v>
      </c>
      <c r="O239" s="36"/>
      <c r="P239" s="36">
        <v>5</v>
      </c>
      <c r="Q239" s="382"/>
      <c r="R239" s="47"/>
      <c r="S239" s="383">
        <v>1200</v>
      </c>
      <c r="T239" s="47"/>
      <c r="U239" s="47"/>
      <c r="V239" s="47"/>
      <c r="W239" s="47"/>
      <c r="X239" s="47"/>
      <c r="Y239" s="47"/>
      <c r="AD239" s="388" t="s">
        <v>538</v>
      </c>
    </row>
    <row r="240" spans="1:30" ht="26.25" x14ac:dyDescent="0.25">
      <c r="A240" s="361">
        <v>5188</v>
      </c>
      <c r="B240" s="354">
        <v>415000</v>
      </c>
      <c r="C240" s="18" t="s">
        <v>219</v>
      </c>
      <c r="D240" s="18"/>
      <c r="E240" s="19">
        <f>E241</f>
        <v>19840</v>
      </c>
      <c r="F240" s="19">
        <f t="shared" ref="F240:S240" si="70">F241</f>
        <v>28788</v>
      </c>
      <c r="G240" s="19">
        <f t="shared" si="70"/>
        <v>19632</v>
      </c>
      <c r="H240" s="19">
        <f t="shared" si="70"/>
        <v>0</v>
      </c>
      <c r="I240" s="19">
        <f t="shared" si="70"/>
        <v>0</v>
      </c>
      <c r="J240" s="19">
        <f t="shared" si="70"/>
        <v>0</v>
      </c>
      <c r="K240" s="19">
        <f t="shared" si="70"/>
        <v>0</v>
      </c>
      <c r="L240" s="19">
        <f t="shared" si="70"/>
        <v>0</v>
      </c>
      <c r="M240" s="19">
        <f t="shared" si="70"/>
        <v>28788</v>
      </c>
      <c r="N240" s="19">
        <f t="shared" si="70"/>
        <v>19632</v>
      </c>
      <c r="O240" s="19">
        <f t="shared" si="70"/>
        <v>0</v>
      </c>
      <c r="P240" s="19">
        <f t="shared" si="70"/>
        <v>0</v>
      </c>
      <c r="Q240" s="366">
        <f t="shared" si="70"/>
        <v>0</v>
      </c>
      <c r="R240" s="64"/>
      <c r="S240" s="367">
        <f t="shared" si="70"/>
        <v>28788</v>
      </c>
      <c r="T240" s="64"/>
      <c r="U240" s="64"/>
      <c r="V240" s="64"/>
      <c r="W240" s="64"/>
      <c r="X240" s="64"/>
      <c r="Y240" s="64"/>
    </row>
    <row r="241" spans="1:32" x14ac:dyDescent="0.25">
      <c r="A241" s="45">
        <v>5189</v>
      </c>
      <c r="B241" s="23">
        <v>415100</v>
      </c>
      <c r="C241" s="9" t="s">
        <v>220</v>
      </c>
      <c r="D241" s="9"/>
      <c r="E241" s="36">
        <v>19840</v>
      </c>
      <c r="F241" s="36">
        <f>H241+K241+M241+P241</f>
        <v>28788</v>
      </c>
      <c r="G241" s="37">
        <f>SUM(I241:Q241)-K241-M241-P241</f>
        <v>19632</v>
      </c>
      <c r="H241" s="37"/>
      <c r="I241" s="36"/>
      <c r="J241" s="36"/>
      <c r="K241" s="36"/>
      <c r="L241" s="36"/>
      <c r="M241" s="36">
        <v>28788</v>
      </c>
      <c r="N241" s="36">
        <v>19632</v>
      </c>
      <c r="O241" s="36"/>
      <c r="P241" s="36"/>
      <c r="Q241" s="382"/>
      <c r="R241" s="47"/>
      <c r="S241" s="383">
        <v>28788</v>
      </c>
      <c r="T241" s="47"/>
      <c r="U241" s="47"/>
      <c r="V241" s="47"/>
      <c r="W241" s="47"/>
      <c r="X241" s="47"/>
      <c r="Y241" s="47"/>
    </row>
    <row r="242" spans="1:32" ht="39" x14ac:dyDescent="0.25">
      <c r="A242" s="361">
        <v>5190</v>
      </c>
      <c r="B242" s="354">
        <v>416000</v>
      </c>
      <c r="C242" s="18" t="s">
        <v>221</v>
      </c>
      <c r="D242" s="18"/>
      <c r="E242" s="19">
        <f>E243</f>
        <v>9442</v>
      </c>
      <c r="F242" s="19">
        <f t="shared" ref="F242:S242" si="71">F243</f>
        <v>13907</v>
      </c>
      <c r="G242" s="19">
        <f t="shared" si="71"/>
        <v>9143</v>
      </c>
      <c r="H242" s="19">
        <f t="shared" si="71"/>
        <v>0</v>
      </c>
      <c r="I242" s="19">
        <f t="shared" si="71"/>
        <v>0</v>
      </c>
      <c r="J242" s="19">
        <f t="shared" si="71"/>
        <v>0</v>
      </c>
      <c r="K242" s="19">
        <f t="shared" si="71"/>
        <v>0</v>
      </c>
      <c r="L242" s="19">
        <f t="shared" si="71"/>
        <v>0</v>
      </c>
      <c r="M242" s="19">
        <f t="shared" si="71"/>
        <v>13907</v>
      </c>
      <c r="N242" s="19">
        <f t="shared" si="71"/>
        <v>9143</v>
      </c>
      <c r="O242" s="19">
        <f t="shared" si="71"/>
        <v>0</v>
      </c>
      <c r="P242" s="19">
        <f t="shared" si="71"/>
        <v>0</v>
      </c>
      <c r="Q242" s="366">
        <f t="shared" si="71"/>
        <v>0</v>
      </c>
      <c r="R242" s="64"/>
      <c r="S242" s="367">
        <f t="shared" si="71"/>
        <v>13907</v>
      </c>
      <c r="T242" s="64"/>
      <c r="U242" s="64"/>
      <c r="V242" s="64"/>
      <c r="W242" s="64"/>
      <c r="X242" s="64"/>
      <c r="Y242" s="64"/>
    </row>
    <row r="243" spans="1:32" ht="26.25" x14ac:dyDescent="0.25">
      <c r="A243" s="45">
        <v>5191</v>
      </c>
      <c r="B243" s="23">
        <v>416100</v>
      </c>
      <c r="C243" s="9" t="s">
        <v>222</v>
      </c>
      <c r="D243" s="9"/>
      <c r="E243" s="36">
        <v>9442</v>
      </c>
      <c r="F243" s="36">
        <f>H243+K243+M243+P243</f>
        <v>13907</v>
      </c>
      <c r="G243" s="37">
        <f>SUM(I243:Q243)-K243-M243-P243</f>
        <v>9143</v>
      </c>
      <c r="H243" s="37"/>
      <c r="I243" s="36"/>
      <c r="J243" s="36"/>
      <c r="K243" s="36"/>
      <c r="L243" s="36"/>
      <c r="M243" s="36">
        <v>13907</v>
      </c>
      <c r="N243" s="36">
        <v>9143</v>
      </c>
      <c r="O243" s="36"/>
      <c r="P243" s="36"/>
      <c r="Q243" s="382"/>
      <c r="R243" s="47"/>
      <c r="S243" s="383">
        <v>13907</v>
      </c>
      <c r="T243" s="47"/>
      <c r="U243" s="47"/>
      <c r="V243" s="47"/>
      <c r="W243" s="47"/>
      <c r="X243" s="47"/>
      <c r="Y243" s="47"/>
    </row>
    <row r="244" spans="1:32" ht="26.25" hidden="1" x14ac:dyDescent="0.25">
      <c r="A244" s="361">
        <v>5192</v>
      </c>
      <c r="B244" s="354">
        <v>417000</v>
      </c>
      <c r="C244" s="18" t="s">
        <v>223</v>
      </c>
      <c r="D244" s="18"/>
      <c r="E244" s="19">
        <f>E245</f>
        <v>0</v>
      </c>
      <c r="F244" s="19"/>
      <c r="G244" s="19">
        <f t="shared" si="67"/>
        <v>0</v>
      </c>
      <c r="H244" s="19"/>
      <c r="I244" s="19">
        <f t="shared" ref="I244:Q244" si="72">I245</f>
        <v>0</v>
      </c>
      <c r="J244" s="19">
        <f t="shared" si="72"/>
        <v>0</v>
      </c>
      <c r="K244" s="19"/>
      <c r="L244" s="19">
        <f t="shared" si="72"/>
        <v>0</v>
      </c>
      <c r="M244" s="19"/>
      <c r="N244" s="19">
        <f t="shared" si="72"/>
        <v>0</v>
      </c>
      <c r="O244" s="19">
        <f t="shared" si="72"/>
        <v>0</v>
      </c>
      <c r="P244" s="19"/>
      <c r="Q244" s="366">
        <f t="shared" si="72"/>
        <v>0</v>
      </c>
      <c r="R244" s="64"/>
      <c r="S244" s="367"/>
      <c r="T244" s="64"/>
      <c r="U244" s="64"/>
      <c r="V244" s="64"/>
      <c r="W244" s="64"/>
      <c r="X244" s="64"/>
      <c r="Y244" s="64"/>
    </row>
    <row r="245" spans="1:32" hidden="1" x14ac:dyDescent="0.25">
      <c r="A245" s="45">
        <v>5193</v>
      </c>
      <c r="B245" s="23">
        <v>417100</v>
      </c>
      <c r="C245" s="9" t="s">
        <v>224</v>
      </c>
      <c r="D245" s="9"/>
      <c r="E245" s="36"/>
      <c r="F245" s="36"/>
      <c r="G245" s="37">
        <f t="shared" si="67"/>
        <v>0</v>
      </c>
      <c r="H245" s="37"/>
      <c r="I245" s="36"/>
      <c r="J245" s="36"/>
      <c r="K245" s="36"/>
      <c r="L245" s="36"/>
      <c r="M245" s="36"/>
      <c r="N245" s="36"/>
      <c r="O245" s="36"/>
      <c r="P245" s="36"/>
      <c r="Q245" s="382"/>
      <c r="R245" s="47"/>
      <c r="S245" s="383"/>
      <c r="T245" s="47"/>
      <c r="U245" s="47"/>
      <c r="V245" s="47"/>
      <c r="W245" s="47"/>
      <c r="X245" s="47"/>
      <c r="Y245" s="47"/>
    </row>
    <row r="246" spans="1:32" hidden="1" x14ac:dyDescent="0.25">
      <c r="A246" s="361">
        <v>5194</v>
      </c>
      <c r="B246" s="354">
        <v>418000</v>
      </c>
      <c r="C246" s="18" t="s">
        <v>225</v>
      </c>
      <c r="D246" s="18"/>
      <c r="E246" s="19">
        <f>E247</f>
        <v>0</v>
      </c>
      <c r="F246" s="19"/>
      <c r="G246" s="19">
        <f t="shared" si="67"/>
        <v>0</v>
      </c>
      <c r="H246" s="19"/>
      <c r="I246" s="19">
        <f t="shared" ref="I246:Q246" si="73">I247</f>
        <v>0</v>
      </c>
      <c r="J246" s="19">
        <f t="shared" si="73"/>
        <v>0</v>
      </c>
      <c r="K246" s="19"/>
      <c r="L246" s="19">
        <f t="shared" si="73"/>
        <v>0</v>
      </c>
      <c r="M246" s="19"/>
      <c r="N246" s="19">
        <f t="shared" si="73"/>
        <v>0</v>
      </c>
      <c r="O246" s="19">
        <f t="shared" si="73"/>
        <v>0</v>
      </c>
      <c r="P246" s="19"/>
      <c r="Q246" s="366">
        <f t="shared" si="73"/>
        <v>0</v>
      </c>
      <c r="R246" s="64"/>
      <c r="S246" s="367"/>
      <c r="T246" s="64"/>
      <c r="U246" s="64"/>
      <c r="V246" s="64"/>
      <c r="W246" s="64"/>
      <c r="X246" s="64"/>
      <c r="Y246" s="64"/>
    </row>
    <row r="247" spans="1:32" hidden="1" x14ac:dyDescent="0.25">
      <c r="A247" s="45">
        <v>5195</v>
      </c>
      <c r="B247" s="23">
        <v>418100</v>
      </c>
      <c r="C247" s="9" t="s">
        <v>226</v>
      </c>
      <c r="D247" s="9"/>
      <c r="E247" s="36"/>
      <c r="F247" s="36"/>
      <c r="G247" s="37">
        <f t="shared" si="67"/>
        <v>0</v>
      </c>
      <c r="H247" s="37"/>
      <c r="I247" s="36"/>
      <c r="J247" s="36"/>
      <c r="K247" s="36"/>
      <c r="L247" s="36"/>
      <c r="M247" s="36"/>
      <c r="N247" s="36"/>
      <c r="O247" s="36"/>
      <c r="P247" s="36"/>
      <c r="Q247" s="382"/>
      <c r="R247" s="47"/>
      <c r="S247" s="383"/>
      <c r="T247" s="47"/>
      <c r="U247" s="47"/>
      <c r="V247" s="47"/>
      <c r="W247" s="47"/>
      <c r="X247" s="47"/>
      <c r="Y247" s="47"/>
    </row>
    <row r="248" spans="1:32" ht="39" x14ac:dyDescent="0.25">
      <c r="A248" s="361">
        <v>5196</v>
      </c>
      <c r="B248" s="354">
        <v>420000</v>
      </c>
      <c r="C248" s="18" t="s">
        <v>227</v>
      </c>
      <c r="D248" s="18"/>
      <c r="E248" s="19">
        <f t="shared" ref="E248:S248" si="74">E249+E257+E263+E276+E284+E287</f>
        <v>427521</v>
      </c>
      <c r="F248" s="19">
        <f t="shared" si="74"/>
        <v>427046</v>
      </c>
      <c r="G248" s="19">
        <f t="shared" si="74"/>
        <v>99459</v>
      </c>
      <c r="H248" s="19">
        <f t="shared" si="74"/>
        <v>1000</v>
      </c>
      <c r="I248" s="19">
        <f t="shared" si="74"/>
        <v>127</v>
      </c>
      <c r="J248" s="19">
        <f t="shared" si="74"/>
        <v>0</v>
      </c>
      <c r="K248" s="19">
        <f t="shared" si="74"/>
        <v>0</v>
      </c>
      <c r="L248" s="19">
        <f t="shared" si="74"/>
        <v>1273</v>
      </c>
      <c r="M248" s="19">
        <f t="shared" si="74"/>
        <v>418593</v>
      </c>
      <c r="N248" s="19">
        <f t="shared" si="74"/>
        <v>93155</v>
      </c>
      <c r="O248" s="19">
        <f t="shared" si="74"/>
        <v>0</v>
      </c>
      <c r="P248" s="19">
        <f t="shared" si="74"/>
        <v>7453</v>
      </c>
      <c r="Q248" s="366">
        <f t="shared" si="74"/>
        <v>4904</v>
      </c>
      <c r="R248" s="64"/>
      <c r="S248" s="367">
        <f t="shared" si="74"/>
        <v>401899</v>
      </c>
      <c r="T248" s="64"/>
      <c r="U248" s="64"/>
      <c r="V248" s="64"/>
      <c r="W248" s="64"/>
      <c r="X248" s="64"/>
      <c r="Y248" s="64"/>
    </row>
    <row r="249" spans="1:32" ht="26.25" x14ac:dyDescent="0.25">
      <c r="A249" s="361">
        <v>5197</v>
      </c>
      <c r="B249" s="354">
        <v>421000</v>
      </c>
      <c r="C249" s="18" t="s">
        <v>228</v>
      </c>
      <c r="D249" s="18"/>
      <c r="E249" s="19">
        <f>SUM(E250:E256)</f>
        <v>100067</v>
      </c>
      <c r="F249" s="19">
        <f t="shared" ref="F249:S249" si="75">SUM(F250:F256)</f>
        <v>101231</v>
      </c>
      <c r="G249" s="19">
        <f t="shared" si="75"/>
        <v>80998</v>
      </c>
      <c r="H249" s="19">
        <f t="shared" si="75"/>
        <v>0</v>
      </c>
      <c r="I249" s="19">
        <f t="shared" si="75"/>
        <v>0</v>
      </c>
      <c r="J249" s="19">
        <f t="shared" si="75"/>
        <v>0</v>
      </c>
      <c r="K249" s="19">
        <f t="shared" si="75"/>
        <v>0</v>
      </c>
      <c r="L249" s="19">
        <f t="shared" si="75"/>
        <v>0</v>
      </c>
      <c r="M249" s="19">
        <f t="shared" si="75"/>
        <v>99888</v>
      </c>
      <c r="N249" s="19">
        <f t="shared" si="75"/>
        <v>80545</v>
      </c>
      <c r="O249" s="19">
        <f t="shared" si="75"/>
        <v>0</v>
      </c>
      <c r="P249" s="19">
        <f t="shared" si="75"/>
        <v>1343</v>
      </c>
      <c r="Q249" s="366">
        <f t="shared" si="75"/>
        <v>453</v>
      </c>
      <c r="R249" s="64"/>
      <c r="S249" s="367">
        <f t="shared" si="75"/>
        <v>97827</v>
      </c>
      <c r="T249" s="64"/>
      <c r="U249" s="64"/>
      <c r="V249" s="64"/>
      <c r="W249" s="64"/>
      <c r="X249" s="64"/>
      <c r="Y249" s="64"/>
    </row>
    <row r="250" spans="1:32" ht="26.25" x14ac:dyDescent="0.25">
      <c r="A250" s="45">
        <v>5198</v>
      </c>
      <c r="B250" s="23">
        <v>421100</v>
      </c>
      <c r="C250" s="9" t="s">
        <v>229</v>
      </c>
      <c r="D250" s="9" t="s">
        <v>463</v>
      </c>
      <c r="E250" s="36">
        <v>1359</v>
      </c>
      <c r="F250" s="36">
        <f>H250+K250+M250+P250</f>
        <v>1145</v>
      </c>
      <c r="G250" s="37">
        <f>SUM(I250:Q250)-K250-M250-P250</f>
        <v>1300</v>
      </c>
      <c r="H250" s="37"/>
      <c r="I250" s="36"/>
      <c r="J250" s="36"/>
      <c r="K250" s="36"/>
      <c r="L250" s="36"/>
      <c r="M250" s="36">
        <f>1500-500+65</f>
        <v>1065</v>
      </c>
      <c r="N250" s="36">
        <v>1243</v>
      </c>
      <c r="O250" s="36"/>
      <c r="P250" s="36">
        <v>80</v>
      </c>
      <c r="Q250" s="382">
        <v>57</v>
      </c>
      <c r="R250" s="47"/>
      <c r="S250" s="383">
        <f>1500-500</f>
        <v>1000</v>
      </c>
      <c r="T250" s="47">
        <f>M250-S250</f>
        <v>65</v>
      </c>
      <c r="U250" s="47"/>
      <c r="V250" s="47"/>
      <c r="W250" s="47">
        <v>836</v>
      </c>
      <c r="X250" s="47"/>
      <c r="Y250" s="47"/>
      <c r="AE250" s="12">
        <v>792</v>
      </c>
      <c r="AF250" s="392">
        <f>AE250/M250</f>
        <v>0.74366197183098592</v>
      </c>
    </row>
    <row r="251" spans="1:32" x14ac:dyDescent="0.25">
      <c r="A251" s="45">
        <v>5199</v>
      </c>
      <c r="B251" s="23">
        <v>421200</v>
      </c>
      <c r="C251" s="9" t="s">
        <v>230</v>
      </c>
      <c r="D251" s="9" t="s">
        <v>468</v>
      </c>
      <c r="E251" s="36">
        <v>83306</v>
      </c>
      <c r="F251" s="36">
        <f>H251+K251+M251+P251</f>
        <v>81499</v>
      </c>
      <c r="G251" s="37">
        <f t="shared" ref="G251:G254" si="76">SUM(I251:Q251)-K251-M251-P251</f>
        <v>65508</v>
      </c>
      <c r="H251" s="37"/>
      <c r="I251" s="36"/>
      <c r="J251" s="36"/>
      <c r="K251" s="36"/>
      <c r="L251" s="36"/>
      <c r="M251" s="36">
        <f>98306-17257</f>
        <v>81049</v>
      </c>
      <c r="N251" s="36">
        <v>65188</v>
      </c>
      <c r="O251" s="36"/>
      <c r="P251" s="36">
        <f>250+200</f>
        <v>450</v>
      </c>
      <c r="Q251" s="382">
        <v>320</v>
      </c>
      <c r="R251" s="47"/>
      <c r="S251" s="383">
        <f>98306-17257</f>
        <v>81049</v>
      </c>
      <c r="T251" s="47">
        <f t="shared" ref="T251:T314" si="77">M251-S251</f>
        <v>0</v>
      </c>
      <c r="U251" s="47"/>
      <c r="V251" s="47"/>
      <c r="W251" s="47"/>
      <c r="X251" s="47"/>
      <c r="Y251" s="47"/>
    </row>
    <row r="252" spans="1:32" x14ac:dyDescent="0.25">
      <c r="A252" s="45">
        <v>5200</v>
      </c>
      <c r="B252" s="23">
        <v>421300</v>
      </c>
      <c r="C252" s="9" t="s">
        <v>231</v>
      </c>
      <c r="D252" s="9" t="s">
        <v>463</v>
      </c>
      <c r="E252" s="36">
        <v>10436</v>
      </c>
      <c r="F252" s="36">
        <f>H252+K252+M252+P252</f>
        <v>12881</v>
      </c>
      <c r="G252" s="37">
        <f t="shared" si="76"/>
        <v>9465</v>
      </c>
      <c r="H252" s="37"/>
      <c r="I252" s="36"/>
      <c r="J252" s="36"/>
      <c r="K252" s="36"/>
      <c r="L252" s="36"/>
      <c r="M252" s="36">
        <f>11500-360-414+1555</f>
        <v>12281</v>
      </c>
      <c r="N252" s="36">
        <v>9410</v>
      </c>
      <c r="O252" s="36"/>
      <c r="P252" s="36">
        <v>600</v>
      </c>
      <c r="Q252" s="382">
        <v>55</v>
      </c>
      <c r="R252" s="47"/>
      <c r="S252" s="383">
        <f>11500-360-414</f>
        <v>10726</v>
      </c>
      <c r="T252" s="47">
        <f t="shared" si="77"/>
        <v>1555</v>
      </c>
      <c r="U252" s="47"/>
      <c r="V252" s="47"/>
      <c r="W252" s="47">
        <f>5699+405+3718+61</f>
        <v>9883</v>
      </c>
      <c r="X252" s="47"/>
      <c r="Y252" s="47"/>
      <c r="AE252" s="12">
        <f>5699+356+3718+61</f>
        <v>9834</v>
      </c>
      <c r="AF252" s="392">
        <f>AE252/M252</f>
        <v>0.8007491246641153</v>
      </c>
    </row>
    <row r="253" spans="1:32" x14ac:dyDescent="0.25">
      <c r="A253" s="45">
        <v>5201</v>
      </c>
      <c r="B253" s="23">
        <v>421400</v>
      </c>
      <c r="C253" s="9" t="s">
        <v>232</v>
      </c>
      <c r="D253" s="9" t="s">
        <v>463</v>
      </c>
      <c r="E253" s="36">
        <v>2250</v>
      </c>
      <c r="F253" s="36">
        <f>H253+K253+M253+P253</f>
        <v>2564</v>
      </c>
      <c r="G253" s="37">
        <f t="shared" si="76"/>
        <v>2113</v>
      </c>
      <c r="H253" s="37"/>
      <c r="I253" s="36"/>
      <c r="J253" s="36"/>
      <c r="K253" s="36"/>
      <c r="L253" s="36"/>
      <c r="M253" s="36">
        <f>2016+24+524</f>
        <v>2564</v>
      </c>
      <c r="N253" s="36">
        <v>2113</v>
      </c>
      <c r="O253" s="36"/>
      <c r="P253" s="36"/>
      <c r="Q253" s="382"/>
      <c r="R253" s="47"/>
      <c r="S253" s="383">
        <f>2016+24</f>
        <v>2040</v>
      </c>
      <c r="T253" s="47">
        <f t="shared" si="77"/>
        <v>524</v>
      </c>
      <c r="U253" s="47"/>
      <c r="V253" s="47"/>
      <c r="W253" s="47">
        <f>484+533+558+525</f>
        <v>2100</v>
      </c>
      <c r="X253" s="47"/>
      <c r="Y253" s="47"/>
      <c r="Z253" s="12">
        <v>1092</v>
      </c>
      <c r="AE253" s="12">
        <f>484+478+503+516</f>
        <v>1981</v>
      </c>
      <c r="AF253" s="392">
        <f>AE253/M253</f>
        <v>0.7726209048361935</v>
      </c>
    </row>
    <row r="254" spans="1:32" x14ac:dyDescent="0.25">
      <c r="A254" s="45">
        <v>5202</v>
      </c>
      <c r="B254" s="23">
        <v>421500</v>
      </c>
      <c r="C254" s="9" t="s">
        <v>233</v>
      </c>
      <c r="D254" s="9" t="s">
        <v>463</v>
      </c>
      <c r="E254" s="36">
        <v>2716</v>
      </c>
      <c r="F254" s="36">
        <f>H254+K254+M254+P254</f>
        <v>3142</v>
      </c>
      <c r="G254" s="37">
        <f t="shared" si="76"/>
        <v>2612</v>
      </c>
      <c r="H254" s="37"/>
      <c r="I254" s="36"/>
      <c r="J254" s="36"/>
      <c r="K254" s="36"/>
      <c r="L254" s="36"/>
      <c r="M254" s="36">
        <f>3000+12-83</f>
        <v>2929</v>
      </c>
      <c r="N254" s="36">
        <v>2591</v>
      </c>
      <c r="O254" s="36"/>
      <c r="P254" s="36">
        <f>200+13</f>
        <v>213</v>
      </c>
      <c r="Q254" s="382">
        <v>21</v>
      </c>
      <c r="R254" s="47"/>
      <c r="S254" s="383">
        <f>3000+12</f>
        <v>3012</v>
      </c>
      <c r="T254" s="47">
        <f t="shared" si="77"/>
        <v>-83</v>
      </c>
      <c r="U254" s="47"/>
      <c r="V254" s="47"/>
      <c r="W254" s="47">
        <f>2292+164</f>
        <v>2456</v>
      </c>
      <c r="X254" s="47"/>
      <c r="Y254" s="47"/>
      <c r="Z254" s="12">
        <v>851</v>
      </c>
      <c r="AE254" s="12">
        <f>2292+152</f>
        <v>2444</v>
      </c>
      <c r="AF254" s="392">
        <f>AE254/M254</f>
        <v>0.83441447593035167</v>
      </c>
    </row>
    <row r="255" spans="1:32" hidden="1" x14ac:dyDescent="0.25">
      <c r="A255" s="45">
        <v>5203</v>
      </c>
      <c r="B255" s="23">
        <v>421600</v>
      </c>
      <c r="C255" s="9" t="s">
        <v>234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82"/>
      <c r="R255" s="47"/>
      <c r="S255" s="383"/>
      <c r="T255" s="47">
        <f t="shared" si="77"/>
        <v>0</v>
      </c>
      <c r="U255" s="47"/>
      <c r="V255" s="47"/>
      <c r="W255" s="47"/>
      <c r="X255" s="47"/>
      <c r="Y255" s="47"/>
    </row>
    <row r="256" spans="1:32" hidden="1" x14ac:dyDescent="0.25">
      <c r="A256" s="45">
        <v>5204</v>
      </c>
      <c r="B256" s="23">
        <v>421900</v>
      </c>
      <c r="C256" s="9" t="s">
        <v>235</v>
      </c>
      <c r="D256" s="9"/>
      <c r="E256" s="36"/>
      <c r="F256" s="36"/>
      <c r="G256" s="37">
        <f t="shared" si="67"/>
        <v>0</v>
      </c>
      <c r="H256" s="37"/>
      <c r="I256" s="36"/>
      <c r="J256" s="36"/>
      <c r="K256" s="36"/>
      <c r="L256" s="36"/>
      <c r="M256" s="36"/>
      <c r="N256" s="36"/>
      <c r="O256" s="36"/>
      <c r="P256" s="36"/>
      <c r="Q256" s="382"/>
      <c r="R256" s="47"/>
      <c r="S256" s="383"/>
      <c r="T256" s="47">
        <f t="shared" si="77"/>
        <v>0</v>
      </c>
      <c r="U256" s="47"/>
      <c r="V256" s="47"/>
      <c r="W256" s="47"/>
      <c r="X256" s="47"/>
      <c r="Y256" s="47"/>
    </row>
    <row r="257" spans="1:32" ht="26.25" x14ac:dyDescent="0.25">
      <c r="A257" s="361">
        <v>5205</v>
      </c>
      <c r="B257" s="354">
        <v>422000</v>
      </c>
      <c r="C257" s="18" t="s">
        <v>236</v>
      </c>
      <c r="D257" s="18"/>
      <c r="E257" s="19">
        <f>SUM(E258:E262)</f>
        <v>634</v>
      </c>
      <c r="F257" s="19">
        <f t="shared" ref="F257:S257" si="78">SUM(F258:F262)</f>
        <v>554</v>
      </c>
      <c r="G257" s="19">
        <f t="shared" si="78"/>
        <v>451</v>
      </c>
      <c r="H257" s="19">
        <f t="shared" si="78"/>
        <v>0</v>
      </c>
      <c r="I257" s="19">
        <f t="shared" si="78"/>
        <v>0</v>
      </c>
      <c r="J257" s="19">
        <f t="shared" si="78"/>
        <v>0</v>
      </c>
      <c r="K257" s="19">
        <f t="shared" si="78"/>
        <v>0</v>
      </c>
      <c r="L257" s="19">
        <f t="shared" si="78"/>
        <v>0</v>
      </c>
      <c r="M257" s="19">
        <f t="shared" si="78"/>
        <v>114</v>
      </c>
      <c r="N257" s="19">
        <f t="shared" si="78"/>
        <v>0</v>
      </c>
      <c r="O257" s="19">
        <f t="shared" si="78"/>
        <v>0</v>
      </c>
      <c r="P257" s="19">
        <f t="shared" si="78"/>
        <v>440</v>
      </c>
      <c r="Q257" s="366">
        <f t="shared" si="78"/>
        <v>451</v>
      </c>
      <c r="R257" s="64"/>
      <c r="S257" s="367">
        <f t="shared" si="78"/>
        <v>114</v>
      </c>
      <c r="T257" s="47">
        <f t="shared" si="77"/>
        <v>0</v>
      </c>
      <c r="U257" s="64"/>
      <c r="V257" s="64"/>
      <c r="W257" s="64"/>
      <c r="X257" s="64"/>
      <c r="Y257" s="64"/>
    </row>
    <row r="258" spans="1:32" ht="26.25" x14ac:dyDescent="0.25">
      <c r="A258" s="45">
        <v>5206</v>
      </c>
      <c r="B258" s="23">
        <v>422100</v>
      </c>
      <c r="C258" s="9" t="s">
        <v>237</v>
      </c>
      <c r="D258" s="9" t="s">
        <v>463</v>
      </c>
      <c r="E258" s="36">
        <v>634</v>
      </c>
      <c r="F258" s="36">
        <f>H258+K258+M258+P258</f>
        <v>554</v>
      </c>
      <c r="G258" s="37">
        <f t="shared" ref="G258" si="79">SUM(I258:Q258)-K258-M258-P258</f>
        <v>451</v>
      </c>
      <c r="H258" s="37"/>
      <c r="I258" s="36"/>
      <c r="J258" s="36"/>
      <c r="K258" s="36"/>
      <c r="L258" s="36"/>
      <c r="M258" s="36">
        <f>184-70</f>
        <v>114</v>
      </c>
      <c r="N258" s="36"/>
      <c r="O258" s="36"/>
      <c r="P258" s="36">
        <v>440</v>
      </c>
      <c r="Q258" s="382">
        <v>451</v>
      </c>
      <c r="R258" s="47"/>
      <c r="S258" s="383">
        <f>184-70</f>
        <v>114</v>
      </c>
      <c r="T258" s="47">
        <f t="shared" si="77"/>
        <v>0</v>
      </c>
      <c r="U258" s="47"/>
      <c r="V258" s="47"/>
      <c r="W258" s="47">
        <f>88+38</f>
        <v>126</v>
      </c>
      <c r="X258" s="47"/>
      <c r="Y258" s="47"/>
      <c r="AE258" s="12">
        <v>88</v>
      </c>
      <c r="AF258" s="392">
        <f>AE258/M258</f>
        <v>0.77192982456140347</v>
      </c>
    </row>
    <row r="259" spans="1:32" ht="26.25" hidden="1" x14ac:dyDescent="0.25">
      <c r="A259" s="45">
        <v>5207</v>
      </c>
      <c r="B259" s="23">
        <v>422200</v>
      </c>
      <c r="C259" s="9" t="s">
        <v>238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82"/>
      <c r="R259" s="47"/>
      <c r="S259" s="383"/>
      <c r="T259" s="47">
        <f t="shared" si="77"/>
        <v>0</v>
      </c>
      <c r="U259" s="47"/>
      <c r="V259" s="47"/>
      <c r="W259" s="47"/>
      <c r="X259" s="47"/>
      <c r="Y259" s="47"/>
    </row>
    <row r="260" spans="1:32" ht="26.25" hidden="1" x14ac:dyDescent="0.25">
      <c r="A260" s="45">
        <v>5208</v>
      </c>
      <c r="B260" s="23">
        <v>422300</v>
      </c>
      <c r="C260" s="9" t="s">
        <v>239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82"/>
      <c r="R260" s="47"/>
      <c r="S260" s="383"/>
      <c r="T260" s="47">
        <f t="shared" si="77"/>
        <v>0</v>
      </c>
      <c r="U260" s="47"/>
      <c r="V260" s="47"/>
      <c r="W260" s="47"/>
      <c r="X260" s="47"/>
      <c r="Y260" s="47"/>
    </row>
    <row r="261" spans="1:32" hidden="1" x14ac:dyDescent="0.25">
      <c r="A261" s="45">
        <v>5209</v>
      </c>
      <c r="B261" s="23">
        <v>422400</v>
      </c>
      <c r="C261" s="9" t="s">
        <v>240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82"/>
      <c r="R261" s="47"/>
      <c r="S261" s="383"/>
      <c r="T261" s="47">
        <f t="shared" si="77"/>
        <v>0</v>
      </c>
      <c r="U261" s="47"/>
      <c r="V261" s="47"/>
      <c r="W261" s="47"/>
      <c r="X261" s="47"/>
      <c r="Y261" s="47"/>
    </row>
    <row r="262" spans="1:32" hidden="1" x14ac:dyDescent="0.25">
      <c r="A262" s="45">
        <v>5210</v>
      </c>
      <c r="B262" s="23">
        <v>422900</v>
      </c>
      <c r="C262" s="9" t="s">
        <v>241</v>
      </c>
      <c r="D262" s="9"/>
      <c r="E262" s="36"/>
      <c r="F262" s="36"/>
      <c r="G262" s="37">
        <f t="shared" si="67"/>
        <v>0</v>
      </c>
      <c r="H262" s="37"/>
      <c r="I262" s="36"/>
      <c r="J262" s="36"/>
      <c r="K262" s="36"/>
      <c r="L262" s="36"/>
      <c r="M262" s="36"/>
      <c r="N262" s="36"/>
      <c r="O262" s="36"/>
      <c r="P262" s="36"/>
      <c r="Q262" s="382"/>
      <c r="R262" s="47"/>
      <c r="S262" s="383"/>
      <c r="T262" s="47">
        <f t="shared" si="77"/>
        <v>0</v>
      </c>
      <c r="U262" s="47"/>
      <c r="V262" s="47"/>
      <c r="W262" s="47"/>
      <c r="X262" s="47"/>
      <c r="Y262" s="47"/>
    </row>
    <row r="263" spans="1:32" ht="26.25" x14ac:dyDescent="0.25">
      <c r="A263" s="361">
        <v>5211</v>
      </c>
      <c r="B263" s="354">
        <v>423000</v>
      </c>
      <c r="C263" s="18" t="s">
        <v>242</v>
      </c>
      <c r="D263" s="18"/>
      <c r="E263" s="19">
        <f>SUM(E264:E275)</f>
        <v>8328</v>
      </c>
      <c r="F263" s="19">
        <f t="shared" ref="F263:S263" si="80">SUM(F264:F275)</f>
        <v>13248</v>
      </c>
      <c r="G263" s="19">
        <f t="shared" si="80"/>
        <v>70</v>
      </c>
      <c r="H263" s="19">
        <f t="shared" si="80"/>
        <v>0</v>
      </c>
      <c r="I263" s="19">
        <f t="shared" si="80"/>
        <v>0</v>
      </c>
      <c r="J263" s="19">
        <f t="shared" si="80"/>
        <v>0</v>
      </c>
      <c r="K263" s="19">
        <f t="shared" si="80"/>
        <v>0</v>
      </c>
      <c r="L263" s="19">
        <f t="shared" si="80"/>
        <v>0</v>
      </c>
      <c r="M263" s="19">
        <f t="shared" si="80"/>
        <v>10847</v>
      </c>
      <c r="N263" s="19">
        <f t="shared" si="80"/>
        <v>0</v>
      </c>
      <c r="O263" s="19">
        <f t="shared" si="80"/>
        <v>0</v>
      </c>
      <c r="P263" s="19">
        <f t="shared" si="80"/>
        <v>2401</v>
      </c>
      <c r="Q263" s="366">
        <f t="shared" si="80"/>
        <v>70</v>
      </c>
      <c r="R263" s="64"/>
      <c r="S263" s="367">
        <f t="shared" si="80"/>
        <v>7274</v>
      </c>
      <c r="T263" s="47">
        <f t="shared" si="77"/>
        <v>3573</v>
      </c>
      <c r="U263" s="64"/>
      <c r="V263" s="64"/>
      <c r="W263" s="64"/>
      <c r="X263" s="64"/>
      <c r="Y263" s="64"/>
    </row>
    <row r="264" spans="1:32" hidden="1" x14ac:dyDescent="0.25">
      <c r="A264" s="45">
        <v>5212</v>
      </c>
      <c r="B264" s="23">
        <v>423100</v>
      </c>
      <c r="C264" s="9" t="s">
        <v>243</v>
      </c>
      <c r="D264" s="9"/>
      <c r="E264" s="36"/>
      <c r="F264" s="36"/>
      <c r="G264" s="37">
        <f t="shared" si="67"/>
        <v>0</v>
      </c>
      <c r="H264" s="37"/>
      <c r="I264" s="36"/>
      <c r="J264" s="36"/>
      <c r="K264" s="36"/>
      <c r="L264" s="36"/>
      <c r="M264" s="36"/>
      <c r="N264" s="36"/>
      <c r="O264" s="36"/>
      <c r="P264" s="36"/>
      <c r="Q264" s="382"/>
      <c r="R264" s="47"/>
      <c r="S264" s="383"/>
      <c r="T264" s="47">
        <f t="shared" si="77"/>
        <v>0</v>
      </c>
      <c r="U264" s="47"/>
      <c r="V264" s="47"/>
      <c r="W264" s="47"/>
      <c r="X264" s="47"/>
      <c r="Y264" s="47"/>
    </row>
    <row r="265" spans="1:32" x14ac:dyDescent="0.25">
      <c r="A265" s="45">
        <v>5213</v>
      </c>
      <c r="B265" s="23">
        <v>423200</v>
      </c>
      <c r="C265" s="9" t="s">
        <v>244</v>
      </c>
      <c r="D265" s="9" t="s">
        <v>463</v>
      </c>
      <c r="E265" s="36">
        <v>3630</v>
      </c>
      <c r="F265" s="36">
        <f>H265+K265+M265+P265</f>
        <v>4051</v>
      </c>
      <c r="G265" s="37">
        <f t="shared" ref="G265" si="81">SUM(I265:Q265)-K265-M265-P265</f>
        <v>70</v>
      </c>
      <c r="H265" s="37"/>
      <c r="I265" s="36"/>
      <c r="J265" s="36"/>
      <c r="K265" s="36"/>
      <c r="L265" s="36"/>
      <c r="M265" s="36">
        <f>3900-48+157+42</f>
        <v>4051</v>
      </c>
      <c r="N265" s="36"/>
      <c r="O265" s="36"/>
      <c r="P265" s="36"/>
      <c r="Q265" s="382">
        <v>70</v>
      </c>
      <c r="R265" s="47"/>
      <c r="S265" s="383">
        <f>3900-48</f>
        <v>3852</v>
      </c>
      <c r="T265" s="47">
        <f t="shared" si="77"/>
        <v>199</v>
      </c>
      <c r="U265" s="47"/>
      <c r="V265" s="47"/>
      <c r="W265" s="47">
        <v>3274</v>
      </c>
      <c r="X265" s="47"/>
      <c r="Y265" s="47"/>
      <c r="AE265" s="12">
        <v>3271</v>
      </c>
      <c r="AF265" s="392">
        <f>AE265/M265</f>
        <v>0.80745494939521101</v>
      </c>
    </row>
    <row r="266" spans="1:32" ht="26.25" x14ac:dyDescent="0.25">
      <c r="A266" s="45">
        <v>5214</v>
      </c>
      <c r="B266" s="23">
        <v>423300</v>
      </c>
      <c r="C266" s="9" t="s">
        <v>245</v>
      </c>
      <c r="D266" s="9" t="s">
        <v>463</v>
      </c>
      <c r="E266" s="36">
        <v>2830</v>
      </c>
      <c r="F266" s="36">
        <f>H266+K266+M266+P266</f>
        <v>6875</v>
      </c>
      <c r="G266" s="37"/>
      <c r="H266" s="37"/>
      <c r="I266" s="36"/>
      <c r="J266" s="36"/>
      <c r="K266" s="36"/>
      <c r="L266" s="36"/>
      <c r="M266" s="36">
        <f>2800+522+2450+735</f>
        <v>6507</v>
      </c>
      <c r="N266" s="36"/>
      <c r="O266" s="36"/>
      <c r="P266" s="36">
        <f>900-522+72+18-100</f>
        <v>368</v>
      </c>
      <c r="Q266" s="382"/>
      <c r="R266" s="47"/>
      <c r="S266" s="383">
        <f>2800+522</f>
        <v>3322</v>
      </c>
      <c r="T266" s="47">
        <f t="shared" si="77"/>
        <v>3185</v>
      </c>
      <c r="U266" s="47"/>
      <c r="V266" s="47"/>
      <c r="W266" s="47">
        <f>3235+580</f>
        <v>3815</v>
      </c>
      <c r="X266" s="47"/>
      <c r="Y266" s="47"/>
      <c r="AE266" s="12">
        <f>2607+519</f>
        <v>3126</v>
      </c>
      <c r="AF266" s="392">
        <f>AE266/M266</f>
        <v>0.48040571692023976</v>
      </c>
    </row>
    <row r="267" spans="1:32" x14ac:dyDescent="0.25">
      <c r="A267" s="45">
        <v>5215</v>
      </c>
      <c r="B267" s="23">
        <v>423400</v>
      </c>
      <c r="C267" s="9" t="s">
        <v>246</v>
      </c>
      <c r="D267" s="9" t="s">
        <v>463</v>
      </c>
      <c r="E267" s="36">
        <v>500</v>
      </c>
      <c r="F267" s="36">
        <f>H267+K267+M267+P267</f>
        <v>289</v>
      </c>
      <c r="G267" s="37"/>
      <c r="H267" s="37"/>
      <c r="I267" s="36"/>
      <c r="J267" s="36"/>
      <c r="K267" s="36"/>
      <c r="L267" s="36"/>
      <c r="M267" s="36">
        <f>100+189</f>
        <v>289</v>
      </c>
      <c r="N267" s="36"/>
      <c r="O267" s="36"/>
      <c r="P267" s="36"/>
      <c r="Q267" s="382"/>
      <c r="R267" s="47"/>
      <c r="S267" s="383">
        <v>100</v>
      </c>
      <c r="T267" s="47">
        <f t="shared" si="77"/>
        <v>189</v>
      </c>
      <c r="U267" s="47"/>
      <c r="V267" s="47"/>
      <c r="W267" s="47">
        <v>241</v>
      </c>
      <c r="X267" s="47"/>
      <c r="Y267" s="47"/>
      <c r="AE267" s="12">
        <v>216</v>
      </c>
      <c r="AF267" s="392">
        <f>AE267/M267</f>
        <v>0.74740484429065746</v>
      </c>
    </row>
    <row r="268" spans="1:32" x14ac:dyDescent="0.25">
      <c r="A268" s="45">
        <v>5216</v>
      </c>
      <c r="B268" s="23">
        <v>423500</v>
      </c>
      <c r="C268" s="9" t="s">
        <v>247</v>
      </c>
      <c r="D268" s="9" t="s">
        <v>463</v>
      </c>
      <c r="E268" s="36">
        <v>1150</v>
      </c>
      <c r="F268" s="36">
        <f>H268+K268+M268+P268</f>
        <v>1542</v>
      </c>
      <c r="G268" s="37"/>
      <c r="H268" s="37"/>
      <c r="I268" s="36"/>
      <c r="J268" s="36"/>
      <c r="K268" s="36"/>
      <c r="L268" s="36"/>
      <c r="M268" s="36"/>
      <c r="N268" s="36"/>
      <c r="O268" s="36"/>
      <c r="P268" s="36">
        <f>1667-125</f>
        <v>1542</v>
      </c>
      <c r="Q268" s="382"/>
      <c r="R268" s="47"/>
      <c r="S268" s="383"/>
      <c r="T268" s="47">
        <f t="shared" si="77"/>
        <v>0</v>
      </c>
      <c r="U268" s="47"/>
      <c r="V268" s="47"/>
      <c r="W268" s="47"/>
      <c r="X268" s="47"/>
      <c r="Y268" s="47"/>
      <c r="AF268" s="392"/>
    </row>
    <row r="269" spans="1:32" ht="26.25" hidden="1" x14ac:dyDescent="0.25">
      <c r="A269" s="45">
        <v>5217</v>
      </c>
      <c r="B269" s="23">
        <v>423600</v>
      </c>
      <c r="C269" s="9" t="s">
        <v>248</v>
      </c>
      <c r="D269" s="9" t="s">
        <v>463</v>
      </c>
      <c r="E269" s="36"/>
      <c r="F269" s="36"/>
      <c r="G269" s="37"/>
      <c r="H269" s="37"/>
      <c r="I269" s="36"/>
      <c r="J269" s="36"/>
      <c r="K269" s="36"/>
      <c r="L269" s="36"/>
      <c r="M269" s="36"/>
      <c r="N269" s="36"/>
      <c r="O269" s="36"/>
      <c r="P269" s="36"/>
      <c r="Q269" s="382"/>
      <c r="R269" s="47"/>
      <c r="S269" s="383"/>
      <c r="T269" s="47">
        <f t="shared" si="77"/>
        <v>0</v>
      </c>
      <c r="U269" s="47"/>
      <c r="V269" s="47"/>
      <c r="W269" s="47"/>
      <c r="X269" s="47"/>
      <c r="Y269" s="47"/>
      <c r="AF269" s="392"/>
    </row>
    <row r="270" spans="1:32" x14ac:dyDescent="0.25">
      <c r="A270" s="45">
        <v>5218</v>
      </c>
      <c r="B270" s="23">
        <v>423700</v>
      </c>
      <c r="C270" s="9" t="s">
        <v>249</v>
      </c>
      <c r="D270" s="9" t="s">
        <v>463</v>
      </c>
      <c r="E270" s="36">
        <v>128</v>
      </c>
      <c r="F270" s="36">
        <f>H270+K270+M270+P270</f>
        <v>118</v>
      </c>
      <c r="G270" s="37"/>
      <c r="H270" s="37"/>
      <c r="I270" s="36"/>
      <c r="J270" s="36"/>
      <c r="K270" s="36"/>
      <c r="L270" s="36"/>
      <c r="M270" s="36"/>
      <c r="N270" s="36"/>
      <c r="O270" s="36"/>
      <c r="P270" s="36">
        <f>200-82</f>
        <v>118</v>
      </c>
      <c r="Q270" s="382"/>
      <c r="R270" s="47"/>
      <c r="S270" s="383"/>
      <c r="T270" s="47">
        <f t="shared" si="77"/>
        <v>0</v>
      </c>
      <c r="U270" s="47"/>
      <c r="V270" s="47"/>
      <c r="W270" s="47"/>
      <c r="X270" s="47"/>
      <c r="Y270" s="47"/>
      <c r="AF270" s="392"/>
    </row>
    <row r="271" spans="1:32" ht="58.5" hidden="1" customHeight="1" x14ac:dyDescent="0.25">
      <c r="A271" s="542" t="s">
        <v>0</v>
      </c>
      <c r="B271" s="543" t="s">
        <v>1</v>
      </c>
      <c r="C271" s="542" t="s">
        <v>2</v>
      </c>
      <c r="D271" s="9" t="s">
        <v>463</v>
      </c>
      <c r="E271" s="542" t="s">
        <v>217</v>
      </c>
      <c r="F271" s="360"/>
      <c r="G271" s="544"/>
      <c r="H271" s="544"/>
      <c r="I271" s="545"/>
      <c r="J271" s="545"/>
      <c r="K271" s="545"/>
      <c r="L271" s="545"/>
      <c r="M271" s="545"/>
      <c r="N271" s="545"/>
      <c r="O271" s="545"/>
      <c r="P271" s="545"/>
      <c r="Q271" s="545"/>
      <c r="R271" s="365"/>
      <c r="S271" s="365"/>
      <c r="T271" s="47">
        <f t="shared" si="77"/>
        <v>0</v>
      </c>
      <c r="U271" s="365"/>
      <c r="V271" s="365"/>
      <c r="W271" s="365"/>
      <c r="X271" s="365"/>
      <c r="Y271" s="365"/>
      <c r="AF271" s="392"/>
    </row>
    <row r="272" spans="1:32" ht="58.5" hidden="1" customHeight="1" x14ac:dyDescent="0.25">
      <c r="A272" s="542"/>
      <c r="B272" s="543"/>
      <c r="C272" s="542"/>
      <c r="D272" s="9" t="s">
        <v>463</v>
      </c>
      <c r="E272" s="542"/>
      <c r="F272" s="360"/>
      <c r="G272" s="544"/>
      <c r="H272" s="354"/>
      <c r="I272" s="544"/>
      <c r="J272" s="545"/>
      <c r="K272" s="545"/>
      <c r="L272" s="545"/>
      <c r="M272" s="545"/>
      <c r="N272" s="545"/>
      <c r="O272" s="544"/>
      <c r="P272" s="354"/>
      <c r="Q272" s="534"/>
      <c r="R272" s="61"/>
      <c r="S272" s="61"/>
      <c r="T272" s="47">
        <f t="shared" si="77"/>
        <v>0</v>
      </c>
      <c r="U272" s="61"/>
      <c r="V272" s="61"/>
      <c r="W272" s="61"/>
      <c r="X272" s="61"/>
      <c r="Y272" s="61"/>
      <c r="AF272" s="392"/>
    </row>
    <row r="273" spans="1:32" ht="58.5" hidden="1" customHeight="1" x14ac:dyDescent="0.25">
      <c r="A273" s="542"/>
      <c r="B273" s="543"/>
      <c r="C273" s="542"/>
      <c r="D273" s="9" t="s">
        <v>463</v>
      </c>
      <c r="E273" s="542"/>
      <c r="F273" s="360"/>
      <c r="G273" s="545"/>
      <c r="H273" s="362"/>
      <c r="I273" s="354"/>
      <c r="J273" s="354"/>
      <c r="K273" s="354"/>
      <c r="L273" s="354"/>
      <c r="M273" s="354"/>
      <c r="N273" s="354"/>
      <c r="O273" s="545"/>
      <c r="P273" s="362"/>
      <c r="Q273" s="741"/>
      <c r="R273" s="365"/>
      <c r="S273" s="364"/>
      <c r="T273" s="47">
        <f t="shared" si="77"/>
        <v>0</v>
      </c>
      <c r="U273" s="365"/>
      <c r="V273" s="365"/>
      <c r="W273" s="365"/>
      <c r="X273" s="365"/>
      <c r="Y273" s="365"/>
      <c r="AF273" s="392"/>
    </row>
    <row r="274" spans="1:32" ht="58.5" hidden="1" customHeight="1" x14ac:dyDescent="0.25">
      <c r="A274" s="359" t="s">
        <v>18</v>
      </c>
      <c r="B274" s="359" t="s">
        <v>19</v>
      </c>
      <c r="C274" s="359" t="s">
        <v>20</v>
      </c>
      <c r="D274" s="9" t="s">
        <v>463</v>
      </c>
      <c r="E274" s="359" t="s">
        <v>21</v>
      </c>
      <c r="F274" s="359"/>
      <c r="G274" s="359"/>
      <c r="H274" s="359"/>
      <c r="I274" s="359"/>
      <c r="J274" s="359"/>
      <c r="K274" s="359"/>
      <c r="L274" s="359"/>
      <c r="M274" s="359"/>
      <c r="N274" s="359"/>
      <c r="O274" s="359"/>
      <c r="P274" s="359"/>
      <c r="Q274" s="379"/>
      <c r="R274" s="380"/>
      <c r="S274" s="381"/>
      <c r="T274" s="47">
        <f t="shared" si="77"/>
        <v>0</v>
      </c>
      <c r="U274" s="380"/>
      <c r="V274" s="380"/>
      <c r="W274" s="380"/>
      <c r="X274" s="380"/>
      <c r="Y274" s="380"/>
      <c r="AF274" s="392"/>
    </row>
    <row r="275" spans="1:32" x14ac:dyDescent="0.25">
      <c r="A275" s="45">
        <v>5219</v>
      </c>
      <c r="B275" s="23">
        <v>423900</v>
      </c>
      <c r="C275" s="9" t="s">
        <v>250</v>
      </c>
      <c r="D275" s="9" t="s">
        <v>463</v>
      </c>
      <c r="E275" s="36">
        <v>90</v>
      </c>
      <c r="F275" s="36">
        <f>H275+K275+M275+P275</f>
        <v>373</v>
      </c>
      <c r="G275" s="37"/>
      <c r="H275" s="37"/>
      <c r="I275" s="36"/>
      <c r="J275" s="36"/>
      <c r="K275" s="36"/>
      <c r="L275" s="36"/>
      <c r="M275" s="36"/>
      <c r="N275" s="36"/>
      <c r="O275" s="36"/>
      <c r="P275" s="36">
        <f>278+95</f>
        <v>373</v>
      </c>
      <c r="Q275" s="382"/>
      <c r="R275" s="47"/>
      <c r="S275" s="383"/>
      <c r="T275" s="47">
        <f t="shared" si="77"/>
        <v>0</v>
      </c>
      <c r="U275" s="47"/>
      <c r="V275" s="47"/>
      <c r="W275" s="47"/>
      <c r="X275" s="47"/>
      <c r="Y275" s="47"/>
      <c r="AF275" s="392"/>
    </row>
    <row r="276" spans="1:32" ht="26.25" x14ac:dyDescent="0.25">
      <c r="A276" s="361">
        <v>5220</v>
      </c>
      <c r="B276" s="354">
        <v>424000</v>
      </c>
      <c r="C276" s="18" t="s">
        <v>251</v>
      </c>
      <c r="D276" s="18"/>
      <c r="E276" s="19">
        <f>SUM(E277:E283)</f>
        <v>4679</v>
      </c>
      <c r="F276" s="19">
        <f t="shared" ref="F276:S276" si="82">SUM(F277:F283)</f>
        <v>2472</v>
      </c>
      <c r="G276" s="19">
        <f t="shared" si="82"/>
        <v>450</v>
      </c>
      <c r="H276" s="19">
        <f t="shared" si="82"/>
        <v>0</v>
      </c>
      <c r="I276" s="19">
        <f t="shared" si="82"/>
        <v>0</v>
      </c>
      <c r="J276" s="19">
        <f t="shared" si="82"/>
        <v>0</v>
      </c>
      <c r="K276" s="19">
        <f t="shared" si="82"/>
        <v>0</v>
      </c>
      <c r="L276" s="19">
        <f t="shared" si="82"/>
        <v>0</v>
      </c>
      <c r="M276" s="19">
        <f t="shared" si="82"/>
        <v>1477</v>
      </c>
      <c r="N276" s="19">
        <f t="shared" si="82"/>
        <v>0</v>
      </c>
      <c r="O276" s="19">
        <f t="shared" si="82"/>
        <v>0</v>
      </c>
      <c r="P276" s="19">
        <f t="shared" si="82"/>
        <v>995</v>
      </c>
      <c r="Q276" s="366">
        <f t="shared" si="82"/>
        <v>450</v>
      </c>
      <c r="R276" s="64"/>
      <c r="S276" s="367">
        <f t="shared" si="82"/>
        <v>2740</v>
      </c>
      <c r="T276" s="47">
        <f t="shared" si="77"/>
        <v>-1263</v>
      </c>
      <c r="U276" s="64"/>
      <c r="V276" s="64"/>
      <c r="W276" s="64"/>
      <c r="X276" s="64"/>
      <c r="Y276" s="64"/>
    </row>
    <row r="277" spans="1:32" hidden="1" x14ac:dyDescent="0.25">
      <c r="A277" s="45">
        <v>5221</v>
      </c>
      <c r="B277" s="23">
        <v>424100</v>
      </c>
      <c r="C277" s="9" t="s">
        <v>252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82"/>
      <c r="R277" s="47"/>
      <c r="S277" s="383"/>
      <c r="T277" s="47">
        <f t="shared" si="77"/>
        <v>0</v>
      </c>
      <c r="U277" s="47"/>
      <c r="V277" s="47"/>
      <c r="W277" s="47"/>
      <c r="X277" s="47"/>
      <c r="Y277" s="47"/>
    </row>
    <row r="278" spans="1:32" ht="26.25" hidden="1" x14ac:dyDescent="0.25">
      <c r="A278" s="45">
        <v>5222</v>
      </c>
      <c r="B278" s="23">
        <v>424200</v>
      </c>
      <c r="C278" s="9" t="s">
        <v>253</v>
      </c>
      <c r="D278" s="9"/>
      <c r="E278" s="36"/>
      <c r="F278" s="36"/>
      <c r="G278" s="37">
        <f t="shared" si="67"/>
        <v>0</v>
      </c>
      <c r="H278" s="37"/>
      <c r="I278" s="36"/>
      <c r="J278" s="36"/>
      <c r="K278" s="36"/>
      <c r="L278" s="36"/>
      <c r="M278" s="36"/>
      <c r="N278" s="36"/>
      <c r="O278" s="36"/>
      <c r="P278" s="36"/>
      <c r="Q278" s="382"/>
      <c r="R278" s="47"/>
      <c r="S278" s="383"/>
      <c r="T278" s="47">
        <f t="shared" si="77"/>
        <v>0</v>
      </c>
      <c r="U278" s="47"/>
      <c r="V278" s="47"/>
      <c r="W278" s="47"/>
      <c r="X278" s="47"/>
      <c r="Y278" s="47"/>
    </row>
    <row r="279" spans="1:32" x14ac:dyDescent="0.25">
      <c r="A279" s="45">
        <v>5223</v>
      </c>
      <c r="B279" s="23">
        <v>424300</v>
      </c>
      <c r="C279" s="9" t="s">
        <v>254</v>
      </c>
      <c r="D279" s="9" t="s">
        <v>463</v>
      </c>
      <c r="E279" s="36">
        <v>1221</v>
      </c>
      <c r="F279" s="36">
        <f>H279+K279+M279+P279</f>
        <v>1211</v>
      </c>
      <c r="G279" s="37">
        <f t="shared" ref="G279" si="83">SUM(I279:Q279)-K279-M279-P279</f>
        <v>109</v>
      </c>
      <c r="H279" s="37"/>
      <c r="I279" s="36"/>
      <c r="J279" s="36"/>
      <c r="K279" s="36"/>
      <c r="L279" s="36"/>
      <c r="M279" s="36">
        <f>1400-264+705+35-665</f>
        <v>1211</v>
      </c>
      <c r="N279" s="36"/>
      <c r="O279" s="36"/>
      <c r="P279" s="36"/>
      <c r="Q279" s="382">
        <v>109</v>
      </c>
      <c r="R279" s="47"/>
      <c r="S279" s="383">
        <f>1400-264</f>
        <v>1136</v>
      </c>
      <c r="T279" s="47">
        <f t="shared" si="77"/>
        <v>75</v>
      </c>
      <c r="U279" s="47"/>
      <c r="V279" s="47"/>
      <c r="W279" s="47">
        <f>462+938+368</f>
        <v>1768</v>
      </c>
      <c r="X279" s="47"/>
      <c r="Y279" s="47"/>
      <c r="Z279" s="47"/>
      <c r="AB279" s="47"/>
      <c r="AE279" s="12">
        <f>330+938+368</f>
        <v>1636</v>
      </c>
      <c r="AF279" s="392">
        <f>AE279/M279</f>
        <v>1.3509496284062759</v>
      </c>
    </row>
    <row r="280" spans="1:32" ht="58.5" hidden="1" customHeight="1" x14ac:dyDescent="0.25">
      <c r="A280" s="45">
        <v>5224</v>
      </c>
      <c r="B280" s="23">
        <v>424400</v>
      </c>
      <c r="C280" s="9" t="s">
        <v>255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82"/>
      <c r="R280" s="47"/>
      <c r="S280" s="383"/>
      <c r="T280" s="47">
        <f t="shared" si="77"/>
        <v>0</v>
      </c>
      <c r="U280" s="47"/>
      <c r="V280" s="47"/>
      <c r="W280" s="47"/>
      <c r="X280" s="47"/>
      <c r="Y280" s="47"/>
      <c r="AF280" s="392"/>
    </row>
    <row r="281" spans="1:32" ht="58.5" hidden="1" customHeight="1" x14ac:dyDescent="0.25">
      <c r="A281" s="45">
        <v>5225</v>
      </c>
      <c r="B281" s="23">
        <v>424500</v>
      </c>
      <c r="C281" s="9" t="s">
        <v>256</v>
      </c>
      <c r="D281" s="9" t="s">
        <v>463</v>
      </c>
      <c r="E281" s="36"/>
      <c r="F281" s="36"/>
      <c r="G281" s="37">
        <f t="shared" si="67"/>
        <v>0</v>
      </c>
      <c r="H281" s="37"/>
      <c r="I281" s="36"/>
      <c r="J281" s="36"/>
      <c r="K281" s="36"/>
      <c r="L281" s="36"/>
      <c r="M281" s="36"/>
      <c r="N281" s="36"/>
      <c r="O281" s="36"/>
      <c r="P281" s="36"/>
      <c r="Q281" s="382"/>
      <c r="R281" s="47"/>
      <c r="S281" s="383"/>
      <c r="T281" s="47">
        <f t="shared" si="77"/>
        <v>0</v>
      </c>
      <c r="U281" s="47"/>
      <c r="V281" s="47"/>
      <c r="W281" s="47"/>
      <c r="X281" s="47"/>
      <c r="Y281" s="47"/>
      <c r="AF281" s="392"/>
    </row>
    <row r="282" spans="1:32" ht="39" x14ac:dyDescent="0.25">
      <c r="A282" s="45">
        <v>5226</v>
      </c>
      <c r="B282" s="23">
        <v>424600</v>
      </c>
      <c r="C282" s="9" t="s">
        <v>257</v>
      </c>
      <c r="D282" s="9" t="s">
        <v>463</v>
      </c>
      <c r="E282" s="36">
        <v>190</v>
      </c>
      <c r="F282" s="36">
        <f>H282+K282+M282+P282</f>
        <v>140</v>
      </c>
      <c r="G282" s="37">
        <f t="shared" ref="G282:G283" si="84">SUM(I282:Q282)-K282-M282-P282</f>
        <v>51</v>
      </c>
      <c r="H282" s="37"/>
      <c r="I282" s="36"/>
      <c r="J282" s="36"/>
      <c r="K282" s="36"/>
      <c r="L282" s="36"/>
      <c r="M282" s="36">
        <f>300-72-12-190</f>
        <v>26</v>
      </c>
      <c r="N282" s="36"/>
      <c r="O282" s="36"/>
      <c r="P282" s="36">
        <v>114</v>
      </c>
      <c r="Q282" s="382">
        <v>51</v>
      </c>
      <c r="R282" s="47"/>
      <c r="S282" s="383">
        <f>300-72-12</f>
        <v>216</v>
      </c>
      <c r="T282" s="47">
        <f t="shared" si="77"/>
        <v>-190</v>
      </c>
      <c r="U282" s="47"/>
      <c r="V282" s="47"/>
      <c r="W282" s="47">
        <v>17</v>
      </c>
      <c r="X282" s="47"/>
      <c r="Y282" s="47"/>
      <c r="AE282" s="12">
        <v>17</v>
      </c>
      <c r="AF282" s="392">
        <f>AE282/M282</f>
        <v>0.65384615384615385</v>
      </c>
    </row>
    <row r="283" spans="1:32" ht="23.25" x14ac:dyDescent="0.35">
      <c r="A283" s="45">
        <v>5227</v>
      </c>
      <c r="B283" s="23">
        <v>424900</v>
      </c>
      <c r="C283" s="9" t="s">
        <v>258</v>
      </c>
      <c r="D283" s="9" t="s">
        <v>463</v>
      </c>
      <c r="E283" s="36">
        <v>3268</v>
      </c>
      <c r="F283" s="36">
        <f>H283+K283+M283+P283</f>
        <v>1121</v>
      </c>
      <c r="G283" s="37">
        <f t="shared" si="84"/>
        <v>290</v>
      </c>
      <c r="H283" s="37">
        <f>535-535</f>
        <v>0</v>
      </c>
      <c r="I283" s="36"/>
      <c r="J283" s="36"/>
      <c r="K283" s="36"/>
      <c r="L283" s="36"/>
      <c r="M283" s="36">
        <f>1600+108-60-283+36-13-1148</f>
        <v>240</v>
      </c>
      <c r="N283" s="36"/>
      <c r="O283" s="36"/>
      <c r="P283" s="36">
        <v>881</v>
      </c>
      <c r="Q283" s="382">
        <v>290</v>
      </c>
      <c r="R283" s="47"/>
      <c r="S283" s="383">
        <f>1600+108-60-283+36-13</f>
        <v>1388</v>
      </c>
      <c r="T283" s="47">
        <f t="shared" si="77"/>
        <v>-1148</v>
      </c>
      <c r="U283" s="47">
        <v>51</v>
      </c>
      <c r="V283" s="47"/>
      <c r="W283" s="47">
        <v>37</v>
      </c>
      <c r="X283" s="47"/>
      <c r="Y283" s="47"/>
      <c r="Z283" s="12">
        <v>1059</v>
      </c>
      <c r="AA283" s="12" t="s">
        <v>504</v>
      </c>
      <c r="AD283" s="393" t="s">
        <v>540</v>
      </c>
      <c r="AE283" s="12">
        <v>26</v>
      </c>
      <c r="AF283" s="392">
        <f>AE283/M283</f>
        <v>0.10833333333333334</v>
      </c>
    </row>
    <row r="284" spans="1:32" ht="26.25" x14ac:dyDescent="0.25">
      <c r="A284" s="361">
        <v>5228</v>
      </c>
      <c r="B284" s="354">
        <v>425000</v>
      </c>
      <c r="C284" s="18" t="s">
        <v>259</v>
      </c>
      <c r="D284" s="9"/>
      <c r="E284" s="19">
        <f>E285+E286</f>
        <v>12464</v>
      </c>
      <c r="F284" s="19">
        <f t="shared" ref="F284:S284" si="85">F285+F286</f>
        <v>22623</v>
      </c>
      <c r="G284" s="19">
        <f t="shared" si="85"/>
        <v>755</v>
      </c>
      <c r="H284" s="19">
        <f t="shared" si="85"/>
        <v>0</v>
      </c>
      <c r="I284" s="19">
        <f t="shared" si="85"/>
        <v>0</v>
      </c>
      <c r="J284" s="19">
        <f t="shared" si="85"/>
        <v>0</v>
      </c>
      <c r="K284" s="19">
        <f t="shared" si="85"/>
        <v>0</v>
      </c>
      <c r="L284" s="19">
        <f t="shared" si="85"/>
        <v>0</v>
      </c>
      <c r="M284" s="19">
        <f t="shared" si="85"/>
        <v>22586</v>
      </c>
      <c r="N284" s="19">
        <f t="shared" si="85"/>
        <v>100</v>
      </c>
      <c r="O284" s="19">
        <f t="shared" si="85"/>
        <v>0</v>
      </c>
      <c r="P284" s="19">
        <f t="shared" si="85"/>
        <v>37</v>
      </c>
      <c r="Q284" s="366">
        <f t="shared" si="85"/>
        <v>655</v>
      </c>
      <c r="R284" s="64"/>
      <c r="S284" s="367">
        <f t="shared" si="85"/>
        <v>22630</v>
      </c>
      <c r="T284" s="47">
        <f t="shared" si="77"/>
        <v>-44</v>
      </c>
      <c r="U284" s="64"/>
      <c r="V284" s="64"/>
      <c r="W284" s="64"/>
      <c r="X284" s="64"/>
      <c r="Y284" s="64"/>
    </row>
    <row r="285" spans="1:32" ht="26.25" x14ac:dyDescent="0.25">
      <c r="A285" s="45">
        <v>5229</v>
      </c>
      <c r="B285" s="23">
        <v>425100</v>
      </c>
      <c r="C285" s="9" t="s">
        <v>260</v>
      </c>
      <c r="D285" s="9" t="s">
        <v>463</v>
      </c>
      <c r="E285" s="36">
        <v>360</v>
      </c>
      <c r="F285" s="36">
        <f>H285+K285+M285+P285</f>
        <v>4971</v>
      </c>
      <c r="G285" s="37">
        <f t="shared" ref="G285:G286" si="86">SUM(I285:Q285)-K285-M285-P285</f>
        <v>100</v>
      </c>
      <c r="H285" s="37"/>
      <c r="I285" s="36"/>
      <c r="J285" s="36"/>
      <c r="K285" s="36"/>
      <c r="L285" s="36"/>
      <c r="M285" s="36">
        <f>5000+600+2534-31-2534-598</f>
        <v>4971</v>
      </c>
      <c r="N285" s="36">
        <v>100</v>
      </c>
      <c r="O285" s="36"/>
      <c r="P285" s="36"/>
      <c r="Q285" s="382"/>
      <c r="R285" s="47"/>
      <c r="S285" s="383">
        <f>5000+600+2534-31-2534</f>
        <v>5569</v>
      </c>
      <c r="T285" s="47">
        <f t="shared" si="77"/>
        <v>-598</v>
      </c>
      <c r="U285" s="47"/>
      <c r="V285" s="47"/>
      <c r="W285" s="47">
        <v>4332</v>
      </c>
      <c r="X285" s="47"/>
      <c r="Y285" s="47"/>
      <c r="AE285" s="12">
        <v>3212</v>
      </c>
      <c r="AF285" s="392">
        <f>AE285/M285</f>
        <v>0.64614765640716154</v>
      </c>
    </row>
    <row r="286" spans="1:32" ht="26.25" x14ac:dyDescent="0.25">
      <c r="A286" s="45">
        <v>5230</v>
      </c>
      <c r="B286" s="23">
        <v>425200</v>
      </c>
      <c r="C286" s="9" t="s">
        <v>261</v>
      </c>
      <c r="D286" s="9" t="s">
        <v>463</v>
      </c>
      <c r="E286" s="36">
        <v>12104</v>
      </c>
      <c r="F286" s="36">
        <f>H286+K286+M286+P286</f>
        <v>17652</v>
      </c>
      <c r="G286" s="37">
        <f t="shared" si="86"/>
        <v>655</v>
      </c>
      <c r="H286" s="37"/>
      <c r="I286" s="36"/>
      <c r="J286" s="36"/>
      <c r="K286" s="36"/>
      <c r="L286" s="36"/>
      <c r="M286" s="36">
        <f>10500-362-24-108-346-24+7428-3+598-44</f>
        <v>17615</v>
      </c>
      <c r="N286" s="36"/>
      <c r="O286" s="36"/>
      <c r="P286" s="36">
        <v>37</v>
      </c>
      <c r="Q286" s="382">
        <v>655</v>
      </c>
      <c r="R286" s="47"/>
      <c r="S286" s="383">
        <f>10500-362-24-108-346-24+7428-3</f>
        <v>17061</v>
      </c>
      <c r="T286" s="47">
        <f t="shared" si="77"/>
        <v>554</v>
      </c>
      <c r="U286" s="47"/>
      <c r="V286" s="47"/>
      <c r="W286" s="47">
        <f>239+6365+4593</f>
        <v>11197</v>
      </c>
      <c r="X286" s="47"/>
      <c r="Y286" s="47"/>
      <c r="Z286" s="12" t="s">
        <v>505</v>
      </c>
      <c r="AE286" s="12">
        <f>223+6365+4481</f>
        <v>11069</v>
      </c>
      <c r="AF286" s="392">
        <f>AE286/M286</f>
        <v>0.62838489923360774</v>
      </c>
    </row>
    <row r="287" spans="1:32" x14ac:dyDescent="0.25">
      <c r="A287" s="361">
        <v>5231</v>
      </c>
      <c r="B287" s="354">
        <v>426000</v>
      </c>
      <c r="C287" s="18" t="s">
        <v>262</v>
      </c>
      <c r="D287" s="18"/>
      <c r="E287" s="19">
        <f>SUM(E288:E314)</f>
        <v>301349</v>
      </c>
      <c r="F287" s="19">
        <f>F288+F290+F291+F294+F312+F313+F314</f>
        <v>286918</v>
      </c>
      <c r="G287" s="19">
        <f>SUM(G288:G314)</f>
        <v>16735</v>
      </c>
      <c r="H287" s="19">
        <f t="shared" ref="H287:Q287" si="87">SUM(H288:H314)</f>
        <v>1000</v>
      </c>
      <c r="I287" s="19">
        <f t="shared" si="87"/>
        <v>127</v>
      </c>
      <c r="J287" s="19">
        <f t="shared" si="87"/>
        <v>0</v>
      </c>
      <c r="K287" s="19">
        <f t="shared" si="87"/>
        <v>0</v>
      </c>
      <c r="L287" s="19">
        <f t="shared" si="87"/>
        <v>1273</v>
      </c>
      <c r="M287" s="19">
        <f>M288+M290+M291+M294+M312+M313+M314</f>
        <v>283681</v>
      </c>
      <c r="N287" s="19">
        <f t="shared" si="87"/>
        <v>12510</v>
      </c>
      <c r="O287" s="19">
        <f t="shared" si="87"/>
        <v>0</v>
      </c>
      <c r="P287" s="19">
        <f>P288+P290+P291+P294+P312+P313+P314</f>
        <v>2237</v>
      </c>
      <c r="Q287" s="366">
        <f t="shared" si="87"/>
        <v>2825</v>
      </c>
      <c r="R287" s="64"/>
      <c r="S287" s="367">
        <f>S288+S290+S291+S294+S312+S313+S314</f>
        <v>271314</v>
      </c>
      <c r="T287" s="47"/>
      <c r="U287" s="64"/>
      <c r="V287" s="64"/>
      <c r="W287" s="64"/>
      <c r="X287" s="64"/>
      <c r="Y287" s="64"/>
      <c r="Z287" s="44">
        <f>H287+K287+M287+P287</f>
        <v>286918</v>
      </c>
    </row>
    <row r="288" spans="1:32" x14ac:dyDescent="0.25">
      <c r="A288" s="45">
        <v>5232</v>
      </c>
      <c r="B288" s="23">
        <v>426100</v>
      </c>
      <c r="C288" s="9" t="s">
        <v>263</v>
      </c>
      <c r="D288" s="9" t="s">
        <v>463</v>
      </c>
      <c r="E288" s="36">
        <v>4093</v>
      </c>
      <c r="F288" s="36">
        <f>H288+K288+M288+P288</f>
        <v>4704</v>
      </c>
      <c r="G288" s="37">
        <f t="shared" ref="G288" si="88">SUM(I288:Q288)-K288-M288-P288</f>
        <v>0</v>
      </c>
      <c r="H288" s="37"/>
      <c r="I288" s="36"/>
      <c r="J288" s="36"/>
      <c r="K288" s="36"/>
      <c r="L288" s="36"/>
      <c r="M288" s="36">
        <f>4500-520-12+1164-747</f>
        <v>4385</v>
      </c>
      <c r="N288" s="36"/>
      <c r="O288" s="36"/>
      <c r="P288" s="36">
        <f>510-191</f>
        <v>319</v>
      </c>
      <c r="Q288" s="382"/>
      <c r="R288" s="47"/>
      <c r="S288" s="383">
        <f>4500-520-12+1164</f>
        <v>5132</v>
      </c>
      <c r="T288" s="47">
        <f t="shared" si="77"/>
        <v>-747</v>
      </c>
      <c r="U288" s="47"/>
      <c r="V288" s="47"/>
      <c r="W288" s="47">
        <f>3283+1106</f>
        <v>4389</v>
      </c>
      <c r="X288" s="47"/>
      <c r="Y288" s="47"/>
      <c r="Z288" s="12" t="s">
        <v>506</v>
      </c>
      <c r="AE288" s="12">
        <f>3159+1106</f>
        <v>4265</v>
      </c>
      <c r="AF288" s="392">
        <f>AE288/M288</f>
        <v>0.97263397947548458</v>
      </c>
    </row>
    <row r="289" spans="1:32" ht="58.5" hidden="1" customHeight="1" x14ac:dyDescent="0.25">
      <c r="A289" s="45">
        <v>5233</v>
      </c>
      <c r="B289" s="23">
        <v>426200</v>
      </c>
      <c r="C289" s="9" t="s">
        <v>264</v>
      </c>
      <c r="D289" s="9"/>
      <c r="E289" s="36"/>
      <c r="F289" s="36"/>
      <c r="G289" s="37">
        <f t="shared" si="67"/>
        <v>0</v>
      </c>
      <c r="H289" s="37"/>
      <c r="I289" s="36"/>
      <c r="J289" s="36"/>
      <c r="K289" s="36"/>
      <c r="L289" s="36"/>
      <c r="M289" s="36"/>
      <c r="N289" s="36"/>
      <c r="O289" s="36"/>
      <c r="P289" s="36"/>
      <c r="Q289" s="382"/>
      <c r="R289" s="47"/>
      <c r="S289" s="383"/>
      <c r="T289" s="47">
        <f t="shared" si="77"/>
        <v>0</v>
      </c>
      <c r="U289" s="47"/>
      <c r="V289" s="47"/>
      <c r="W289" s="47"/>
      <c r="X289" s="47"/>
      <c r="Y289" s="47"/>
      <c r="AF289" s="392"/>
    </row>
    <row r="290" spans="1:32" ht="26.25" x14ac:dyDescent="0.25">
      <c r="A290" s="45">
        <v>5234</v>
      </c>
      <c r="B290" s="23">
        <v>426300</v>
      </c>
      <c r="C290" s="9" t="s">
        <v>265</v>
      </c>
      <c r="D290" s="9" t="s">
        <v>463</v>
      </c>
      <c r="E290" s="36">
        <v>170</v>
      </c>
      <c r="F290" s="36">
        <f>H290+K290+M290+P290</f>
        <v>132</v>
      </c>
      <c r="G290" s="37">
        <f t="shared" ref="G290:G291" si="89">SUM(I290:Q290)-K290-M290-P290</f>
        <v>147</v>
      </c>
      <c r="H290" s="37"/>
      <c r="I290" s="36"/>
      <c r="J290" s="36"/>
      <c r="K290" s="36"/>
      <c r="L290" s="36"/>
      <c r="M290" s="36"/>
      <c r="N290" s="36"/>
      <c r="O290" s="36"/>
      <c r="P290" s="36">
        <f>110+12+10</f>
        <v>132</v>
      </c>
      <c r="Q290" s="382">
        <v>147</v>
      </c>
      <c r="R290" s="47"/>
      <c r="S290" s="383"/>
      <c r="T290" s="47">
        <f t="shared" si="77"/>
        <v>0</v>
      </c>
      <c r="U290" s="47"/>
      <c r="V290" s="47"/>
      <c r="W290" s="47"/>
      <c r="X290" s="47"/>
      <c r="Y290" s="47"/>
      <c r="AF290" s="392"/>
    </row>
    <row r="291" spans="1:32" x14ac:dyDescent="0.25">
      <c r="A291" s="45">
        <v>5235</v>
      </c>
      <c r="B291" s="23">
        <v>426400</v>
      </c>
      <c r="C291" s="9" t="s">
        <v>266</v>
      </c>
      <c r="D291" s="9" t="s">
        <v>468</v>
      </c>
      <c r="E291" s="36">
        <v>1541</v>
      </c>
      <c r="F291" s="36">
        <f>H291+K291+M291+P291</f>
        <v>2040</v>
      </c>
      <c r="G291" s="37">
        <f t="shared" si="89"/>
        <v>7</v>
      </c>
      <c r="H291" s="37"/>
      <c r="I291" s="38"/>
      <c r="J291" s="38"/>
      <c r="K291" s="38"/>
      <c r="L291" s="38"/>
      <c r="M291" s="38">
        <v>2040</v>
      </c>
      <c r="N291" s="38"/>
      <c r="O291" s="38"/>
      <c r="P291" s="38"/>
      <c r="Q291" s="384">
        <v>7</v>
      </c>
      <c r="R291" s="385"/>
      <c r="S291" s="386">
        <v>2040</v>
      </c>
      <c r="T291" s="47">
        <f t="shared" si="77"/>
        <v>0</v>
      </c>
      <c r="U291" s="385"/>
      <c r="V291" s="385"/>
      <c r="W291" s="385"/>
      <c r="X291" s="385"/>
      <c r="Y291" s="385"/>
    </row>
    <row r="292" spans="1:32" ht="58.5" hidden="1" customHeight="1" x14ac:dyDescent="0.25">
      <c r="A292" s="45">
        <v>5236</v>
      </c>
      <c r="B292" s="23">
        <v>426500</v>
      </c>
      <c r="C292" s="9" t="s">
        <v>267</v>
      </c>
      <c r="D292" s="9"/>
      <c r="E292" s="36"/>
      <c r="F292" s="36"/>
      <c r="G292" s="37">
        <f t="shared" ref="G292:G385" si="90">SUM(I292:Q292)</f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82"/>
      <c r="R292" s="47"/>
      <c r="S292" s="383"/>
      <c r="T292" s="47">
        <f t="shared" si="77"/>
        <v>0</v>
      </c>
      <c r="U292" s="47"/>
      <c r="V292" s="47"/>
      <c r="W292" s="47"/>
      <c r="X292" s="47"/>
      <c r="Y292" s="47"/>
    </row>
    <row r="293" spans="1:32" ht="58.5" hidden="1" customHeight="1" x14ac:dyDescent="0.25">
      <c r="A293" s="45">
        <v>5237</v>
      </c>
      <c r="B293" s="23">
        <v>426600</v>
      </c>
      <c r="C293" s="9" t="s">
        <v>268</v>
      </c>
      <c r="D293" s="9"/>
      <c r="E293" s="36"/>
      <c r="F293" s="36"/>
      <c r="G293" s="37">
        <f t="shared" si="90"/>
        <v>0</v>
      </c>
      <c r="H293" s="37"/>
      <c r="I293" s="36"/>
      <c r="J293" s="36"/>
      <c r="K293" s="36"/>
      <c r="L293" s="36"/>
      <c r="M293" s="36"/>
      <c r="N293" s="36"/>
      <c r="O293" s="36"/>
      <c r="P293" s="36"/>
      <c r="Q293" s="382"/>
      <c r="R293" s="47"/>
      <c r="S293" s="383"/>
      <c r="T293" s="47">
        <f t="shared" si="77"/>
        <v>0</v>
      </c>
      <c r="U293" s="47"/>
      <c r="V293" s="47"/>
      <c r="W293" s="47"/>
      <c r="X293" s="47"/>
      <c r="Y293" s="47"/>
    </row>
    <row r="294" spans="1:32" ht="27" x14ac:dyDescent="0.3">
      <c r="A294" s="45">
        <v>5238</v>
      </c>
      <c r="B294" s="23">
        <v>426700</v>
      </c>
      <c r="C294" s="9" t="s">
        <v>269</v>
      </c>
      <c r="D294" s="9"/>
      <c r="E294" s="36">
        <v>273095</v>
      </c>
      <c r="F294" s="48">
        <f>H294+K294+M294+P294</f>
        <v>250150</v>
      </c>
      <c r="G294" s="37">
        <f t="shared" ref="G294:G314" si="91">SUM(I294:Q294)-K294-M294-P294</f>
        <v>1917</v>
      </c>
      <c r="H294" s="37"/>
      <c r="I294" s="36">
        <v>127</v>
      </c>
      <c r="J294" s="36"/>
      <c r="K294" s="36"/>
      <c r="L294" s="36"/>
      <c r="M294" s="48">
        <f>M295+M300+M301+M304+M310+M311</f>
        <v>248890</v>
      </c>
      <c r="N294" s="48">
        <f t="shared" ref="N294:P294" si="92">N295+N300+N301+N304+N310+N311</f>
        <v>0</v>
      </c>
      <c r="O294" s="48">
        <f t="shared" si="92"/>
        <v>0</v>
      </c>
      <c r="P294" s="48">
        <f t="shared" si="92"/>
        <v>1260</v>
      </c>
      <c r="Q294" s="382">
        <v>1790</v>
      </c>
      <c r="R294" s="47"/>
      <c r="S294" s="394">
        <f>S295+S300+S301+S304+S310+S311</f>
        <v>231249</v>
      </c>
      <c r="T294" s="47">
        <f t="shared" si="77"/>
        <v>17641</v>
      </c>
      <c r="U294" s="47"/>
      <c r="V294" s="47"/>
      <c r="W294" s="47"/>
      <c r="X294" s="47"/>
      <c r="Y294" s="47"/>
      <c r="Z294" s="44"/>
      <c r="AA294" s="44"/>
      <c r="AC294" s="406"/>
    </row>
    <row r="295" spans="1:32" ht="18" customHeight="1" x14ac:dyDescent="0.3">
      <c r="A295" s="45"/>
      <c r="B295" s="49" t="s">
        <v>470</v>
      </c>
      <c r="C295" s="50" t="s">
        <v>476</v>
      </c>
      <c r="D295" s="9"/>
      <c r="E295" s="36"/>
      <c r="F295" s="48">
        <f>F296+F297+F298+F299</f>
        <v>122162</v>
      </c>
      <c r="G295" s="37"/>
      <c r="H295" s="37"/>
      <c r="I295" s="36"/>
      <c r="J295" s="36"/>
      <c r="K295" s="36"/>
      <c r="L295" s="36"/>
      <c r="M295" s="48">
        <f>M296+M297+M298+M299</f>
        <v>122162</v>
      </c>
      <c r="N295" s="36"/>
      <c r="O295" s="36"/>
      <c r="P295" s="36"/>
      <c r="Q295" s="382"/>
      <c r="R295" s="47"/>
      <c r="S295" s="394">
        <f>S296+S297+S298+S299</f>
        <v>115890</v>
      </c>
      <c r="T295" s="47">
        <f t="shared" si="77"/>
        <v>6272</v>
      </c>
      <c r="U295" s="47"/>
      <c r="V295" s="47"/>
      <c r="W295" s="47"/>
      <c r="X295" s="47"/>
      <c r="Y295" s="47"/>
      <c r="AC295" s="407"/>
    </row>
    <row r="296" spans="1:32" ht="16.5" customHeight="1" x14ac:dyDescent="0.3">
      <c r="A296" s="45"/>
      <c r="B296" s="51" t="s">
        <v>477</v>
      </c>
      <c r="C296" s="9" t="s">
        <v>481</v>
      </c>
      <c r="D296" s="9"/>
      <c r="E296" s="36"/>
      <c r="F296" s="36">
        <f>M296</f>
        <v>67328</v>
      </c>
      <c r="G296" s="37"/>
      <c r="H296" s="37"/>
      <c r="I296" s="36"/>
      <c r="J296" s="36"/>
      <c r="K296" s="36"/>
      <c r="L296" s="36"/>
      <c r="M296" s="38">
        <f>46590+18589+2149</f>
        <v>67328</v>
      </c>
      <c r="N296" s="36"/>
      <c r="O296" s="36"/>
      <c r="P296" s="36"/>
      <c r="Q296" s="382"/>
      <c r="R296" s="47"/>
      <c r="S296" s="386">
        <f>46590+18589</f>
        <v>65179</v>
      </c>
      <c r="T296" s="47">
        <f t="shared" si="77"/>
        <v>2149</v>
      </c>
      <c r="U296" s="47"/>
      <c r="V296" s="47"/>
      <c r="W296" s="47"/>
      <c r="X296" s="47"/>
      <c r="Y296" s="47"/>
      <c r="AC296" s="406"/>
    </row>
    <row r="297" spans="1:32" ht="16.5" customHeight="1" x14ac:dyDescent="0.3">
      <c r="A297" s="45"/>
      <c r="B297" s="51" t="s">
        <v>478</v>
      </c>
      <c r="C297" s="9" t="s">
        <v>482</v>
      </c>
      <c r="D297" s="9"/>
      <c r="E297" s="36"/>
      <c r="F297" s="36">
        <f t="shared" ref="F297:F311" si="93">M297</f>
        <v>16828</v>
      </c>
      <c r="G297" s="37"/>
      <c r="H297" s="37"/>
      <c r="I297" s="36"/>
      <c r="J297" s="36"/>
      <c r="K297" s="36"/>
      <c r="L297" s="36"/>
      <c r="M297" s="38">
        <f>14745-440+2523</f>
        <v>16828</v>
      </c>
      <c r="N297" s="36"/>
      <c r="O297" s="36"/>
      <c r="P297" s="36"/>
      <c r="Q297" s="382"/>
      <c r="R297" s="47"/>
      <c r="S297" s="386">
        <f>14745-440</f>
        <v>14305</v>
      </c>
      <c r="T297" s="47">
        <f t="shared" si="77"/>
        <v>2523</v>
      </c>
      <c r="U297" s="47"/>
      <c r="V297" s="47"/>
      <c r="W297" s="47"/>
      <c r="X297" s="47"/>
      <c r="Y297" s="47"/>
      <c r="AC297" s="408"/>
    </row>
    <row r="298" spans="1:32" ht="16.5" customHeight="1" x14ac:dyDescent="0.3">
      <c r="A298" s="45"/>
      <c r="B298" s="51" t="s">
        <v>479</v>
      </c>
      <c r="C298" s="9" t="s">
        <v>483</v>
      </c>
      <c r="D298" s="9"/>
      <c r="E298" s="36"/>
      <c r="F298" s="36">
        <f t="shared" si="93"/>
        <v>23466</v>
      </c>
      <c r="G298" s="37"/>
      <c r="H298" s="37"/>
      <c r="I298" s="36"/>
      <c r="J298" s="36"/>
      <c r="K298" s="36"/>
      <c r="L298" s="36"/>
      <c r="M298" s="38">
        <f>21866+1600</f>
        <v>23466</v>
      </c>
      <c r="N298" s="36"/>
      <c r="O298" s="36"/>
      <c r="P298" s="36"/>
      <c r="Q298" s="382"/>
      <c r="R298" s="47"/>
      <c r="S298" s="386">
        <v>21866</v>
      </c>
      <c r="T298" s="47">
        <f t="shared" si="77"/>
        <v>1600</v>
      </c>
      <c r="U298" s="47"/>
      <c r="V298" s="47"/>
      <c r="W298" s="47"/>
      <c r="X298" s="47"/>
      <c r="Y298" s="47"/>
      <c r="AC298" s="408"/>
    </row>
    <row r="299" spans="1:32" ht="16.5" customHeight="1" x14ac:dyDescent="0.3">
      <c r="A299" s="45"/>
      <c r="B299" s="51" t="s">
        <v>480</v>
      </c>
      <c r="C299" s="9" t="s">
        <v>484</v>
      </c>
      <c r="D299" s="9"/>
      <c r="E299" s="36"/>
      <c r="F299" s="36">
        <f t="shared" si="93"/>
        <v>14540</v>
      </c>
      <c r="G299" s="37"/>
      <c r="H299" s="37"/>
      <c r="I299" s="36"/>
      <c r="J299" s="36"/>
      <c r="K299" s="36"/>
      <c r="L299" s="36"/>
      <c r="M299" s="38">
        <f>5862+8678</f>
        <v>14540</v>
      </c>
      <c r="N299" s="36"/>
      <c r="O299" s="36"/>
      <c r="P299" s="36"/>
      <c r="Q299" s="382"/>
      <c r="R299" s="47"/>
      <c r="S299" s="386">
        <f>5862+8678</f>
        <v>14540</v>
      </c>
      <c r="T299" s="47">
        <f t="shared" si="77"/>
        <v>0</v>
      </c>
      <c r="U299" s="47"/>
      <c r="V299" s="47"/>
      <c r="W299" s="47"/>
      <c r="X299" s="47"/>
      <c r="Y299" s="47"/>
      <c r="AC299" s="408"/>
    </row>
    <row r="300" spans="1:32" ht="16.5" customHeight="1" x14ac:dyDescent="0.3">
      <c r="A300" s="52"/>
      <c r="B300" s="53" t="s">
        <v>471</v>
      </c>
      <c r="C300" s="50" t="s">
        <v>485</v>
      </c>
      <c r="D300" s="50"/>
      <c r="E300" s="48"/>
      <c r="F300" s="48">
        <f t="shared" si="93"/>
        <v>2685</v>
      </c>
      <c r="G300" s="54"/>
      <c r="H300" s="54"/>
      <c r="I300" s="48"/>
      <c r="J300" s="48"/>
      <c r="K300" s="48"/>
      <c r="L300" s="48"/>
      <c r="M300" s="48">
        <v>2685</v>
      </c>
      <c r="N300" s="48"/>
      <c r="O300" s="48"/>
      <c r="P300" s="48"/>
      <c r="Q300" s="395"/>
      <c r="R300" s="396"/>
      <c r="S300" s="394">
        <v>2685</v>
      </c>
      <c r="T300" s="47">
        <f t="shared" si="77"/>
        <v>0</v>
      </c>
      <c r="U300" s="396"/>
      <c r="V300" s="396"/>
      <c r="W300" s="396"/>
      <c r="X300" s="396"/>
      <c r="Y300" s="396"/>
      <c r="AC300" s="408"/>
    </row>
    <row r="301" spans="1:32" ht="25.5" customHeight="1" x14ac:dyDescent="0.3">
      <c r="A301" s="45"/>
      <c r="B301" s="53" t="s">
        <v>472</v>
      </c>
      <c r="C301" s="50" t="s">
        <v>486</v>
      </c>
      <c r="D301" s="50"/>
      <c r="E301" s="48"/>
      <c r="F301" s="48">
        <f t="shared" si="93"/>
        <v>74272</v>
      </c>
      <c r="G301" s="54"/>
      <c r="H301" s="54"/>
      <c r="I301" s="48"/>
      <c r="J301" s="48"/>
      <c r="K301" s="48"/>
      <c r="L301" s="48"/>
      <c r="M301" s="48">
        <f>M302+M303</f>
        <v>74272</v>
      </c>
      <c r="N301" s="48">
        <f t="shared" ref="N301:P301" si="94">N302+N303</f>
        <v>0</v>
      </c>
      <c r="O301" s="48">
        <f t="shared" si="94"/>
        <v>0</v>
      </c>
      <c r="P301" s="48">
        <f t="shared" si="94"/>
        <v>1260</v>
      </c>
      <c r="Q301" s="395"/>
      <c r="R301" s="396"/>
      <c r="S301" s="394">
        <f>S302+S303</f>
        <v>67969</v>
      </c>
      <c r="T301" s="47">
        <f t="shared" si="77"/>
        <v>6303</v>
      </c>
      <c r="U301" s="396"/>
      <c r="V301" s="396"/>
      <c r="W301" s="396"/>
      <c r="X301" s="396"/>
      <c r="Y301" s="396"/>
      <c r="AC301" s="408"/>
    </row>
    <row r="302" spans="1:32" ht="25.5" customHeight="1" x14ac:dyDescent="0.3">
      <c r="A302" s="45"/>
      <c r="B302" s="51" t="s">
        <v>487</v>
      </c>
      <c r="C302" s="9" t="s">
        <v>489</v>
      </c>
      <c r="D302" s="9"/>
      <c r="E302" s="36"/>
      <c r="F302" s="36">
        <f t="shared" si="93"/>
        <v>42498</v>
      </c>
      <c r="G302" s="37"/>
      <c r="H302" s="37"/>
      <c r="I302" s="36"/>
      <c r="J302" s="36"/>
      <c r="K302" s="36"/>
      <c r="L302" s="36"/>
      <c r="M302" s="38">
        <f>36195+15324-15324+6303</f>
        <v>42498</v>
      </c>
      <c r="N302" s="36"/>
      <c r="O302" s="36"/>
      <c r="P302" s="36"/>
      <c r="Q302" s="382"/>
      <c r="R302" s="47"/>
      <c r="S302" s="386">
        <f>36195+15324-15324</f>
        <v>36195</v>
      </c>
      <c r="T302" s="47">
        <f t="shared" si="77"/>
        <v>6303</v>
      </c>
      <c r="U302" s="47"/>
      <c r="V302" s="47"/>
      <c r="W302" s="47"/>
      <c r="X302" s="47"/>
      <c r="Y302" s="47"/>
      <c r="AC302" s="408"/>
    </row>
    <row r="303" spans="1:32" ht="23.25" customHeight="1" x14ac:dyDescent="0.3">
      <c r="A303" s="45"/>
      <c r="B303" s="51" t="s">
        <v>488</v>
      </c>
      <c r="C303" s="9" t="s">
        <v>490</v>
      </c>
      <c r="D303" s="9"/>
      <c r="E303" s="36"/>
      <c r="F303" s="36">
        <f t="shared" si="93"/>
        <v>31774</v>
      </c>
      <c r="G303" s="37"/>
      <c r="H303" s="37"/>
      <c r="I303" s="36"/>
      <c r="J303" s="36"/>
      <c r="K303" s="36"/>
      <c r="L303" s="36"/>
      <c r="M303" s="38">
        <f>2212+15324+240+935+13063</f>
        <v>31774</v>
      </c>
      <c r="N303" s="36"/>
      <c r="O303" s="36"/>
      <c r="P303" s="36">
        <f>1400-140</f>
        <v>1260</v>
      </c>
      <c r="Q303" s="382"/>
      <c r="R303" s="47"/>
      <c r="S303" s="386">
        <f>2212+15324+240+935+13063</f>
        <v>31774</v>
      </c>
      <c r="T303" s="47">
        <f t="shared" si="77"/>
        <v>0</v>
      </c>
      <c r="U303" s="47"/>
      <c r="V303" s="47"/>
      <c r="W303" s="47"/>
      <c r="X303" s="47"/>
      <c r="Y303" s="47"/>
      <c r="AC303" s="408"/>
    </row>
    <row r="304" spans="1:32" ht="16.5" customHeight="1" x14ac:dyDescent="0.3">
      <c r="A304" s="45"/>
      <c r="B304" s="53" t="s">
        <v>473</v>
      </c>
      <c r="C304" s="50" t="s">
        <v>493</v>
      </c>
      <c r="D304" s="50"/>
      <c r="E304" s="48"/>
      <c r="F304" s="48">
        <f>F305+F306+F307</f>
        <v>19157</v>
      </c>
      <c r="G304" s="54"/>
      <c r="H304" s="54"/>
      <c r="I304" s="48"/>
      <c r="J304" s="48"/>
      <c r="K304" s="48"/>
      <c r="L304" s="48"/>
      <c r="M304" s="48">
        <f>M305+M306+M307</f>
        <v>19157</v>
      </c>
      <c r="N304" s="48"/>
      <c r="O304" s="48"/>
      <c r="P304" s="48"/>
      <c r="Q304" s="395"/>
      <c r="R304" s="396"/>
      <c r="S304" s="394">
        <f>S305+S306+S307</f>
        <v>14091</v>
      </c>
      <c r="T304" s="47">
        <f t="shared" si="77"/>
        <v>5066</v>
      </c>
      <c r="U304" s="396"/>
      <c r="V304" s="396"/>
      <c r="W304" s="396"/>
      <c r="X304" s="396"/>
      <c r="Y304" s="396"/>
      <c r="AC304" s="408"/>
    </row>
    <row r="305" spans="1:32" ht="23.25" customHeight="1" x14ac:dyDescent="0.3">
      <c r="A305" s="45"/>
      <c r="B305" s="51" t="s">
        <v>491</v>
      </c>
      <c r="C305" s="9" t="s">
        <v>494</v>
      </c>
      <c r="D305" s="9"/>
      <c r="E305" s="36"/>
      <c r="F305" s="36">
        <f>M305</f>
        <v>11478</v>
      </c>
      <c r="G305" s="37"/>
      <c r="H305" s="37"/>
      <c r="I305" s="36"/>
      <c r="J305" s="36"/>
      <c r="K305" s="36"/>
      <c r="L305" s="36"/>
      <c r="M305" s="38">
        <f>5321+3040+3117</f>
        <v>11478</v>
      </c>
      <c r="N305" s="36"/>
      <c r="O305" s="36"/>
      <c r="P305" s="36"/>
      <c r="Q305" s="382"/>
      <c r="R305" s="47"/>
      <c r="S305" s="386">
        <f>5321+3040</f>
        <v>8361</v>
      </c>
      <c r="T305" s="47">
        <f t="shared" si="77"/>
        <v>3117</v>
      </c>
      <c r="U305" s="47"/>
      <c r="V305" s="47"/>
      <c r="W305" s="47"/>
      <c r="X305" s="47"/>
      <c r="Y305" s="47"/>
      <c r="AC305" s="408"/>
    </row>
    <row r="306" spans="1:32" ht="16.5" customHeight="1" x14ac:dyDescent="0.3">
      <c r="A306" s="45"/>
      <c r="B306" s="51" t="s">
        <v>492</v>
      </c>
      <c r="C306" s="9" t="s">
        <v>495</v>
      </c>
      <c r="D306" s="9"/>
      <c r="E306" s="36"/>
      <c r="F306" s="36">
        <f>M306</f>
        <v>4816</v>
      </c>
      <c r="G306" s="37"/>
      <c r="H306" s="37"/>
      <c r="I306" s="36"/>
      <c r="J306" s="36"/>
      <c r="K306" s="36"/>
      <c r="L306" s="36"/>
      <c r="M306" s="38">
        <f>5402-2040-495+1949</f>
        <v>4816</v>
      </c>
      <c r="N306" s="36"/>
      <c r="O306" s="36"/>
      <c r="P306" s="36"/>
      <c r="Q306" s="382"/>
      <c r="R306" s="47"/>
      <c r="S306" s="386">
        <f>5402-2040-495</f>
        <v>2867</v>
      </c>
      <c r="T306" s="47">
        <f t="shared" si="77"/>
        <v>1949</v>
      </c>
      <c r="U306" s="47"/>
      <c r="V306" s="47"/>
      <c r="W306" s="47"/>
      <c r="X306" s="47"/>
      <c r="Y306" s="47"/>
      <c r="AC306" s="408"/>
    </row>
    <row r="307" spans="1:32" ht="16.5" customHeight="1" x14ac:dyDescent="0.3">
      <c r="A307" s="45"/>
      <c r="B307" s="51" t="s">
        <v>496</v>
      </c>
      <c r="C307" s="9" t="s">
        <v>497</v>
      </c>
      <c r="D307" s="9"/>
      <c r="E307" s="36"/>
      <c r="F307" s="36">
        <f>M307</f>
        <v>2863</v>
      </c>
      <c r="G307" s="37"/>
      <c r="H307" s="37"/>
      <c r="I307" s="36"/>
      <c r="J307" s="36"/>
      <c r="K307" s="36"/>
      <c r="L307" s="36"/>
      <c r="M307" s="38">
        <f>M308+M309</f>
        <v>2863</v>
      </c>
      <c r="N307" s="36"/>
      <c r="O307" s="36"/>
      <c r="P307" s="36"/>
      <c r="Q307" s="382"/>
      <c r="R307" s="47"/>
      <c r="S307" s="386">
        <f>S308+S309</f>
        <v>2863</v>
      </c>
      <c r="T307" s="47">
        <f t="shared" si="77"/>
        <v>0</v>
      </c>
      <c r="U307" s="47"/>
      <c r="V307" s="47"/>
      <c r="W307" s="47"/>
      <c r="X307" s="47"/>
      <c r="Y307" s="47"/>
      <c r="AC307" s="408"/>
    </row>
    <row r="308" spans="1:32" ht="25.5" x14ac:dyDescent="0.3">
      <c r="A308" s="45"/>
      <c r="B308" s="55" t="s">
        <v>500</v>
      </c>
      <c r="C308" s="56" t="s">
        <v>498</v>
      </c>
      <c r="D308" s="56"/>
      <c r="E308" s="57"/>
      <c r="F308" s="57">
        <f t="shared" si="93"/>
        <v>1038</v>
      </c>
      <c r="G308" s="58"/>
      <c r="H308" s="58"/>
      <c r="I308" s="57"/>
      <c r="J308" s="57"/>
      <c r="K308" s="57"/>
      <c r="L308" s="57"/>
      <c r="M308" s="57">
        <f>438+600</f>
        <v>1038</v>
      </c>
      <c r="N308" s="57"/>
      <c r="O308" s="57"/>
      <c r="P308" s="57"/>
      <c r="Q308" s="397"/>
      <c r="R308" s="398"/>
      <c r="S308" s="399">
        <f>438+600</f>
        <v>1038</v>
      </c>
      <c r="T308" s="47">
        <f t="shared" si="77"/>
        <v>0</v>
      </c>
      <c r="U308" s="398"/>
      <c r="V308" s="398"/>
      <c r="W308" s="398"/>
      <c r="X308" s="398"/>
      <c r="Y308" s="398"/>
      <c r="AC308" s="408"/>
    </row>
    <row r="309" spans="1:32" ht="25.5" x14ac:dyDescent="0.3">
      <c r="A309" s="45"/>
      <c r="B309" s="55" t="s">
        <v>501</v>
      </c>
      <c r="C309" s="56" t="s">
        <v>499</v>
      </c>
      <c r="D309" s="56"/>
      <c r="E309" s="57"/>
      <c r="F309" s="57">
        <f t="shared" si="93"/>
        <v>1825</v>
      </c>
      <c r="G309" s="58"/>
      <c r="H309" s="58"/>
      <c r="I309" s="57"/>
      <c r="J309" s="57"/>
      <c r="K309" s="57"/>
      <c r="L309" s="57"/>
      <c r="M309" s="57">
        <f>625+1200</f>
        <v>1825</v>
      </c>
      <c r="N309" s="57"/>
      <c r="O309" s="57"/>
      <c r="P309" s="57"/>
      <c r="Q309" s="397"/>
      <c r="R309" s="398"/>
      <c r="S309" s="399">
        <f>625+1200</f>
        <v>1825</v>
      </c>
      <c r="T309" s="47">
        <f t="shared" si="77"/>
        <v>0</v>
      </c>
      <c r="U309" s="398"/>
      <c r="V309" s="398"/>
      <c r="W309" s="398"/>
      <c r="X309" s="398"/>
      <c r="Y309" s="398"/>
      <c r="AC309" s="408"/>
    </row>
    <row r="310" spans="1:32" ht="27" x14ac:dyDescent="0.3">
      <c r="A310" s="45"/>
      <c r="B310" s="49" t="s">
        <v>474</v>
      </c>
      <c r="C310" s="50" t="s">
        <v>502</v>
      </c>
      <c r="D310" s="50"/>
      <c r="E310" s="48"/>
      <c r="F310" s="48">
        <f t="shared" si="93"/>
        <v>23614</v>
      </c>
      <c r="G310" s="54"/>
      <c r="H310" s="54"/>
      <c r="I310" s="48"/>
      <c r="J310" s="48"/>
      <c r="K310" s="48"/>
      <c r="L310" s="48"/>
      <c r="M310" s="48">
        <f>25692-2078</f>
        <v>23614</v>
      </c>
      <c r="N310" s="48"/>
      <c r="O310" s="48"/>
      <c r="P310" s="48"/>
      <c r="Q310" s="395"/>
      <c r="R310" s="396"/>
      <c r="S310" s="394">
        <f>25692-2078</f>
        <v>23614</v>
      </c>
      <c r="T310" s="47">
        <f t="shared" si="77"/>
        <v>0</v>
      </c>
      <c r="U310" s="396"/>
      <c r="V310" s="396"/>
      <c r="W310" s="396"/>
      <c r="X310" s="396"/>
      <c r="Y310" s="396"/>
      <c r="AC310" s="408"/>
    </row>
    <row r="311" spans="1:32" ht="17.25" x14ac:dyDescent="0.3">
      <c r="A311" s="45"/>
      <c r="B311" s="49" t="s">
        <v>475</v>
      </c>
      <c r="C311" s="50" t="s">
        <v>503</v>
      </c>
      <c r="D311" s="50"/>
      <c r="E311" s="48"/>
      <c r="F311" s="48">
        <f t="shared" si="93"/>
        <v>7000</v>
      </c>
      <c r="G311" s="54"/>
      <c r="H311" s="54"/>
      <c r="I311" s="48"/>
      <c r="J311" s="48"/>
      <c r="K311" s="48"/>
      <c r="L311" s="48"/>
      <c r="M311" s="48">
        <v>7000</v>
      </c>
      <c r="N311" s="48"/>
      <c r="O311" s="48"/>
      <c r="P311" s="48"/>
      <c r="Q311" s="395"/>
      <c r="R311" s="396"/>
      <c r="S311" s="394">
        <v>7000</v>
      </c>
      <c r="T311" s="47">
        <f t="shared" si="77"/>
        <v>0</v>
      </c>
      <c r="U311" s="396"/>
      <c r="V311" s="396"/>
      <c r="W311" s="396"/>
      <c r="X311" s="396"/>
      <c r="Y311" s="396"/>
      <c r="AC311" s="408"/>
    </row>
    <row r="312" spans="1:32" ht="17.25" x14ac:dyDescent="0.3">
      <c r="A312" s="45">
        <v>5239</v>
      </c>
      <c r="B312" s="23">
        <v>426800</v>
      </c>
      <c r="C312" s="9" t="s">
        <v>464</v>
      </c>
      <c r="D312" s="59" t="s">
        <v>467</v>
      </c>
      <c r="E312" s="36">
        <v>9387</v>
      </c>
      <c r="F312" s="36">
        <f>H312+K312+M312+P312</f>
        <v>14278</v>
      </c>
      <c r="G312" s="37">
        <f t="shared" si="91"/>
        <v>9570</v>
      </c>
      <c r="H312" s="37"/>
      <c r="I312" s="36"/>
      <c r="J312" s="36"/>
      <c r="K312" s="36"/>
      <c r="L312" s="36"/>
      <c r="M312" s="36">
        <f>12200+2078</f>
        <v>14278</v>
      </c>
      <c r="N312" s="36">
        <v>9570</v>
      </c>
      <c r="O312" s="36"/>
      <c r="P312" s="36"/>
      <c r="Q312" s="382"/>
      <c r="R312" s="47"/>
      <c r="S312" s="383">
        <f>12200+2078</f>
        <v>14278</v>
      </c>
      <c r="T312" s="47">
        <f t="shared" si="77"/>
        <v>0</v>
      </c>
      <c r="U312" s="47"/>
      <c r="V312" s="47"/>
      <c r="W312" s="47"/>
      <c r="X312" s="47"/>
      <c r="Y312" s="47"/>
      <c r="AC312" s="408"/>
    </row>
    <row r="313" spans="1:32" ht="27" x14ac:dyDescent="0.3">
      <c r="A313" s="45"/>
      <c r="B313" s="23" t="s">
        <v>465</v>
      </c>
      <c r="C313" s="9" t="s">
        <v>466</v>
      </c>
      <c r="D313" s="9" t="s">
        <v>463</v>
      </c>
      <c r="E313" s="36">
        <v>4452</v>
      </c>
      <c r="F313" s="36">
        <f>H313+K313+M313+P313</f>
        <v>6985</v>
      </c>
      <c r="G313" s="37">
        <f t="shared" si="91"/>
        <v>2940</v>
      </c>
      <c r="H313" s="37"/>
      <c r="I313" s="36"/>
      <c r="J313" s="36"/>
      <c r="K313" s="36"/>
      <c r="L313" s="36"/>
      <c r="M313" s="36">
        <f>2500+2160-427+264+2315-175+348</f>
        <v>6985</v>
      </c>
      <c r="N313" s="36">
        <f>12522-12-9570</f>
        <v>2940</v>
      </c>
      <c r="O313" s="36"/>
      <c r="P313" s="36"/>
      <c r="Q313" s="382"/>
      <c r="R313" s="47"/>
      <c r="S313" s="383">
        <f>2500+2160-427+264+2315-175</f>
        <v>6637</v>
      </c>
      <c r="T313" s="47">
        <f t="shared" si="77"/>
        <v>348</v>
      </c>
      <c r="U313" s="47"/>
      <c r="V313" s="47"/>
      <c r="W313" s="47">
        <f>1721+1908+2005</f>
        <v>5634</v>
      </c>
      <c r="X313" s="47"/>
      <c r="Y313" s="47"/>
      <c r="AC313" s="409" t="s">
        <v>570</v>
      </c>
      <c r="AE313" s="12">
        <f>1721+1750+2005</f>
        <v>5476</v>
      </c>
      <c r="AF313" s="392">
        <f>AE313/M313</f>
        <v>0.78396564065855401</v>
      </c>
    </row>
    <row r="314" spans="1:32" ht="17.25" x14ac:dyDescent="0.3">
      <c r="A314" s="45">
        <v>5240</v>
      </c>
      <c r="B314" s="23">
        <v>426900</v>
      </c>
      <c r="C314" s="9" t="s">
        <v>270</v>
      </c>
      <c r="D314" s="9" t="s">
        <v>463</v>
      </c>
      <c r="E314" s="36">
        <v>8611</v>
      </c>
      <c r="F314" s="38">
        <f>H314+K314+M314+P314</f>
        <v>8629</v>
      </c>
      <c r="G314" s="389">
        <f t="shared" si="91"/>
        <v>2154</v>
      </c>
      <c r="H314" s="389">
        <v>1000</v>
      </c>
      <c r="I314" s="38"/>
      <c r="J314" s="38"/>
      <c r="K314" s="38"/>
      <c r="L314" s="38">
        <v>1273</v>
      </c>
      <c r="M314" s="38">
        <f>4485-1230-90+84-60+942+4944-60-3+815+2151-4875</f>
        <v>7103</v>
      </c>
      <c r="N314" s="38"/>
      <c r="O314" s="38"/>
      <c r="P314" s="38">
        <f>492+4+30</f>
        <v>526</v>
      </c>
      <c r="Q314" s="382">
        <v>881</v>
      </c>
      <c r="R314" s="47"/>
      <c r="S314" s="386">
        <f>4485-1230-90+84-60+942+4944-60-3+815+2151</f>
        <v>11978</v>
      </c>
      <c r="T314" s="47">
        <f t="shared" si="77"/>
        <v>-4875</v>
      </c>
      <c r="U314" s="47">
        <f>583+106+293</f>
        <v>982</v>
      </c>
      <c r="V314" s="47"/>
      <c r="W314" s="47">
        <f>1830+308+1206+2296</f>
        <v>5640</v>
      </c>
      <c r="X314" s="47"/>
      <c r="Y314" s="47"/>
      <c r="AC314" s="409" t="s">
        <v>571</v>
      </c>
      <c r="AE314" s="12">
        <f>1806+196+1206+2275</f>
        <v>5483</v>
      </c>
      <c r="AF314" s="392">
        <f>AE314/M314</f>
        <v>0.77192735463888495</v>
      </c>
    </row>
    <row r="315" spans="1:32" ht="58.5" hidden="1" customHeight="1" x14ac:dyDescent="0.3">
      <c r="A315" s="361">
        <v>5241</v>
      </c>
      <c r="B315" s="354">
        <v>430000</v>
      </c>
      <c r="C315" s="18" t="s">
        <v>271</v>
      </c>
      <c r="D315" s="18"/>
      <c r="E315" s="19">
        <f>E316+E324+E326+E328+E332</f>
        <v>0</v>
      </c>
      <c r="F315" s="19"/>
      <c r="G315" s="19">
        <f t="shared" si="90"/>
        <v>0</v>
      </c>
      <c r="H315" s="19"/>
      <c r="I315" s="19">
        <f t="shared" ref="I315:Q315" si="95">I316+I324+I326+I328+I332</f>
        <v>0</v>
      </c>
      <c r="J315" s="19">
        <f t="shared" si="95"/>
        <v>0</v>
      </c>
      <c r="K315" s="19"/>
      <c r="L315" s="19">
        <f t="shared" si="95"/>
        <v>0</v>
      </c>
      <c r="M315" s="19"/>
      <c r="N315" s="19">
        <f t="shared" si="95"/>
        <v>0</v>
      </c>
      <c r="O315" s="19">
        <f t="shared" si="95"/>
        <v>0</v>
      </c>
      <c r="P315" s="19"/>
      <c r="Q315" s="366">
        <f t="shared" si="95"/>
        <v>0</v>
      </c>
      <c r="R315" s="64"/>
      <c r="S315" s="367"/>
      <c r="T315" s="64"/>
      <c r="U315" s="64"/>
      <c r="V315" s="64"/>
      <c r="W315" s="64"/>
      <c r="X315" s="64"/>
      <c r="Y315" s="64"/>
      <c r="AC315" s="409" t="s">
        <v>572</v>
      </c>
    </row>
    <row r="316" spans="1:32" ht="58.5" hidden="1" customHeight="1" x14ac:dyDescent="0.3">
      <c r="A316" s="361">
        <v>5242</v>
      </c>
      <c r="B316" s="354">
        <v>431000</v>
      </c>
      <c r="C316" s="18" t="s">
        <v>272</v>
      </c>
      <c r="D316" s="18"/>
      <c r="E316" s="19">
        <f>SUM(E317:E319)</f>
        <v>0</v>
      </c>
      <c r="F316" s="19"/>
      <c r="G316" s="19">
        <f t="shared" si="90"/>
        <v>0</v>
      </c>
      <c r="H316" s="19"/>
      <c r="I316" s="19">
        <f t="shared" ref="I316:Q316" si="96">SUM(I317:I319)</f>
        <v>0</v>
      </c>
      <c r="J316" s="19">
        <f t="shared" si="96"/>
        <v>0</v>
      </c>
      <c r="K316" s="19"/>
      <c r="L316" s="19">
        <f t="shared" si="96"/>
        <v>0</v>
      </c>
      <c r="M316" s="19"/>
      <c r="N316" s="19">
        <f t="shared" si="96"/>
        <v>0</v>
      </c>
      <c r="O316" s="19">
        <f t="shared" si="96"/>
        <v>0</v>
      </c>
      <c r="P316" s="19"/>
      <c r="Q316" s="366">
        <f t="shared" si="96"/>
        <v>0</v>
      </c>
      <c r="R316" s="64"/>
      <c r="S316" s="367"/>
      <c r="T316" s="64"/>
      <c r="U316" s="64"/>
      <c r="V316" s="64"/>
      <c r="W316" s="64"/>
      <c r="X316" s="64"/>
      <c r="Y316" s="64"/>
      <c r="AC316" s="408"/>
    </row>
    <row r="317" spans="1:32" ht="58.5" hidden="1" customHeight="1" x14ac:dyDescent="0.3">
      <c r="A317" s="45">
        <v>5243</v>
      </c>
      <c r="B317" s="23">
        <v>431100</v>
      </c>
      <c r="C317" s="9" t="s">
        <v>273</v>
      </c>
      <c r="D317" s="9"/>
      <c r="E317" s="36"/>
      <c r="F317" s="36"/>
      <c r="G317" s="37">
        <f t="shared" si="90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82"/>
      <c r="R317" s="47"/>
      <c r="S317" s="383"/>
      <c r="T317" s="47"/>
      <c r="U317" s="47"/>
      <c r="V317" s="47"/>
      <c r="W317" s="47"/>
      <c r="X317" s="47"/>
      <c r="Y317" s="47"/>
      <c r="AC317" s="410"/>
    </row>
    <row r="318" spans="1:32" hidden="1" x14ac:dyDescent="0.25">
      <c r="A318" s="45">
        <v>5244</v>
      </c>
      <c r="B318" s="23">
        <v>431200</v>
      </c>
      <c r="C318" s="9" t="s">
        <v>274</v>
      </c>
      <c r="D318" s="9"/>
      <c r="E318" s="36"/>
      <c r="F318" s="36"/>
      <c r="G318" s="37">
        <f t="shared" si="90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82"/>
      <c r="R318" s="47"/>
      <c r="S318" s="383"/>
      <c r="T318" s="47"/>
      <c r="U318" s="47"/>
      <c r="V318" s="47"/>
      <c r="W318" s="47"/>
      <c r="X318" s="47"/>
      <c r="Y318" s="47"/>
    </row>
    <row r="319" spans="1:32" ht="26.25" hidden="1" x14ac:dyDescent="0.25">
      <c r="A319" s="45">
        <v>5245</v>
      </c>
      <c r="B319" s="23">
        <v>431300</v>
      </c>
      <c r="C319" s="9" t="s">
        <v>275</v>
      </c>
      <c r="D319" s="9"/>
      <c r="E319" s="36"/>
      <c r="F319" s="36"/>
      <c r="G319" s="37">
        <f t="shared" si="90"/>
        <v>0</v>
      </c>
      <c r="H319" s="37"/>
      <c r="I319" s="36"/>
      <c r="J319" s="36"/>
      <c r="K319" s="36"/>
      <c r="L319" s="36"/>
      <c r="M319" s="36"/>
      <c r="N319" s="36"/>
      <c r="O319" s="36"/>
      <c r="P319" s="36"/>
      <c r="Q319" s="382"/>
      <c r="R319" s="47"/>
      <c r="S319" s="383"/>
      <c r="T319" s="47"/>
      <c r="U319" s="47"/>
      <c r="V319" s="47"/>
      <c r="W319" s="47"/>
      <c r="X319" s="47"/>
      <c r="Y319" s="47"/>
    </row>
    <row r="320" spans="1:32" hidden="1" x14ac:dyDescent="0.25">
      <c r="A320" s="542" t="s">
        <v>0</v>
      </c>
      <c r="B320" s="543" t="s">
        <v>1</v>
      </c>
      <c r="C320" s="542" t="s">
        <v>2</v>
      </c>
      <c r="D320" s="360"/>
      <c r="E320" s="542" t="s">
        <v>217</v>
      </c>
      <c r="F320" s="360"/>
      <c r="G320" s="544" t="s">
        <v>198</v>
      </c>
      <c r="H320" s="544"/>
      <c r="I320" s="545"/>
      <c r="J320" s="545"/>
      <c r="K320" s="545"/>
      <c r="L320" s="545"/>
      <c r="M320" s="545"/>
      <c r="N320" s="545"/>
      <c r="O320" s="545"/>
      <c r="P320" s="545"/>
      <c r="Q320" s="545"/>
      <c r="R320" s="365"/>
      <c r="S320" s="365"/>
      <c r="T320" s="365"/>
      <c r="U320" s="365"/>
      <c r="V320" s="365"/>
      <c r="W320" s="365"/>
      <c r="X320" s="365"/>
      <c r="Y320" s="365"/>
    </row>
    <row r="321" spans="1:25" hidden="1" x14ac:dyDescent="0.25">
      <c r="A321" s="542"/>
      <c r="B321" s="543"/>
      <c r="C321" s="542"/>
      <c r="D321" s="360"/>
      <c r="E321" s="542"/>
      <c r="F321" s="360"/>
      <c r="G321" s="544" t="s">
        <v>199</v>
      </c>
      <c r="H321" s="354"/>
      <c r="I321" s="544" t="s">
        <v>200</v>
      </c>
      <c r="J321" s="545"/>
      <c r="K321" s="545"/>
      <c r="L321" s="545"/>
      <c r="M321" s="545"/>
      <c r="N321" s="545"/>
      <c r="O321" s="544" t="s">
        <v>7</v>
      </c>
      <c r="P321" s="354"/>
      <c r="Q321" s="534" t="s">
        <v>8</v>
      </c>
      <c r="R321" s="61"/>
      <c r="S321" s="61"/>
      <c r="T321" s="61"/>
      <c r="U321" s="61"/>
      <c r="V321" s="61"/>
      <c r="W321" s="61"/>
      <c r="X321" s="61"/>
      <c r="Y321" s="61"/>
    </row>
    <row r="322" spans="1:25" ht="166.5" hidden="1" x14ac:dyDescent="0.25">
      <c r="A322" s="542"/>
      <c r="B322" s="543"/>
      <c r="C322" s="542"/>
      <c r="D322" s="360"/>
      <c r="E322" s="542"/>
      <c r="F322" s="360"/>
      <c r="G322" s="545"/>
      <c r="H322" s="362"/>
      <c r="I322" s="354" t="s">
        <v>201</v>
      </c>
      <c r="J322" s="354" t="s">
        <v>10</v>
      </c>
      <c r="K322" s="354"/>
      <c r="L322" s="354" t="s">
        <v>11</v>
      </c>
      <c r="M322" s="354"/>
      <c r="N322" s="354" t="s">
        <v>12</v>
      </c>
      <c r="O322" s="545"/>
      <c r="P322" s="362"/>
      <c r="Q322" s="741"/>
      <c r="R322" s="365"/>
      <c r="S322" s="364"/>
      <c r="T322" s="61"/>
      <c r="U322" s="365"/>
      <c r="V322" s="365"/>
      <c r="W322" s="365"/>
      <c r="X322" s="365"/>
      <c r="Y322" s="365"/>
    </row>
    <row r="323" spans="1:25" ht="26.25" hidden="1" x14ac:dyDescent="0.25">
      <c r="A323" s="359" t="s">
        <v>18</v>
      </c>
      <c r="B323" s="359" t="s">
        <v>19</v>
      </c>
      <c r="C323" s="359" t="s">
        <v>20</v>
      </c>
      <c r="D323" s="359"/>
      <c r="E323" s="359" t="s">
        <v>21</v>
      </c>
      <c r="F323" s="359"/>
      <c r="G323" s="359" t="s">
        <v>22</v>
      </c>
      <c r="H323" s="359"/>
      <c r="I323" s="359" t="s">
        <v>23</v>
      </c>
      <c r="J323" s="359" t="s">
        <v>24</v>
      </c>
      <c r="K323" s="359"/>
      <c r="L323" s="359" t="s">
        <v>25</v>
      </c>
      <c r="M323" s="359"/>
      <c r="N323" s="359" t="s">
        <v>26</v>
      </c>
      <c r="O323" s="359" t="s">
        <v>27</v>
      </c>
      <c r="P323" s="359"/>
      <c r="Q323" s="379" t="s">
        <v>28</v>
      </c>
      <c r="R323" s="380"/>
      <c r="S323" s="381"/>
      <c r="T323" s="380"/>
      <c r="U323" s="380"/>
      <c r="V323" s="380"/>
      <c r="W323" s="380"/>
      <c r="X323" s="380"/>
      <c r="Y323" s="380"/>
    </row>
    <row r="324" spans="1:25" ht="39" hidden="1" x14ac:dyDescent="0.25">
      <c r="A324" s="361">
        <v>5246</v>
      </c>
      <c r="B324" s="354">
        <v>432000</v>
      </c>
      <c r="C324" s="18" t="s">
        <v>276</v>
      </c>
      <c r="D324" s="18"/>
      <c r="E324" s="19">
        <f>E325</f>
        <v>0</v>
      </c>
      <c r="F324" s="19"/>
      <c r="G324" s="19">
        <f t="shared" si="90"/>
        <v>0</v>
      </c>
      <c r="H324" s="19"/>
      <c r="I324" s="19">
        <f t="shared" ref="I324:Q324" si="97">I325</f>
        <v>0</v>
      </c>
      <c r="J324" s="19">
        <f t="shared" si="97"/>
        <v>0</v>
      </c>
      <c r="K324" s="19"/>
      <c r="L324" s="19">
        <f t="shared" si="97"/>
        <v>0</v>
      </c>
      <c r="M324" s="19"/>
      <c r="N324" s="19">
        <f t="shared" si="97"/>
        <v>0</v>
      </c>
      <c r="O324" s="19">
        <f t="shared" si="97"/>
        <v>0</v>
      </c>
      <c r="P324" s="19"/>
      <c r="Q324" s="366">
        <f t="shared" si="97"/>
        <v>0</v>
      </c>
      <c r="R324" s="64"/>
      <c r="S324" s="367"/>
      <c r="T324" s="64"/>
      <c r="U324" s="64"/>
      <c r="V324" s="64"/>
      <c r="W324" s="64"/>
      <c r="X324" s="64"/>
      <c r="Y324" s="64"/>
    </row>
    <row r="325" spans="1:25" ht="26.25" hidden="1" x14ac:dyDescent="0.25">
      <c r="A325" s="45">
        <v>5247</v>
      </c>
      <c r="B325" s="23">
        <v>432100</v>
      </c>
      <c r="C325" s="9" t="s">
        <v>277</v>
      </c>
      <c r="D325" s="9"/>
      <c r="E325" s="36"/>
      <c r="F325" s="36"/>
      <c r="G325" s="37">
        <f t="shared" si="90"/>
        <v>0</v>
      </c>
      <c r="H325" s="37"/>
      <c r="I325" s="36"/>
      <c r="J325" s="36"/>
      <c r="K325" s="36"/>
      <c r="L325" s="36"/>
      <c r="M325" s="36"/>
      <c r="N325" s="36"/>
      <c r="O325" s="36"/>
      <c r="P325" s="36"/>
      <c r="Q325" s="382"/>
      <c r="R325" s="47"/>
      <c r="S325" s="383"/>
      <c r="T325" s="47"/>
      <c r="U325" s="47"/>
      <c r="V325" s="47"/>
      <c r="W325" s="47"/>
      <c r="X325" s="47"/>
      <c r="Y325" s="47"/>
    </row>
    <row r="326" spans="1:25" ht="26.25" hidden="1" x14ac:dyDescent="0.25">
      <c r="A326" s="361">
        <v>5248</v>
      </c>
      <c r="B326" s="354">
        <v>433000</v>
      </c>
      <c r="C326" s="18" t="s">
        <v>278</v>
      </c>
      <c r="D326" s="18"/>
      <c r="E326" s="19">
        <f>E327</f>
        <v>0</v>
      </c>
      <c r="F326" s="19"/>
      <c r="G326" s="19">
        <f t="shared" si="90"/>
        <v>0</v>
      </c>
      <c r="H326" s="19"/>
      <c r="I326" s="19">
        <f t="shared" ref="I326:Q326" si="98">I327</f>
        <v>0</v>
      </c>
      <c r="J326" s="19">
        <f t="shared" si="98"/>
        <v>0</v>
      </c>
      <c r="K326" s="19"/>
      <c r="L326" s="19">
        <f t="shared" si="98"/>
        <v>0</v>
      </c>
      <c r="M326" s="19"/>
      <c r="N326" s="19">
        <f t="shared" si="98"/>
        <v>0</v>
      </c>
      <c r="O326" s="19">
        <f t="shared" si="98"/>
        <v>0</v>
      </c>
      <c r="P326" s="19"/>
      <c r="Q326" s="366">
        <f t="shared" si="98"/>
        <v>0</v>
      </c>
      <c r="R326" s="64"/>
      <c r="S326" s="367"/>
      <c r="T326" s="64"/>
      <c r="U326" s="64"/>
      <c r="V326" s="64"/>
      <c r="W326" s="64"/>
      <c r="X326" s="64"/>
      <c r="Y326" s="64"/>
    </row>
    <row r="327" spans="1:25" hidden="1" x14ac:dyDescent="0.25">
      <c r="A327" s="45">
        <v>5249</v>
      </c>
      <c r="B327" s="23">
        <v>433100</v>
      </c>
      <c r="C327" s="9" t="s">
        <v>279</v>
      </c>
      <c r="D327" s="9"/>
      <c r="E327" s="36"/>
      <c r="F327" s="36"/>
      <c r="G327" s="37">
        <f t="shared" si="90"/>
        <v>0</v>
      </c>
      <c r="H327" s="37"/>
      <c r="I327" s="36"/>
      <c r="J327" s="36"/>
      <c r="K327" s="36"/>
      <c r="L327" s="36"/>
      <c r="M327" s="36"/>
      <c r="N327" s="36"/>
      <c r="O327" s="36"/>
      <c r="P327" s="36"/>
      <c r="Q327" s="382"/>
      <c r="R327" s="47"/>
      <c r="S327" s="383"/>
      <c r="T327" s="47"/>
      <c r="U327" s="47"/>
      <c r="V327" s="47"/>
      <c r="W327" s="47"/>
      <c r="X327" s="47"/>
      <c r="Y327" s="47"/>
    </row>
    <row r="328" spans="1:25" ht="26.25" hidden="1" x14ac:dyDescent="0.25">
      <c r="A328" s="361">
        <v>5250</v>
      </c>
      <c r="B328" s="354">
        <v>434000</v>
      </c>
      <c r="C328" s="18" t="s">
        <v>280</v>
      </c>
      <c r="D328" s="18"/>
      <c r="E328" s="19">
        <f>SUM(E329:E331)</f>
        <v>0</v>
      </c>
      <c r="F328" s="19"/>
      <c r="G328" s="19">
        <f t="shared" si="90"/>
        <v>0</v>
      </c>
      <c r="H328" s="19"/>
      <c r="I328" s="19">
        <f t="shared" ref="I328:Q328" si="99">SUM(I329:I331)</f>
        <v>0</v>
      </c>
      <c r="J328" s="19">
        <f t="shared" si="99"/>
        <v>0</v>
      </c>
      <c r="K328" s="19"/>
      <c r="L328" s="19">
        <f t="shared" si="99"/>
        <v>0</v>
      </c>
      <c r="M328" s="19"/>
      <c r="N328" s="19">
        <f t="shared" si="99"/>
        <v>0</v>
      </c>
      <c r="O328" s="19">
        <f t="shared" si="99"/>
        <v>0</v>
      </c>
      <c r="P328" s="19"/>
      <c r="Q328" s="366">
        <f t="shared" si="99"/>
        <v>0</v>
      </c>
      <c r="R328" s="64"/>
      <c r="S328" s="367"/>
      <c r="T328" s="64"/>
      <c r="U328" s="64"/>
      <c r="V328" s="64"/>
      <c r="W328" s="64"/>
      <c r="X328" s="64"/>
      <c r="Y328" s="64"/>
    </row>
    <row r="329" spans="1:25" hidden="1" x14ac:dyDescent="0.25">
      <c r="A329" s="45">
        <v>5251</v>
      </c>
      <c r="B329" s="23">
        <v>434100</v>
      </c>
      <c r="C329" s="9" t="s">
        <v>281</v>
      </c>
      <c r="D329" s="9"/>
      <c r="E329" s="36"/>
      <c r="F329" s="36"/>
      <c r="G329" s="37">
        <f t="shared" si="90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82"/>
      <c r="R329" s="47"/>
      <c r="S329" s="383"/>
      <c r="T329" s="47"/>
      <c r="U329" s="47"/>
      <c r="V329" s="47"/>
      <c r="W329" s="47"/>
      <c r="X329" s="47"/>
      <c r="Y329" s="47"/>
    </row>
    <row r="330" spans="1:25" hidden="1" x14ac:dyDescent="0.25">
      <c r="A330" s="45">
        <v>5252</v>
      </c>
      <c r="B330" s="23">
        <v>434200</v>
      </c>
      <c r="C330" s="9" t="s">
        <v>282</v>
      </c>
      <c r="D330" s="9"/>
      <c r="E330" s="36"/>
      <c r="F330" s="36"/>
      <c r="G330" s="37">
        <f t="shared" si="90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82"/>
      <c r="R330" s="47"/>
      <c r="S330" s="383"/>
      <c r="T330" s="47"/>
      <c r="U330" s="47"/>
      <c r="V330" s="47"/>
      <c r="W330" s="47"/>
      <c r="X330" s="47"/>
      <c r="Y330" s="47"/>
    </row>
    <row r="331" spans="1:25" hidden="1" x14ac:dyDescent="0.25">
      <c r="A331" s="45">
        <v>5253</v>
      </c>
      <c r="B331" s="23">
        <v>434300</v>
      </c>
      <c r="C331" s="9" t="s">
        <v>283</v>
      </c>
      <c r="D331" s="9"/>
      <c r="E331" s="36"/>
      <c r="F331" s="36"/>
      <c r="G331" s="37">
        <f t="shared" si="90"/>
        <v>0</v>
      </c>
      <c r="H331" s="37"/>
      <c r="I331" s="36"/>
      <c r="J331" s="36"/>
      <c r="K331" s="36"/>
      <c r="L331" s="36"/>
      <c r="M331" s="36"/>
      <c r="N331" s="36"/>
      <c r="O331" s="36"/>
      <c r="P331" s="36"/>
      <c r="Q331" s="382"/>
      <c r="R331" s="47"/>
      <c r="S331" s="383"/>
      <c r="T331" s="47"/>
      <c r="U331" s="47"/>
      <c r="V331" s="47"/>
      <c r="W331" s="47"/>
      <c r="X331" s="47"/>
      <c r="Y331" s="47"/>
    </row>
    <row r="332" spans="1:25" ht="39" hidden="1" x14ac:dyDescent="0.25">
      <c r="A332" s="361">
        <v>5254</v>
      </c>
      <c r="B332" s="354">
        <v>435000</v>
      </c>
      <c r="C332" s="18" t="s">
        <v>284</v>
      </c>
      <c r="D332" s="18"/>
      <c r="E332" s="19">
        <f>E333</f>
        <v>0</v>
      </c>
      <c r="F332" s="19"/>
      <c r="G332" s="19">
        <f t="shared" si="90"/>
        <v>0</v>
      </c>
      <c r="H332" s="19"/>
      <c r="I332" s="19">
        <f t="shared" ref="I332:Q332" si="100">I333</f>
        <v>0</v>
      </c>
      <c r="J332" s="19">
        <f t="shared" si="100"/>
        <v>0</v>
      </c>
      <c r="K332" s="19"/>
      <c r="L332" s="19">
        <f t="shared" si="100"/>
        <v>0</v>
      </c>
      <c r="M332" s="19"/>
      <c r="N332" s="19">
        <f t="shared" si="100"/>
        <v>0</v>
      </c>
      <c r="O332" s="19">
        <f t="shared" si="100"/>
        <v>0</v>
      </c>
      <c r="P332" s="19"/>
      <c r="Q332" s="366">
        <f t="shared" si="100"/>
        <v>0</v>
      </c>
      <c r="R332" s="64"/>
      <c r="S332" s="367"/>
      <c r="T332" s="64"/>
      <c r="U332" s="64"/>
      <c r="V332" s="64"/>
      <c r="W332" s="64"/>
      <c r="X332" s="64"/>
      <c r="Y332" s="64"/>
    </row>
    <row r="333" spans="1:25" ht="26.25" hidden="1" x14ac:dyDescent="0.25">
      <c r="A333" s="45">
        <v>5255</v>
      </c>
      <c r="B333" s="23">
        <v>435100</v>
      </c>
      <c r="C333" s="9" t="s">
        <v>285</v>
      </c>
      <c r="D333" s="9"/>
      <c r="E333" s="36"/>
      <c r="F333" s="36"/>
      <c r="G333" s="37">
        <f t="shared" si="90"/>
        <v>0</v>
      </c>
      <c r="H333" s="37"/>
      <c r="I333" s="36"/>
      <c r="J333" s="36"/>
      <c r="K333" s="36"/>
      <c r="L333" s="36"/>
      <c r="M333" s="36"/>
      <c r="N333" s="36"/>
      <c r="O333" s="36"/>
      <c r="P333" s="36"/>
      <c r="Q333" s="382"/>
      <c r="R333" s="47"/>
      <c r="S333" s="383"/>
      <c r="T333" s="47"/>
      <c r="U333" s="47"/>
      <c r="V333" s="47"/>
      <c r="W333" s="47"/>
      <c r="X333" s="47"/>
      <c r="Y333" s="47"/>
    </row>
    <row r="334" spans="1:25" ht="51.75" x14ac:dyDescent="0.25">
      <c r="A334" s="361">
        <v>5256</v>
      </c>
      <c r="B334" s="354">
        <v>440000</v>
      </c>
      <c r="C334" s="18" t="s">
        <v>286</v>
      </c>
      <c r="D334" s="18"/>
      <c r="E334" s="19">
        <f>E335+E345+E356+E358</f>
        <v>275</v>
      </c>
      <c r="F334" s="19">
        <f t="shared" ref="F334:S334" si="101">F335+F345+F356+F358</f>
        <v>200</v>
      </c>
      <c r="G334" s="19">
        <f t="shared" si="101"/>
        <v>251</v>
      </c>
      <c r="H334" s="19">
        <f t="shared" si="101"/>
        <v>0</v>
      </c>
      <c r="I334" s="19">
        <f t="shared" si="101"/>
        <v>0</v>
      </c>
      <c r="J334" s="19">
        <f t="shared" si="101"/>
        <v>0</v>
      </c>
      <c r="K334" s="19">
        <f t="shared" si="101"/>
        <v>0</v>
      </c>
      <c r="L334" s="19">
        <f t="shared" si="101"/>
        <v>0</v>
      </c>
      <c r="M334" s="19">
        <f t="shared" si="101"/>
        <v>0</v>
      </c>
      <c r="N334" s="19">
        <f t="shared" si="101"/>
        <v>0</v>
      </c>
      <c r="O334" s="19">
        <f t="shared" si="101"/>
        <v>0</v>
      </c>
      <c r="P334" s="19">
        <f t="shared" si="101"/>
        <v>200</v>
      </c>
      <c r="Q334" s="366">
        <f t="shared" si="101"/>
        <v>251</v>
      </c>
      <c r="R334" s="64"/>
      <c r="S334" s="367">
        <f t="shared" si="101"/>
        <v>0</v>
      </c>
      <c r="T334" s="64"/>
      <c r="U334" s="64"/>
      <c r="V334" s="64"/>
      <c r="W334" s="64"/>
      <c r="X334" s="64"/>
      <c r="Y334" s="64"/>
    </row>
    <row r="335" spans="1:25" ht="26.25" x14ac:dyDescent="0.25">
      <c r="A335" s="361">
        <v>5257</v>
      </c>
      <c r="B335" s="354">
        <v>441000</v>
      </c>
      <c r="C335" s="18" t="s">
        <v>287</v>
      </c>
      <c r="D335" s="18"/>
      <c r="E335" s="19">
        <f>SUM(E336:E344)</f>
        <v>275</v>
      </c>
      <c r="F335" s="19">
        <f t="shared" ref="F335:S335" si="102">SUM(F336:F344)</f>
        <v>200</v>
      </c>
      <c r="G335" s="19">
        <f t="shared" si="102"/>
        <v>251</v>
      </c>
      <c r="H335" s="19">
        <f t="shared" si="102"/>
        <v>0</v>
      </c>
      <c r="I335" s="19">
        <f t="shared" si="102"/>
        <v>0</v>
      </c>
      <c r="J335" s="19">
        <f t="shared" si="102"/>
        <v>0</v>
      </c>
      <c r="K335" s="19">
        <f t="shared" si="102"/>
        <v>0</v>
      </c>
      <c r="L335" s="19">
        <f t="shared" si="102"/>
        <v>0</v>
      </c>
      <c r="M335" s="19">
        <f t="shared" si="102"/>
        <v>0</v>
      </c>
      <c r="N335" s="19">
        <f t="shared" si="102"/>
        <v>0</v>
      </c>
      <c r="O335" s="19">
        <f t="shared" si="102"/>
        <v>0</v>
      </c>
      <c r="P335" s="19">
        <f t="shared" si="102"/>
        <v>200</v>
      </c>
      <c r="Q335" s="366">
        <f t="shared" si="102"/>
        <v>251</v>
      </c>
      <c r="R335" s="64"/>
      <c r="S335" s="367">
        <f t="shared" si="102"/>
        <v>0</v>
      </c>
      <c r="T335" s="64"/>
      <c r="U335" s="64"/>
      <c r="V335" s="64"/>
      <c r="W335" s="64"/>
      <c r="X335" s="64"/>
      <c r="Y335" s="64"/>
    </row>
    <row r="336" spans="1:25" ht="26.25" hidden="1" x14ac:dyDescent="0.25">
      <c r="A336" s="45">
        <v>5258</v>
      </c>
      <c r="B336" s="23">
        <v>441100</v>
      </c>
      <c r="C336" s="9" t="s">
        <v>288</v>
      </c>
      <c r="D336" s="9"/>
      <c r="E336" s="36"/>
      <c r="F336" s="36"/>
      <c r="G336" s="37">
        <f t="shared" si="90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82"/>
      <c r="R336" s="47"/>
      <c r="S336" s="383"/>
      <c r="T336" s="47"/>
      <c r="U336" s="47"/>
      <c r="V336" s="47"/>
      <c r="W336" s="47"/>
      <c r="X336" s="47"/>
      <c r="Y336" s="47"/>
    </row>
    <row r="337" spans="1:25" ht="26.25" hidden="1" x14ac:dyDescent="0.25">
      <c r="A337" s="45">
        <v>5259</v>
      </c>
      <c r="B337" s="23">
        <v>441200</v>
      </c>
      <c r="C337" s="9" t="s">
        <v>289</v>
      </c>
      <c r="D337" s="9"/>
      <c r="E337" s="36"/>
      <c r="F337" s="36"/>
      <c r="G337" s="37">
        <f t="shared" si="90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82"/>
      <c r="R337" s="47"/>
      <c r="S337" s="383"/>
      <c r="T337" s="47"/>
      <c r="U337" s="47"/>
      <c r="V337" s="47"/>
      <c r="W337" s="47"/>
      <c r="X337" s="47"/>
      <c r="Y337" s="47"/>
    </row>
    <row r="338" spans="1:25" ht="26.25" hidden="1" x14ac:dyDescent="0.25">
      <c r="A338" s="45">
        <v>5260</v>
      </c>
      <c r="B338" s="23">
        <v>441300</v>
      </c>
      <c r="C338" s="9" t="s">
        <v>290</v>
      </c>
      <c r="D338" s="9"/>
      <c r="E338" s="36"/>
      <c r="F338" s="36"/>
      <c r="G338" s="37">
        <f t="shared" si="90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82"/>
      <c r="R338" s="47"/>
      <c r="S338" s="383"/>
      <c r="T338" s="47"/>
      <c r="U338" s="47"/>
      <c r="V338" s="47"/>
      <c r="W338" s="47"/>
      <c r="X338" s="47"/>
      <c r="Y338" s="47"/>
    </row>
    <row r="339" spans="1:25" ht="26.25" hidden="1" x14ac:dyDescent="0.25">
      <c r="A339" s="45">
        <v>5261</v>
      </c>
      <c r="B339" s="23">
        <v>441400</v>
      </c>
      <c r="C339" s="9" t="s">
        <v>291</v>
      </c>
      <c r="D339" s="9"/>
      <c r="E339" s="36"/>
      <c r="F339" s="36"/>
      <c r="G339" s="37">
        <f t="shared" si="90"/>
        <v>0</v>
      </c>
      <c r="H339" s="37"/>
      <c r="I339" s="36"/>
      <c r="J339" s="36"/>
      <c r="K339" s="36"/>
      <c r="L339" s="36"/>
      <c r="M339" s="36"/>
      <c r="N339" s="36"/>
      <c r="O339" s="36"/>
      <c r="P339" s="36"/>
      <c r="Q339" s="382"/>
      <c r="R339" s="47"/>
      <c r="S339" s="383"/>
      <c r="T339" s="47"/>
      <c r="U339" s="47"/>
      <c r="V339" s="47"/>
      <c r="W339" s="47"/>
      <c r="X339" s="47"/>
      <c r="Y339" s="47"/>
    </row>
    <row r="340" spans="1:25" ht="26.25" x14ac:dyDescent="0.25">
      <c r="A340" s="45">
        <v>5262</v>
      </c>
      <c r="B340" s="23">
        <v>441500</v>
      </c>
      <c r="C340" s="9" t="s">
        <v>292</v>
      </c>
      <c r="D340" s="9"/>
      <c r="E340" s="36">
        <v>275</v>
      </c>
      <c r="F340" s="36">
        <f>H340+K340+M340+P340</f>
        <v>200</v>
      </c>
      <c r="G340" s="37">
        <f t="shared" ref="G340" si="103">SUM(I340:Q340)-K340-M340-P340</f>
        <v>251</v>
      </c>
      <c r="H340" s="37"/>
      <c r="I340" s="36"/>
      <c r="J340" s="36"/>
      <c r="K340" s="36"/>
      <c r="L340" s="36"/>
      <c r="M340" s="36"/>
      <c r="N340" s="36"/>
      <c r="O340" s="36"/>
      <c r="P340" s="36">
        <f>600-107-293</f>
        <v>200</v>
      </c>
      <c r="Q340" s="382">
        <v>251</v>
      </c>
      <c r="R340" s="47"/>
      <c r="S340" s="383"/>
      <c r="T340" s="47"/>
      <c r="U340" s="47"/>
      <c r="V340" s="47"/>
      <c r="W340" s="47"/>
      <c r="X340" s="47"/>
      <c r="Y340" s="47"/>
    </row>
    <row r="341" spans="1:25" ht="26.25" hidden="1" x14ac:dyDescent="0.25">
      <c r="A341" s="45">
        <v>5263</v>
      </c>
      <c r="B341" s="23">
        <v>441600</v>
      </c>
      <c r="C341" s="9" t="s">
        <v>293</v>
      </c>
      <c r="D341" s="9"/>
      <c r="E341" s="36"/>
      <c r="F341" s="36"/>
      <c r="G341" s="37">
        <f t="shared" si="90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82"/>
      <c r="R341" s="47"/>
      <c r="S341" s="383"/>
      <c r="T341" s="47"/>
      <c r="U341" s="47"/>
      <c r="V341" s="47"/>
      <c r="W341" s="47"/>
      <c r="X341" s="47"/>
      <c r="Y341" s="47"/>
    </row>
    <row r="342" spans="1:25" ht="26.25" hidden="1" x14ac:dyDescent="0.25">
      <c r="A342" s="45">
        <v>5264</v>
      </c>
      <c r="B342" s="23">
        <v>441700</v>
      </c>
      <c r="C342" s="9" t="s">
        <v>294</v>
      </c>
      <c r="D342" s="9"/>
      <c r="E342" s="36"/>
      <c r="F342" s="36"/>
      <c r="G342" s="37">
        <f t="shared" si="90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82"/>
      <c r="R342" s="47"/>
      <c r="S342" s="383"/>
      <c r="T342" s="47"/>
      <c r="U342" s="47"/>
      <c r="V342" s="47"/>
      <c r="W342" s="47"/>
      <c r="X342" s="47"/>
      <c r="Y342" s="47"/>
    </row>
    <row r="343" spans="1:25" ht="26.25" hidden="1" x14ac:dyDescent="0.25">
      <c r="A343" s="45">
        <v>5265</v>
      </c>
      <c r="B343" s="23">
        <v>441800</v>
      </c>
      <c r="C343" s="9" t="s">
        <v>295</v>
      </c>
      <c r="D343" s="9"/>
      <c r="E343" s="36"/>
      <c r="F343" s="36"/>
      <c r="G343" s="37">
        <f t="shared" si="90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82"/>
      <c r="R343" s="47"/>
      <c r="S343" s="383"/>
      <c r="T343" s="47"/>
      <c r="U343" s="47"/>
      <c r="V343" s="47"/>
      <c r="W343" s="47"/>
      <c r="X343" s="47"/>
      <c r="Y343" s="47"/>
    </row>
    <row r="344" spans="1:25" ht="26.25" hidden="1" x14ac:dyDescent="0.25">
      <c r="A344" s="45">
        <v>5266</v>
      </c>
      <c r="B344" s="23">
        <v>441900</v>
      </c>
      <c r="C344" s="9" t="s">
        <v>99</v>
      </c>
      <c r="D344" s="9"/>
      <c r="E344" s="36"/>
      <c r="F344" s="36"/>
      <c r="G344" s="37">
        <f t="shared" si="90"/>
        <v>0</v>
      </c>
      <c r="H344" s="37"/>
      <c r="I344" s="36"/>
      <c r="J344" s="36"/>
      <c r="K344" s="36"/>
      <c r="L344" s="36"/>
      <c r="M344" s="36"/>
      <c r="N344" s="36"/>
      <c r="O344" s="36"/>
      <c r="P344" s="36"/>
      <c r="Q344" s="382"/>
      <c r="R344" s="47"/>
      <c r="S344" s="383"/>
      <c r="T344" s="47"/>
      <c r="U344" s="47"/>
      <c r="V344" s="47"/>
      <c r="W344" s="47"/>
      <c r="X344" s="47"/>
      <c r="Y344" s="47"/>
    </row>
    <row r="345" spans="1:25" ht="26.25" hidden="1" x14ac:dyDescent="0.25">
      <c r="A345" s="361">
        <v>5267</v>
      </c>
      <c r="B345" s="354">
        <v>442000</v>
      </c>
      <c r="C345" s="18" t="s">
        <v>296</v>
      </c>
      <c r="D345" s="18"/>
      <c r="E345" s="19">
        <f>SUM(E346:E355)</f>
        <v>0</v>
      </c>
      <c r="F345" s="19"/>
      <c r="G345" s="19">
        <f t="shared" si="90"/>
        <v>0</v>
      </c>
      <c r="H345" s="19"/>
      <c r="I345" s="19">
        <f t="shared" ref="I345:Q345" si="104">SUM(I346:I355)</f>
        <v>0</v>
      </c>
      <c r="J345" s="19">
        <f t="shared" si="104"/>
        <v>0</v>
      </c>
      <c r="K345" s="19"/>
      <c r="L345" s="19">
        <f t="shared" si="104"/>
        <v>0</v>
      </c>
      <c r="M345" s="19"/>
      <c r="N345" s="19">
        <f t="shared" si="104"/>
        <v>0</v>
      </c>
      <c r="O345" s="19">
        <f t="shared" si="104"/>
        <v>0</v>
      </c>
      <c r="P345" s="19"/>
      <c r="Q345" s="366">
        <f t="shared" si="104"/>
        <v>0</v>
      </c>
      <c r="R345" s="64"/>
      <c r="S345" s="367"/>
      <c r="T345" s="64"/>
      <c r="U345" s="64"/>
      <c r="V345" s="64"/>
      <c r="W345" s="64"/>
      <c r="X345" s="64"/>
      <c r="Y345" s="64"/>
    </row>
    <row r="346" spans="1:25" ht="51.75" hidden="1" x14ac:dyDescent="0.25">
      <c r="A346" s="45">
        <v>5268</v>
      </c>
      <c r="B346" s="23">
        <v>442100</v>
      </c>
      <c r="C346" s="9" t="s">
        <v>297</v>
      </c>
      <c r="D346" s="9"/>
      <c r="E346" s="36"/>
      <c r="F346" s="36"/>
      <c r="G346" s="37">
        <f t="shared" si="90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82"/>
      <c r="R346" s="47"/>
      <c r="S346" s="383"/>
      <c r="T346" s="47"/>
      <c r="U346" s="47"/>
      <c r="V346" s="47"/>
      <c r="W346" s="47"/>
      <c r="X346" s="47"/>
      <c r="Y346" s="47"/>
    </row>
    <row r="347" spans="1:25" hidden="1" x14ac:dyDescent="0.25">
      <c r="A347" s="45">
        <v>5269</v>
      </c>
      <c r="B347" s="23">
        <v>442200</v>
      </c>
      <c r="C347" s="9" t="s">
        <v>298</v>
      </c>
      <c r="D347" s="9"/>
      <c r="E347" s="36"/>
      <c r="F347" s="36"/>
      <c r="G347" s="37">
        <f t="shared" si="90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82"/>
      <c r="R347" s="47"/>
      <c r="S347" s="383"/>
      <c r="T347" s="47"/>
      <c r="U347" s="47"/>
      <c r="V347" s="47"/>
      <c r="W347" s="47"/>
      <c r="X347" s="47"/>
      <c r="Y347" s="47"/>
    </row>
    <row r="348" spans="1:25" ht="26.25" hidden="1" x14ac:dyDescent="0.25">
      <c r="A348" s="45">
        <v>5270</v>
      </c>
      <c r="B348" s="23">
        <v>442300</v>
      </c>
      <c r="C348" s="9" t="s">
        <v>299</v>
      </c>
      <c r="D348" s="9"/>
      <c r="E348" s="36"/>
      <c r="F348" s="36"/>
      <c r="G348" s="37">
        <f t="shared" si="90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82"/>
      <c r="R348" s="47"/>
      <c r="S348" s="383"/>
      <c r="T348" s="47"/>
      <c r="U348" s="47"/>
      <c r="V348" s="47"/>
      <c r="W348" s="47"/>
      <c r="X348" s="47"/>
      <c r="Y348" s="47"/>
    </row>
    <row r="349" spans="1:25" ht="26.25" hidden="1" x14ac:dyDescent="0.25">
      <c r="A349" s="45">
        <v>5271</v>
      </c>
      <c r="B349" s="23">
        <v>442400</v>
      </c>
      <c r="C349" s="9" t="s">
        <v>300</v>
      </c>
      <c r="D349" s="9"/>
      <c r="E349" s="36"/>
      <c r="F349" s="36"/>
      <c r="G349" s="37">
        <f t="shared" si="90"/>
        <v>0</v>
      </c>
      <c r="H349" s="37"/>
      <c r="I349" s="36"/>
      <c r="J349" s="36"/>
      <c r="K349" s="36"/>
      <c r="L349" s="36"/>
      <c r="M349" s="36"/>
      <c r="N349" s="36"/>
      <c r="O349" s="36"/>
      <c r="P349" s="36"/>
      <c r="Q349" s="382"/>
      <c r="R349" s="47"/>
      <c r="S349" s="383"/>
      <c r="T349" s="47"/>
      <c r="U349" s="47"/>
      <c r="V349" s="47"/>
      <c r="W349" s="47"/>
      <c r="X349" s="47"/>
      <c r="Y349" s="47"/>
    </row>
    <row r="350" spans="1:25" hidden="1" x14ac:dyDescent="0.25">
      <c r="A350" s="542" t="s">
        <v>0</v>
      </c>
      <c r="B350" s="543" t="s">
        <v>1</v>
      </c>
      <c r="C350" s="542" t="s">
        <v>2</v>
      </c>
      <c r="D350" s="360"/>
      <c r="E350" s="542" t="s">
        <v>217</v>
      </c>
      <c r="F350" s="360"/>
      <c r="G350" s="544" t="s">
        <v>198</v>
      </c>
      <c r="H350" s="544"/>
      <c r="I350" s="545"/>
      <c r="J350" s="545"/>
      <c r="K350" s="545"/>
      <c r="L350" s="545"/>
      <c r="M350" s="545"/>
      <c r="N350" s="545"/>
      <c r="O350" s="545"/>
      <c r="P350" s="545"/>
      <c r="Q350" s="545"/>
      <c r="R350" s="365"/>
      <c r="S350" s="365"/>
      <c r="T350" s="365"/>
      <c r="U350" s="365"/>
      <c r="V350" s="365"/>
      <c r="W350" s="365"/>
      <c r="X350" s="365"/>
      <c r="Y350" s="365"/>
    </row>
    <row r="351" spans="1:25" hidden="1" x14ac:dyDescent="0.25">
      <c r="A351" s="542"/>
      <c r="B351" s="543"/>
      <c r="C351" s="542"/>
      <c r="D351" s="360"/>
      <c r="E351" s="542"/>
      <c r="F351" s="360"/>
      <c r="G351" s="544" t="s">
        <v>199</v>
      </c>
      <c r="H351" s="354"/>
      <c r="I351" s="544" t="s">
        <v>200</v>
      </c>
      <c r="J351" s="545"/>
      <c r="K351" s="545"/>
      <c r="L351" s="545"/>
      <c r="M351" s="545"/>
      <c r="N351" s="545"/>
      <c r="O351" s="544" t="s">
        <v>7</v>
      </c>
      <c r="P351" s="354"/>
      <c r="Q351" s="534" t="s">
        <v>8</v>
      </c>
      <c r="R351" s="61"/>
      <c r="S351" s="61"/>
      <c r="T351" s="61"/>
      <c r="U351" s="61"/>
      <c r="V351" s="61"/>
      <c r="W351" s="61"/>
      <c r="X351" s="61"/>
      <c r="Y351" s="61"/>
    </row>
    <row r="352" spans="1:25" ht="166.5" hidden="1" x14ac:dyDescent="0.25">
      <c r="A352" s="542"/>
      <c r="B352" s="543"/>
      <c r="C352" s="542"/>
      <c r="D352" s="360"/>
      <c r="E352" s="542"/>
      <c r="F352" s="360"/>
      <c r="G352" s="545"/>
      <c r="H352" s="362"/>
      <c r="I352" s="354" t="s">
        <v>201</v>
      </c>
      <c r="J352" s="354" t="s">
        <v>10</v>
      </c>
      <c r="K352" s="354"/>
      <c r="L352" s="354" t="s">
        <v>11</v>
      </c>
      <c r="M352" s="354"/>
      <c r="N352" s="354" t="s">
        <v>12</v>
      </c>
      <c r="O352" s="545"/>
      <c r="P352" s="362"/>
      <c r="Q352" s="741"/>
      <c r="R352" s="365"/>
      <c r="S352" s="364"/>
      <c r="T352" s="61"/>
      <c r="U352" s="365"/>
      <c r="V352" s="365"/>
      <c r="W352" s="365"/>
      <c r="X352" s="365"/>
      <c r="Y352" s="365"/>
    </row>
    <row r="353" spans="1:25" ht="26.25" hidden="1" x14ac:dyDescent="0.25">
      <c r="A353" s="359" t="s">
        <v>18</v>
      </c>
      <c r="B353" s="359" t="s">
        <v>19</v>
      </c>
      <c r="C353" s="359" t="s">
        <v>20</v>
      </c>
      <c r="D353" s="359"/>
      <c r="E353" s="359" t="s">
        <v>21</v>
      </c>
      <c r="F353" s="359"/>
      <c r="G353" s="359" t="s">
        <v>22</v>
      </c>
      <c r="H353" s="359"/>
      <c r="I353" s="359" t="s">
        <v>23</v>
      </c>
      <c r="J353" s="359" t="s">
        <v>24</v>
      </c>
      <c r="K353" s="359"/>
      <c r="L353" s="359" t="s">
        <v>25</v>
      </c>
      <c r="M353" s="359"/>
      <c r="N353" s="359" t="s">
        <v>26</v>
      </c>
      <c r="O353" s="359" t="s">
        <v>27</v>
      </c>
      <c r="P353" s="359"/>
      <c r="Q353" s="379" t="s">
        <v>28</v>
      </c>
      <c r="R353" s="380"/>
      <c r="S353" s="381"/>
      <c r="T353" s="380"/>
      <c r="U353" s="380"/>
      <c r="V353" s="380"/>
      <c r="W353" s="380"/>
      <c r="X353" s="380"/>
      <c r="Y353" s="380"/>
    </row>
    <row r="354" spans="1:25" ht="26.25" hidden="1" x14ac:dyDescent="0.25">
      <c r="A354" s="45">
        <v>5272</v>
      </c>
      <c r="B354" s="23">
        <v>442500</v>
      </c>
      <c r="C354" s="9" t="s">
        <v>301</v>
      </c>
      <c r="D354" s="9"/>
      <c r="E354" s="36"/>
      <c r="F354" s="36"/>
      <c r="G354" s="37">
        <f t="shared" si="90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82"/>
      <c r="R354" s="47"/>
      <c r="S354" s="383"/>
      <c r="T354" s="47"/>
      <c r="U354" s="47"/>
      <c r="V354" s="47"/>
      <c r="W354" s="47"/>
      <c r="X354" s="47"/>
      <c r="Y354" s="47"/>
    </row>
    <row r="355" spans="1:25" ht="26.25" hidden="1" x14ac:dyDescent="0.25">
      <c r="A355" s="45">
        <v>5273</v>
      </c>
      <c r="B355" s="23">
        <v>442600</v>
      </c>
      <c r="C355" s="9" t="s">
        <v>302</v>
      </c>
      <c r="D355" s="9"/>
      <c r="E355" s="36"/>
      <c r="F355" s="36"/>
      <c r="G355" s="37">
        <f t="shared" si="90"/>
        <v>0</v>
      </c>
      <c r="H355" s="37"/>
      <c r="I355" s="36"/>
      <c r="J355" s="36"/>
      <c r="K355" s="36"/>
      <c r="L355" s="36"/>
      <c r="M355" s="36"/>
      <c r="N355" s="36"/>
      <c r="O355" s="36"/>
      <c r="P355" s="36"/>
      <c r="Q355" s="382"/>
      <c r="R355" s="47"/>
      <c r="S355" s="383"/>
      <c r="T355" s="47"/>
      <c r="U355" s="47"/>
      <c r="V355" s="47"/>
      <c r="W355" s="47"/>
      <c r="X355" s="47"/>
      <c r="Y355" s="47"/>
    </row>
    <row r="356" spans="1:25" ht="26.25" hidden="1" x14ac:dyDescent="0.25">
      <c r="A356" s="361">
        <v>5274</v>
      </c>
      <c r="B356" s="354">
        <v>443000</v>
      </c>
      <c r="C356" s="18" t="s">
        <v>303</v>
      </c>
      <c r="D356" s="18"/>
      <c r="E356" s="19">
        <f>E357</f>
        <v>0</v>
      </c>
      <c r="F356" s="19"/>
      <c r="G356" s="19">
        <f t="shared" si="90"/>
        <v>0</v>
      </c>
      <c r="H356" s="19"/>
      <c r="I356" s="19">
        <f t="shared" ref="I356:Q356" si="105">I357</f>
        <v>0</v>
      </c>
      <c r="J356" s="19">
        <f t="shared" si="105"/>
        <v>0</v>
      </c>
      <c r="K356" s="19"/>
      <c r="L356" s="19">
        <f t="shared" si="105"/>
        <v>0</v>
      </c>
      <c r="M356" s="19"/>
      <c r="N356" s="19">
        <f t="shared" si="105"/>
        <v>0</v>
      </c>
      <c r="O356" s="19">
        <f t="shared" si="105"/>
        <v>0</v>
      </c>
      <c r="P356" s="19"/>
      <c r="Q356" s="366">
        <f t="shared" si="105"/>
        <v>0</v>
      </c>
      <c r="R356" s="64"/>
      <c r="S356" s="367"/>
      <c r="T356" s="64"/>
      <c r="U356" s="64"/>
      <c r="V356" s="64"/>
      <c r="W356" s="64"/>
      <c r="X356" s="64"/>
      <c r="Y356" s="64"/>
    </row>
    <row r="357" spans="1:25" hidden="1" x14ac:dyDescent="0.25">
      <c r="A357" s="45">
        <v>5275</v>
      </c>
      <c r="B357" s="23">
        <v>443100</v>
      </c>
      <c r="C357" s="9" t="s">
        <v>304</v>
      </c>
      <c r="D357" s="9"/>
      <c r="E357" s="36"/>
      <c r="F357" s="36"/>
      <c r="G357" s="37">
        <f t="shared" si="90"/>
        <v>0</v>
      </c>
      <c r="H357" s="37"/>
      <c r="I357" s="36"/>
      <c r="J357" s="36"/>
      <c r="K357" s="36"/>
      <c r="L357" s="36"/>
      <c r="M357" s="36"/>
      <c r="N357" s="36"/>
      <c r="O357" s="36"/>
      <c r="P357" s="36"/>
      <c r="Q357" s="382"/>
      <c r="R357" s="47"/>
      <c r="S357" s="383"/>
      <c r="T357" s="47"/>
      <c r="U357" s="47"/>
      <c r="V357" s="47"/>
      <c r="W357" s="47"/>
      <c r="X357" s="47"/>
      <c r="Y357" s="47"/>
    </row>
    <row r="358" spans="1:25" ht="39" hidden="1" x14ac:dyDescent="0.25">
      <c r="A358" s="361">
        <v>5276</v>
      </c>
      <c r="B358" s="354">
        <v>444000</v>
      </c>
      <c r="C358" s="18" t="s">
        <v>305</v>
      </c>
      <c r="D358" s="18"/>
      <c r="E358" s="19">
        <f>SUM(E359:E361)</f>
        <v>0</v>
      </c>
      <c r="F358" s="19"/>
      <c r="G358" s="19">
        <f t="shared" si="90"/>
        <v>0</v>
      </c>
      <c r="H358" s="19"/>
      <c r="I358" s="19">
        <f t="shared" ref="I358:Q358" si="106">SUM(I359:I361)</f>
        <v>0</v>
      </c>
      <c r="J358" s="19">
        <f t="shared" si="106"/>
        <v>0</v>
      </c>
      <c r="K358" s="19"/>
      <c r="L358" s="19">
        <f t="shared" si="106"/>
        <v>0</v>
      </c>
      <c r="M358" s="19"/>
      <c r="N358" s="19">
        <f t="shared" si="106"/>
        <v>0</v>
      </c>
      <c r="O358" s="19">
        <f t="shared" si="106"/>
        <v>0</v>
      </c>
      <c r="P358" s="19"/>
      <c r="Q358" s="366">
        <f t="shared" si="106"/>
        <v>0</v>
      </c>
      <c r="R358" s="64"/>
      <c r="S358" s="367"/>
      <c r="T358" s="64"/>
      <c r="U358" s="64"/>
      <c r="V358" s="64"/>
      <c r="W358" s="64"/>
      <c r="X358" s="64"/>
      <c r="Y358" s="64"/>
    </row>
    <row r="359" spans="1:25" hidden="1" x14ac:dyDescent="0.25">
      <c r="A359" s="45">
        <v>5277</v>
      </c>
      <c r="B359" s="23">
        <v>444100</v>
      </c>
      <c r="C359" s="9" t="s">
        <v>306</v>
      </c>
      <c r="D359" s="9"/>
      <c r="E359" s="36"/>
      <c r="F359" s="36"/>
      <c r="G359" s="37">
        <f t="shared" si="90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82"/>
      <c r="R359" s="47"/>
      <c r="S359" s="383"/>
      <c r="T359" s="47"/>
      <c r="U359" s="47"/>
      <c r="V359" s="47"/>
      <c r="W359" s="47"/>
      <c r="X359" s="47"/>
      <c r="Y359" s="47"/>
    </row>
    <row r="360" spans="1:25" hidden="1" x14ac:dyDescent="0.25">
      <c r="A360" s="45">
        <v>5278</v>
      </c>
      <c r="B360" s="23">
        <v>444200</v>
      </c>
      <c r="C360" s="9" t="s">
        <v>307</v>
      </c>
      <c r="D360" s="9"/>
      <c r="E360" s="36"/>
      <c r="F360" s="36"/>
      <c r="G360" s="37">
        <f t="shared" si="90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82"/>
      <c r="R360" s="47"/>
      <c r="S360" s="383"/>
      <c r="T360" s="47"/>
      <c r="U360" s="47"/>
      <c r="V360" s="47"/>
      <c r="W360" s="47"/>
      <c r="X360" s="47"/>
      <c r="Y360" s="47"/>
    </row>
    <row r="361" spans="1:25" ht="26.25" hidden="1" x14ac:dyDescent="0.25">
      <c r="A361" s="45">
        <v>5279</v>
      </c>
      <c r="B361" s="23">
        <v>444300</v>
      </c>
      <c r="C361" s="9" t="s">
        <v>308</v>
      </c>
      <c r="D361" s="9"/>
      <c r="E361" s="36"/>
      <c r="F361" s="36"/>
      <c r="G361" s="37">
        <f t="shared" si="90"/>
        <v>0</v>
      </c>
      <c r="H361" s="37"/>
      <c r="I361" s="36"/>
      <c r="J361" s="36"/>
      <c r="K361" s="36"/>
      <c r="L361" s="36"/>
      <c r="M361" s="36"/>
      <c r="N361" s="36"/>
      <c r="O361" s="36"/>
      <c r="P361" s="36"/>
      <c r="Q361" s="382"/>
      <c r="R361" s="47"/>
      <c r="S361" s="383"/>
      <c r="T361" s="47"/>
      <c r="U361" s="47"/>
      <c r="V361" s="47"/>
      <c r="W361" s="47"/>
      <c r="X361" s="47"/>
      <c r="Y361" s="47"/>
    </row>
    <row r="362" spans="1:25" ht="26.25" hidden="1" x14ac:dyDescent="0.25">
      <c r="A362" s="361">
        <v>5280</v>
      </c>
      <c r="B362" s="354">
        <v>450000</v>
      </c>
      <c r="C362" s="18" t="s">
        <v>309</v>
      </c>
      <c r="D362" s="18"/>
      <c r="E362" s="19">
        <f>E363+E366+E369+E372</f>
        <v>0</v>
      </c>
      <c r="F362" s="19"/>
      <c r="G362" s="19">
        <f t="shared" si="90"/>
        <v>0</v>
      </c>
      <c r="H362" s="19"/>
      <c r="I362" s="19">
        <f t="shared" ref="I362:Q362" si="107">I363+I366+I369+I372</f>
        <v>0</v>
      </c>
      <c r="J362" s="19">
        <f t="shared" si="107"/>
        <v>0</v>
      </c>
      <c r="K362" s="19"/>
      <c r="L362" s="19">
        <f t="shared" si="107"/>
        <v>0</v>
      </c>
      <c r="M362" s="19"/>
      <c r="N362" s="19">
        <f t="shared" si="107"/>
        <v>0</v>
      </c>
      <c r="O362" s="19">
        <f t="shared" si="107"/>
        <v>0</v>
      </c>
      <c r="P362" s="19"/>
      <c r="Q362" s="366">
        <f t="shared" si="107"/>
        <v>0</v>
      </c>
      <c r="R362" s="64"/>
      <c r="S362" s="367"/>
      <c r="T362" s="64"/>
      <c r="U362" s="64"/>
      <c r="V362" s="64"/>
      <c r="W362" s="64"/>
      <c r="X362" s="64"/>
      <c r="Y362" s="64"/>
    </row>
    <row r="363" spans="1:25" ht="64.5" hidden="1" x14ac:dyDescent="0.25">
      <c r="A363" s="361">
        <v>5281</v>
      </c>
      <c r="B363" s="354">
        <v>451000</v>
      </c>
      <c r="C363" s="18" t="s">
        <v>310</v>
      </c>
      <c r="D363" s="18"/>
      <c r="E363" s="19">
        <f>E364+E365</f>
        <v>0</v>
      </c>
      <c r="F363" s="19"/>
      <c r="G363" s="19">
        <f t="shared" si="90"/>
        <v>0</v>
      </c>
      <c r="H363" s="19"/>
      <c r="I363" s="19">
        <f t="shared" ref="I363:Q363" si="108">I364+I365</f>
        <v>0</v>
      </c>
      <c r="J363" s="19">
        <f t="shared" si="108"/>
        <v>0</v>
      </c>
      <c r="K363" s="19"/>
      <c r="L363" s="19">
        <f t="shared" si="108"/>
        <v>0</v>
      </c>
      <c r="M363" s="19"/>
      <c r="N363" s="19">
        <f t="shared" si="108"/>
        <v>0</v>
      </c>
      <c r="O363" s="19">
        <f t="shared" si="108"/>
        <v>0</v>
      </c>
      <c r="P363" s="19"/>
      <c r="Q363" s="366">
        <f t="shared" si="108"/>
        <v>0</v>
      </c>
      <c r="R363" s="64"/>
      <c r="S363" s="367"/>
      <c r="T363" s="64"/>
      <c r="U363" s="64"/>
      <c r="V363" s="64"/>
      <c r="W363" s="64"/>
      <c r="X363" s="64"/>
      <c r="Y363" s="64"/>
    </row>
    <row r="364" spans="1:25" ht="39" hidden="1" x14ac:dyDescent="0.25">
      <c r="A364" s="45">
        <v>5282</v>
      </c>
      <c r="B364" s="23">
        <v>451100</v>
      </c>
      <c r="C364" s="9" t="s">
        <v>311</v>
      </c>
      <c r="D364" s="9"/>
      <c r="E364" s="36"/>
      <c r="F364" s="36"/>
      <c r="G364" s="37">
        <f t="shared" si="90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82"/>
      <c r="R364" s="47"/>
      <c r="S364" s="383"/>
      <c r="T364" s="47"/>
      <c r="U364" s="47"/>
      <c r="V364" s="47"/>
      <c r="W364" s="47"/>
      <c r="X364" s="47"/>
      <c r="Y364" s="47"/>
    </row>
    <row r="365" spans="1:25" ht="39" hidden="1" x14ac:dyDescent="0.25">
      <c r="A365" s="45">
        <v>5283</v>
      </c>
      <c r="B365" s="23">
        <v>451200</v>
      </c>
      <c r="C365" s="9" t="s">
        <v>312</v>
      </c>
      <c r="D365" s="9"/>
      <c r="E365" s="36"/>
      <c r="F365" s="36"/>
      <c r="G365" s="37">
        <f t="shared" si="90"/>
        <v>0</v>
      </c>
      <c r="H365" s="37"/>
      <c r="I365" s="36"/>
      <c r="J365" s="36"/>
      <c r="K365" s="36"/>
      <c r="L365" s="36"/>
      <c r="M365" s="36"/>
      <c r="N365" s="36"/>
      <c r="O365" s="36"/>
      <c r="P365" s="36"/>
      <c r="Q365" s="382"/>
      <c r="R365" s="47"/>
      <c r="S365" s="383"/>
      <c r="T365" s="47"/>
      <c r="U365" s="47"/>
      <c r="V365" s="47"/>
      <c r="W365" s="47"/>
      <c r="X365" s="47"/>
      <c r="Y365" s="47"/>
    </row>
    <row r="366" spans="1:25" ht="51.75" hidden="1" x14ac:dyDescent="0.25">
      <c r="A366" s="361">
        <v>5284</v>
      </c>
      <c r="B366" s="354">
        <v>452000</v>
      </c>
      <c r="C366" s="18" t="s">
        <v>313</v>
      </c>
      <c r="D366" s="18"/>
      <c r="E366" s="19">
        <f>E367+E368</f>
        <v>0</v>
      </c>
      <c r="F366" s="19"/>
      <c r="G366" s="19">
        <f t="shared" si="90"/>
        <v>0</v>
      </c>
      <c r="H366" s="19"/>
      <c r="I366" s="19">
        <f t="shared" ref="I366:Q366" si="109">I367+I368</f>
        <v>0</v>
      </c>
      <c r="J366" s="19">
        <f t="shared" si="109"/>
        <v>0</v>
      </c>
      <c r="K366" s="19"/>
      <c r="L366" s="19">
        <f t="shared" si="109"/>
        <v>0</v>
      </c>
      <c r="M366" s="19"/>
      <c r="N366" s="19">
        <f t="shared" si="109"/>
        <v>0</v>
      </c>
      <c r="O366" s="19">
        <f t="shared" si="109"/>
        <v>0</v>
      </c>
      <c r="P366" s="19"/>
      <c r="Q366" s="366">
        <f t="shared" si="109"/>
        <v>0</v>
      </c>
      <c r="R366" s="64"/>
      <c r="S366" s="367"/>
      <c r="T366" s="64"/>
      <c r="U366" s="64"/>
      <c r="V366" s="64"/>
      <c r="W366" s="64"/>
      <c r="X366" s="64"/>
      <c r="Y366" s="64"/>
    </row>
    <row r="367" spans="1:25" ht="26.25" hidden="1" x14ac:dyDescent="0.25">
      <c r="A367" s="45">
        <v>5285</v>
      </c>
      <c r="B367" s="23">
        <v>452100</v>
      </c>
      <c r="C367" s="9" t="s">
        <v>314</v>
      </c>
      <c r="D367" s="9"/>
      <c r="E367" s="36"/>
      <c r="F367" s="36"/>
      <c r="G367" s="37">
        <f t="shared" si="90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82"/>
      <c r="R367" s="47"/>
      <c r="S367" s="383"/>
      <c r="T367" s="47"/>
      <c r="U367" s="47"/>
      <c r="V367" s="47"/>
      <c r="W367" s="47"/>
      <c r="X367" s="47"/>
      <c r="Y367" s="47"/>
    </row>
    <row r="368" spans="1:25" ht="26.25" hidden="1" x14ac:dyDescent="0.25">
      <c r="A368" s="45">
        <v>5286</v>
      </c>
      <c r="B368" s="23">
        <v>452200</v>
      </c>
      <c r="C368" s="9" t="s">
        <v>315</v>
      </c>
      <c r="D368" s="9"/>
      <c r="E368" s="36"/>
      <c r="F368" s="36"/>
      <c r="G368" s="37">
        <f t="shared" si="90"/>
        <v>0</v>
      </c>
      <c r="H368" s="37"/>
      <c r="I368" s="36"/>
      <c r="J368" s="36"/>
      <c r="K368" s="36"/>
      <c r="L368" s="36"/>
      <c r="M368" s="36"/>
      <c r="N368" s="36"/>
      <c r="O368" s="36"/>
      <c r="P368" s="36"/>
      <c r="Q368" s="382"/>
      <c r="R368" s="47"/>
      <c r="S368" s="383"/>
      <c r="T368" s="47"/>
      <c r="U368" s="47"/>
      <c r="V368" s="47"/>
      <c r="W368" s="47"/>
      <c r="X368" s="47"/>
      <c r="Y368" s="47"/>
    </row>
    <row r="369" spans="1:25" ht="51.75" hidden="1" x14ac:dyDescent="0.25">
      <c r="A369" s="361">
        <v>5287</v>
      </c>
      <c r="B369" s="354">
        <v>453000</v>
      </c>
      <c r="C369" s="18" t="s">
        <v>316</v>
      </c>
      <c r="D369" s="18"/>
      <c r="E369" s="19">
        <f>E370+E371</f>
        <v>0</v>
      </c>
      <c r="F369" s="19"/>
      <c r="G369" s="19">
        <f t="shared" si="90"/>
        <v>0</v>
      </c>
      <c r="H369" s="19"/>
      <c r="I369" s="19">
        <f t="shared" ref="I369:Q369" si="110">I370+I371</f>
        <v>0</v>
      </c>
      <c r="J369" s="19">
        <f t="shared" si="110"/>
        <v>0</v>
      </c>
      <c r="K369" s="19"/>
      <c r="L369" s="19">
        <f t="shared" si="110"/>
        <v>0</v>
      </c>
      <c r="M369" s="19"/>
      <c r="N369" s="19">
        <f t="shared" si="110"/>
        <v>0</v>
      </c>
      <c r="O369" s="19">
        <f t="shared" si="110"/>
        <v>0</v>
      </c>
      <c r="P369" s="19"/>
      <c r="Q369" s="366">
        <f t="shared" si="110"/>
        <v>0</v>
      </c>
      <c r="R369" s="64"/>
      <c r="S369" s="367"/>
      <c r="T369" s="64"/>
      <c r="U369" s="64"/>
      <c r="V369" s="64"/>
      <c r="W369" s="64"/>
      <c r="X369" s="64"/>
      <c r="Y369" s="64"/>
    </row>
    <row r="370" spans="1:25" ht="26.25" hidden="1" x14ac:dyDescent="0.25">
      <c r="A370" s="45">
        <v>5288</v>
      </c>
      <c r="B370" s="23">
        <v>453100</v>
      </c>
      <c r="C370" s="9" t="s">
        <v>317</v>
      </c>
      <c r="D370" s="9"/>
      <c r="E370" s="36"/>
      <c r="F370" s="36"/>
      <c r="G370" s="37">
        <f t="shared" si="90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82"/>
      <c r="R370" s="47"/>
      <c r="S370" s="383"/>
      <c r="T370" s="47"/>
      <c r="U370" s="47"/>
      <c r="V370" s="47"/>
      <c r="W370" s="47"/>
      <c r="X370" s="47"/>
      <c r="Y370" s="47"/>
    </row>
    <row r="371" spans="1:25" ht="26.25" hidden="1" x14ac:dyDescent="0.25">
      <c r="A371" s="45">
        <v>5289</v>
      </c>
      <c r="B371" s="23">
        <v>453200</v>
      </c>
      <c r="C371" s="9" t="s">
        <v>318</v>
      </c>
      <c r="D371" s="9"/>
      <c r="E371" s="36"/>
      <c r="F371" s="36"/>
      <c r="G371" s="37">
        <f t="shared" si="90"/>
        <v>0</v>
      </c>
      <c r="H371" s="37"/>
      <c r="I371" s="36"/>
      <c r="J371" s="36"/>
      <c r="K371" s="36"/>
      <c r="L371" s="36"/>
      <c r="M371" s="36"/>
      <c r="N371" s="36"/>
      <c r="O371" s="36"/>
      <c r="P371" s="36"/>
      <c r="Q371" s="382"/>
      <c r="R371" s="47"/>
      <c r="S371" s="383"/>
      <c r="T371" s="47"/>
      <c r="U371" s="47"/>
      <c r="V371" s="47"/>
      <c r="W371" s="47"/>
      <c r="X371" s="47"/>
      <c r="Y371" s="47"/>
    </row>
    <row r="372" spans="1:25" ht="26.25" hidden="1" x14ac:dyDescent="0.25">
      <c r="A372" s="361">
        <v>5290</v>
      </c>
      <c r="B372" s="354">
        <v>454000</v>
      </c>
      <c r="C372" s="18" t="s">
        <v>319</v>
      </c>
      <c r="D372" s="18"/>
      <c r="E372" s="19">
        <f>E373+E374</f>
        <v>0</v>
      </c>
      <c r="F372" s="19"/>
      <c r="G372" s="19">
        <f t="shared" si="90"/>
        <v>0</v>
      </c>
      <c r="H372" s="19"/>
      <c r="I372" s="19">
        <f t="shared" ref="I372:Q372" si="111">I373+I374</f>
        <v>0</v>
      </c>
      <c r="J372" s="19">
        <f t="shared" si="111"/>
        <v>0</v>
      </c>
      <c r="K372" s="19"/>
      <c r="L372" s="19">
        <f t="shared" si="111"/>
        <v>0</v>
      </c>
      <c r="M372" s="19"/>
      <c r="N372" s="19">
        <f t="shared" si="111"/>
        <v>0</v>
      </c>
      <c r="O372" s="19">
        <f t="shared" si="111"/>
        <v>0</v>
      </c>
      <c r="P372" s="19"/>
      <c r="Q372" s="366">
        <f t="shared" si="111"/>
        <v>0</v>
      </c>
      <c r="R372" s="64"/>
      <c r="S372" s="367"/>
      <c r="T372" s="64"/>
      <c r="U372" s="64"/>
      <c r="V372" s="64"/>
      <c r="W372" s="64"/>
      <c r="X372" s="64"/>
      <c r="Y372" s="64"/>
    </row>
    <row r="373" spans="1:25" ht="26.25" hidden="1" x14ac:dyDescent="0.25">
      <c r="A373" s="45">
        <v>5291</v>
      </c>
      <c r="B373" s="23">
        <v>454100</v>
      </c>
      <c r="C373" s="9" t="s">
        <v>320</v>
      </c>
      <c r="D373" s="9"/>
      <c r="E373" s="36"/>
      <c r="F373" s="36"/>
      <c r="G373" s="37">
        <f t="shared" si="90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82"/>
      <c r="R373" s="47"/>
      <c r="S373" s="383"/>
      <c r="T373" s="47"/>
      <c r="U373" s="47"/>
      <c r="V373" s="47"/>
      <c r="W373" s="47"/>
      <c r="X373" s="47"/>
      <c r="Y373" s="47"/>
    </row>
    <row r="374" spans="1:25" ht="26.25" hidden="1" x14ac:dyDescent="0.25">
      <c r="A374" s="45">
        <v>5292</v>
      </c>
      <c r="B374" s="23">
        <v>454200</v>
      </c>
      <c r="C374" s="9" t="s">
        <v>321</v>
      </c>
      <c r="D374" s="9"/>
      <c r="E374" s="36"/>
      <c r="F374" s="36"/>
      <c r="G374" s="37">
        <f t="shared" si="90"/>
        <v>0</v>
      </c>
      <c r="H374" s="37"/>
      <c r="I374" s="36"/>
      <c r="J374" s="36"/>
      <c r="K374" s="36"/>
      <c r="L374" s="36"/>
      <c r="M374" s="36"/>
      <c r="N374" s="36"/>
      <c r="O374" s="36"/>
      <c r="P374" s="36"/>
      <c r="Q374" s="382"/>
      <c r="R374" s="47"/>
      <c r="S374" s="383"/>
      <c r="T374" s="47"/>
      <c r="U374" s="47"/>
      <c r="V374" s="47"/>
      <c r="W374" s="47"/>
      <c r="X374" s="47"/>
      <c r="Y374" s="47"/>
    </row>
    <row r="375" spans="1:25" ht="39" x14ac:dyDescent="0.25">
      <c r="A375" s="361">
        <v>5293</v>
      </c>
      <c r="B375" s="354">
        <v>460000</v>
      </c>
      <c r="C375" s="18" t="s">
        <v>322</v>
      </c>
      <c r="D375" s="18"/>
      <c r="E375" s="19">
        <f>E380+E383+E386+E389+E392</f>
        <v>7410</v>
      </c>
      <c r="F375" s="19">
        <f t="shared" ref="F375:S375" si="112">F380+F383+F386+F389+F392</f>
        <v>10080</v>
      </c>
      <c r="G375" s="19">
        <f t="shared" si="112"/>
        <v>7410</v>
      </c>
      <c r="H375" s="37">
        <f t="shared" si="112"/>
        <v>0</v>
      </c>
      <c r="I375" s="19">
        <f t="shared" si="112"/>
        <v>0</v>
      </c>
      <c r="J375" s="19">
        <f t="shared" si="112"/>
        <v>0</v>
      </c>
      <c r="K375" s="19">
        <f t="shared" si="112"/>
        <v>0</v>
      </c>
      <c r="L375" s="19">
        <f t="shared" si="112"/>
        <v>0</v>
      </c>
      <c r="M375" s="19">
        <f t="shared" si="112"/>
        <v>10080</v>
      </c>
      <c r="N375" s="19">
        <f t="shared" si="112"/>
        <v>7410</v>
      </c>
      <c r="O375" s="19">
        <f t="shared" si="112"/>
        <v>0</v>
      </c>
      <c r="P375" s="19">
        <f t="shared" si="112"/>
        <v>0</v>
      </c>
      <c r="Q375" s="366">
        <f t="shared" si="112"/>
        <v>0</v>
      </c>
      <c r="R375" s="64"/>
      <c r="S375" s="367">
        <f t="shared" si="112"/>
        <v>10080</v>
      </c>
      <c r="T375" s="64"/>
      <c r="U375" s="64"/>
      <c r="V375" s="64"/>
      <c r="W375" s="64"/>
      <c r="X375" s="64"/>
      <c r="Y375" s="64"/>
    </row>
    <row r="376" spans="1:25" hidden="1" x14ac:dyDescent="0.25">
      <c r="A376" s="542" t="s">
        <v>0</v>
      </c>
      <c r="B376" s="543" t="s">
        <v>1</v>
      </c>
      <c r="C376" s="542" t="s">
        <v>2</v>
      </c>
      <c r="D376" s="360"/>
      <c r="E376" s="542" t="s">
        <v>217</v>
      </c>
      <c r="F376" s="360"/>
      <c r="G376" s="544" t="s">
        <v>198</v>
      </c>
      <c r="H376" s="544"/>
      <c r="I376" s="545"/>
      <c r="J376" s="545"/>
      <c r="K376" s="545"/>
      <c r="L376" s="545"/>
      <c r="M376" s="545"/>
      <c r="N376" s="545"/>
      <c r="O376" s="545"/>
      <c r="P376" s="545"/>
      <c r="Q376" s="545"/>
      <c r="R376" s="365"/>
      <c r="S376" s="365"/>
      <c r="T376" s="365"/>
      <c r="U376" s="365"/>
      <c r="V376" s="365"/>
      <c r="W376" s="365"/>
      <c r="X376" s="365"/>
      <c r="Y376" s="365"/>
    </row>
    <row r="377" spans="1:25" hidden="1" x14ac:dyDescent="0.25">
      <c r="A377" s="542"/>
      <c r="B377" s="543"/>
      <c r="C377" s="542"/>
      <c r="D377" s="360"/>
      <c r="E377" s="542"/>
      <c r="F377" s="360"/>
      <c r="G377" s="544" t="s">
        <v>199</v>
      </c>
      <c r="H377" s="354"/>
      <c r="I377" s="544" t="s">
        <v>200</v>
      </c>
      <c r="J377" s="545"/>
      <c r="K377" s="545"/>
      <c r="L377" s="545"/>
      <c r="M377" s="545"/>
      <c r="N377" s="545"/>
      <c r="O377" s="544" t="s">
        <v>7</v>
      </c>
      <c r="P377" s="354"/>
      <c r="Q377" s="534" t="s">
        <v>8</v>
      </c>
      <c r="R377" s="61"/>
      <c r="S377" s="61"/>
      <c r="T377" s="61"/>
      <c r="U377" s="61"/>
      <c r="V377" s="61"/>
      <c r="W377" s="61"/>
      <c r="X377" s="61"/>
      <c r="Y377" s="61"/>
    </row>
    <row r="378" spans="1:25" ht="166.5" hidden="1" x14ac:dyDescent="0.25">
      <c r="A378" s="542"/>
      <c r="B378" s="543"/>
      <c r="C378" s="542"/>
      <c r="D378" s="360"/>
      <c r="E378" s="542"/>
      <c r="F378" s="360"/>
      <c r="G378" s="545"/>
      <c r="H378" s="362"/>
      <c r="I378" s="354" t="s">
        <v>201</v>
      </c>
      <c r="J378" s="354" t="s">
        <v>10</v>
      </c>
      <c r="K378" s="354"/>
      <c r="L378" s="354" t="s">
        <v>11</v>
      </c>
      <c r="M378" s="354"/>
      <c r="N378" s="354" t="s">
        <v>12</v>
      </c>
      <c r="O378" s="545"/>
      <c r="P378" s="362"/>
      <c r="Q378" s="741"/>
      <c r="R378" s="365"/>
      <c r="S378" s="364"/>
      <c r="T378" s="61"/>
      <c r="U378" s="365"/>
      <c r="V378" s="365"/>
      <c r="W378" s="365"/>
      <c r="X378" s="365"/>
      <c r="Y378" s="365"/>
    </row>
    <row r="379" spans="1:25" ht="26.25" hidden="1" x14ac:dyDescent="0.25">
      <c r="A379" s="359" t="s">
        <v>18</v>
      </c>
      <c r="B379" s="359" t="s">
        <v>19</v>
      </c>
      <c r="C379" s="359" t="s">
        <v>20</v>
      </c>
      <c r="D379" s="359"/>
      <c r="E379" s="359" t="s">
        <v>21</v>
      </c>
      <c r="F379" s="359"/>
      <c r="G379" s="359" t="s">
        <v>22</v>
      </c>
      <c r="H379" s="359"/>
      <c r="I379" s="359" t="s">
        <v>23</v>
      </c>
      <c r="J379" s="359" t="s">
        <v>24</v>
      </c>
      <c r="K379" s="359"/>
      <c r="L379" s="359" t="s">
        <v>25</v>
      </c>
      <c r="M379" s="359"/>
      <c r="N379" s="359" t="s">
        <v>26</v>
      </c>
      <c r="O379" s="359" t="s">
        <v>27</v>
      </c>
      <c r="P379" s="359"/>
      <c r="Q379" s="379" t="s">
        <v>28</v>
      </c>
      <c r="R379" s="380"/>
      <c r="S379" s="381"/>
      <c r="T379" s="380"/>
      <c r="U379" s="380"/>
      <c r="V379" s="380"/>
      <c r="W379" s="380"/>
      <c r="X379" s="380"/>
      <c r="Y379" s="380"/>
    </row>
    <row r="380" spans="1:25" ht="26.25" hidden="1" x14ac:dyDescent="0.25">
      <c r="A380" s="361">
        <v>5294</v>
      </c>
      <c r="B380" s="354">
        <v>461000</v>
      </c>
      <c r="C380" s="18" t="s">
        <v>323</v>
      </c>
      <c r="D380" s="18"/>
      <c r="E380" s="19">
        <f>E381+E382</f>
        <v>0</v>
      </c>
      <c r="F380" s="19"/>
      <c r="G380" s="19">
        <f t="shared" si="90"/>
        <v>0</v>
      </c>
      <c r="H380" s="19"/>
      <c r="I380" s="19">
        <f t="shared" ref="I380:Q380" si="113">I381+I382</f>
        <v>0</v>
      </c>
      <c r="J380" s="19">
        <f t="shared" si="113"/>
        <v>0</v>
      </c>
      <c r="K380" s="19"/>
      <c r="L380" s="19">
        <f t="shared" si="113"/>
        <v>0</v>
      </c>
      <c r="M380" s="19"/>
      <c r="N380" s="19">
        <f t="shared" si="113"/>
        <v>0</v>
      </c>
      <c r="O380" s="19">
        <f t="shared" si="113"/>
        <v>0</v>
      </c>
      <c r="P380" s="19"/>
      <c r="Q380" s="366">
        <f t="shared" si="113"/>
        <v>0</v>
      </c>
      <c r="R380" s="64"/>
      <c r="S380" s="367"/>
      <c r="T380" s="64"/>
      <c r="U380" s="64"/>
      <c r="V380" s="64"/>
      <c r="W380" s="64"/>
      <c r="X380" s="64"/>
      <c r="Y380" s="64"/>
    </row>
    <row r="381" spans="1:25" ht="26.25" hidden="1" x14ac:dyDescent="0.25">
      <c r="A381" s="45">
        <v>5295</v>
      </c>
      <c r="B381" s="23">
        <v>461100</v>
      </c>
      <c r="C381" s="9" t="s">
        <v>324</v>
      </c>
      <c r="D381" s="9"/>
      <c r="E381" s="36"/>
      <c r="F381" s="36"/>
      <c r="G381" s="37">
        <f t="shared" si="90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82"/>
      <c r="R381" s="47"/>
      <c r="S381" s="383"/>
      <c r="T381" s="47"/>
      <c r="U381" s="47"/>
      <c r="V381" s="47"/>
      <c r="W381" s="47"/>
      <c r="X381" s="47"/>
      <c r="Y381" s="47"/>
    </row>
    <row r="382" spans="1:25" ht="26.25" hidden="1" x14ac:dyDescent="0.25">
      <c r="A382" s="45">
        <v>5296</v>
      </c>
      <c r="B382" s="23">
        <v>461200</v>
      </c>
      <c r="C382" s="9" t="s">
        <v>325</v>
      </c>
      <c r="D382" s="9"/>
      <c r="E382" s="36"/>
      <c r="F382" s="36"/>
      <c r="G382" s="37">
        <f t="shared" si="90"/>
        <v>0</v>
      </c>
      <c r="H382" s="37"/>
      <c r="I382" s="36"/>
      <c r="J382" s="36"/>
      <c r="K382" s="36"/>
      <c r="L382" s="36"/>
      <c r="M382" s="36"/>
      <c r="N382" s="36"/>
      <c r="O382" s="36"/>
      <c r="P382" s="36"/>
      <c r="Q382" s="382"/>
      <c r="R382" s="47"/>
      <c r="S382" s="383"/>
      <c r="T382" s="47"/>
      <c r="U382" s="47"/>
      <c r="V382" s="47"/>
      <c r="W382" s="47"/>
      <c r="X382" s="47"/>
      <c r="Y382" s="47"/>
    </row>
    <row r="383" spans="1:25" ht="39" hidden="1" x14ac:dyDescent="0.25">
      <c r="A383" s="361">
        <v>5297</v>
      </c>
      <c r="B383" s="354">
        <v>462000</v>
      </c>
      <c r="C383" s="18" t="s">
        <v>326</v>
      </c>
      <c r="D383" s="18"/>
      <c r="E383" s="19">
        <f>E384+E385</f>
        <v>0</v>
      </c>
      <c r="F383" s="19"/>
      <c r="G383" s="19">
        <f t="shared" si="90"/>
        <v>0</v>
      </c>
      <c r="H383" s="19"/>
      <c r="I383" s="19">
        <f t="shared" ref="I383:Q383" si="114">I384+I385</f>
        <v>0</v>
      </c>
      <c r="J383" s="19">
        <f t="shared" si="114"/>
        <v>0</v>
      </c>
      <c r="K383" s="19"/>
      <c r="L383" s="19">
        <f t="shared" si="114"/>
        <v>0</v>
      </c>
      <c r="M383" s="19"/>
      <c r="N383" s="19">
        <f t="shared" si="114"/>
        <v>0</v>
      </c>
      <c r="O383" s="19">
        <f t="shared" si="114"/>
        <v>0</v>
      </c>
      <c r="P383" s="19"/>
      <c r="Q383" s="366">
        <f t="shared" si="114"/>
        <v>0</v>
      </c>
      <c r="R383" s="64"/>
      <c r="S383" s="367"/>
      <c r="T383" s="64"/>
      <c r="U383" s="64"/>
      <c r="V383" s="64"/>
      <c r="W383" s="64"/>
      <c r="X383" s="64"/>
      <c r="Y383" s="64"/>
    </row>
    <row r="384" spans="1:25" ht="26.25" hidden="1" x14ac:dyDescent="0.25">
      <c r="A384" s="45">
        <v>5298</v>
      </c>
      <c r="B384" s="23">
        <v>462100</v>
      </c>
      <c r="C384" s="9" t="s">
        <v>327</v>
      </c>
      <c r="D384" s="9"/>
      <c r="E384" s="36"/>
      <c r="F384" s="36"/>
      <c r="G384" s="37">
        <f t="shared" si="90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82"/>
      <c r="R384" s="47"/>
      <c r="S384" s="383"/>
      <c r="T384" s="47"/>
      <c r="U384" s="47"/>
      <c r="V384" s="47"/>
      <c r="W384" s="47"/>
      <c r="X384" s="47"/>
      <c r="Y384" s="47"/>
    </row>
    <row r="385" spans="1:25" ht="26.25" hidden="1" x14ac:dyDescent="0.25">
      <c r="A385" s="45">
        <v>5299</v>
      </c>
      <c r="B385" s="23">
        <v>462200</v>
      </c>
      <c r="C385" s="9" t="s">
        <v>328</v>
      </c>
      <c r="D385" s="9"/>
      <c r="E385" s="36"/>
      <c r="F385" s="36"/>
      <c r="G385" s="37">
        <f t="shared" si="90"/>
        <v>0</v>
      </c>
      <c r="H385" s="37"/>
      <c r="I385" s="36"/>
      <c r="J385" s="36"/>
      <c r="K385" s="36"/>
      <c r="L385" s="36"/>
      <c r="M385" s="36"/>
      <c r="N385" s="36"/>
      <c r="O385" s="36"/>
      <c r="P385" s="36"/>
      <c r="Q385" s="382"/>
      <c r="R385" s="47"/>
      <c r="S385" s="383"/>
      <c r="T385" s="47"/>
      <c r="U385" s="47"/>
      <c r="V385" s="47"/>
      <c r="W385" s="47"/>
      <c r="X385" s="47"/>
      <c r="Y385" s="47"/>
    </row>
    <row r="386" spans="1:25" ht="39" hidden="1" x14ac:dyDescent="0.25">
      <c r="A386" s="361">
        <v>5300</v>
      </c>
      <c r="B386" s="354">
        <v>463000</v>
      </c>
      <c r="C386" s="18" t="s">
        <v>329</v>
      </c>
      <c r="D386" s="18"/>
      <c r="E386" s="19">
        <f>E387+E388</f>
        <v>0</v>
      </c>
      <c r="F386" s="19"/>
      <c r="G386" s="19">
        <f t="shared" ref="G386:G458" si="115">SUM(I386:Q386)</f>
        <v>0</v>
      </c>
      <c r="H386" s="19"/>
      <c r="I386" s="19">
        <f t="shared" ref="I386:Q386" si="116">I387+I388</f>
        <v>0</v>
      </c>
      <c r="J386" s="19">
        <f t="shared" si="116"/>
        <v>0</v>
      </c>
      <c r="K386" s="19"/>
      <c r="L386" s="19">
        <f t="shared" si="116"/>
        <v>0</v>
      </c>
      <c r="M386" s="19"/>
      <c r="N386" s="19">
        <f t="shared" si="116"/>
        <v>0</v>
      </c>
      <c r="O386" s="19">
        <f t="shared" si="116"/>
        <v>0</v>
      </c>
      <c r="P386" s="19"/>
      <c r="Q386" s="366">
        <f t="shared" si="116"/>
        <v>0</v>
      </c>
      <c r="R386" s="64"/>
      <c r="S386" s="367"/>
      <c r="T386" s="64"/>
      <c r="U386" s="64"/>
      <c r="V386" s="64"/>
      <c r="W386" s="64"/>
      <c r="X386" s="64"/>
      <c r="Y386" s="64"/>
    </row>
    <row r="387" spans="1:25" ht="26.25" hidden="1" x14ac:dyDescent="0.25">
      <c r="A387" s="45">
        <v>5301</v>
      </c>
      <c r="B387" s="23">
        <v>463100</v>
      </c>
      <c r="C387" s="9" t="s">
        <v>330</v>
      </c>
      <c r="D387" s="9"/>
      <c r="E387" s="36"/>
      <c r="F387" s="36"/>
      <c r="G387" s="37">
        <f t="shared" si="115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82"/>
      <c r="R387" s="47"/>
      <c r="S387" s="383"/>
      <c r="T387" s="47"/>
      <c r="U387" s="47"/>
      <c r="V387" s="47"/>
      <c r="W387" s="47"/>
      <c r="X387" s="47"/>
      <c r="Y387" s="47"/>
    </row>
    <row r="388" spans="1:25" ht="26.25" hidden="1" x14ac:dyDescent="0.25">
      <c r="A388" s="45">
        <v>5302</v>
      </c>
      <c r="B388" s="23">
        <v>463200</v>
      </c>
      <c r="C388" s="9" t="s">
        <v>331</v>
      </c>
      <c r="D388" s="9"/>
      <c r="E388" s="36"/>
      <c r="F388" s="36"/>
      <c r="G388" s="37">
        <f t="shared" si="115"/>
        <v>0</v>
      </c>
      <c r="H388" s="37"/>
      <c r="I388" s="36"/>
      <c r="J388" s="36"/>
      <c r="K388" s="36"/>
      <c r="L388" s="36"/>
      <c r="M388" s="36"/>
      <c r="N388" s="36"/>
      <c r="O388" s="36"/>
      <c r="P388" s="36"/>
      <c r="Q388" s="382"/>
      <c r="R388" s="47"/>
      <c r="S388" s="383"/>
      <c r="T388" s="47"/>
      <c r="U388" s="47"/>
      <c r="V388" s="47"/>
      <c r="W388" s="47"/>
      <c r="X388" s="47"/>
      <c r="Y388" s="47"/>
    </row>
    <row r="389" spans="1:25" ht="51.75" hidden="1" x14ac:dyDescent="0.25">
      <c r="A389" s="361">
        <v>5303</v>
      </c>
      <c r="B389" s="354">
        <v>464000</v>
      </c>
      <c r="C389" s="18" t="s">
        <v>332</v>
      </c>
      <c r="D389" s="18"/>
      <c r="E389" s="19">
        <f>E390+E391</f>
        <v>0</v>
      </c>
      <c r="F389" s="19"/>
      <c r="G389" s="19">
        <f t="shared" si="115"/>
        <v>0</v>
      </c>
      <c r="H389" s="19"/>
      <c r="I389" s="19">
        <f t="shared" ref="I389:Q389" si="117">I390+I391</f>
        <v>0</v>
      </c>
      <c r="J389" s="19">
        <f t="shared" si="117"/>
        <v>0</v>
      </c>
      <c r="K389" s="19"/>
      <c r="L389" s="19">
        <f t="shared" si="117"/>
        <v>0</v>
      </c>
      <c r="M389" s="19"/>
      <c r="N389" s="19">
        <f t="shared" si="117"/>
        <v>0</v>
      </c>
      <c r="O389" s="19">
        <f t="shared" si="117"/>
        <v>0</v>
      </c>
      <c r="P389" s="19"/>
      <c r="Q389" s="366">
        <f t="shared" si="117"/>
        <v>0</v>
      </c>
      <c r="R389" s="64"/>
      <c r="S389" s="367"/>
      <c r="T389" s="64"/>
      <c r="U389" s="64"/>
      <c r="V389" s="64"/>
      <c r="W389" s="64"/>
      <c r="X389" s="64"/>
      <c r="Y389" s="64"/>
    </row>
    <row r="390" spans="1:25" ht="26.25" hidden="1" x14ac:dyDescent="0.25">
      <c r="A390" s="45">
        <v>5304</v>
      </c>
      <c r="B390" s="23">
        <v>464100</v>
      </c>
      <c r="C390" s="9" t="s">
        <v>333</v>
      </c>
      <c r="D390" s="9"/>
      <c r="E390" s="36"/>
      <c r="F390" s="36"/>
      <c r="G390" s="37">
        <f t="shared" si="115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82"/>
      <c r="R390" s="47"/>
      <c r="S390" s="383"/>
      <c r="T390" s="47"/>
      <c r="U390" s="47"/>
      <c r="V390" s="47"/>
      <c r="W390" s="47"/>
      <c r="X390" s="47"/>
      <c r="Y390" s="47"/>
    </row>
    <row r="391" spans="1:25" ht="39" hidden="1" x14ac:dyDescent="0.25">
      <c r="A391" s="45">
        <v>5305</v>
      </c>
      <c r="B391" s="23">
        <v>464200</v>
      </c>
      <c r="C391" s="9" t="s">
        <v>334</v>
      </c>
      <c r="D391" s="9"/>
      <c r="E391" s="36"/>
      <c r="F391" s="36"/>
      <c r="G391" s="37">
        <f t="shared" si="115"/>
        <v>0</v>
      </c>
      <c r="H391" s="37"/>
      <c r="I391" s="36"/>
      <c r="J391" s="36"/>
      <c r="K391" s="36"/>
      <c r="L391" s="36"/>
      <c r="M391" s="36"/>
      <c r="N391" s="36"/>
      <c r="O391" s="36"/>
      <c r="P391" s="36"/>
      <c r="Q391" s="382"/>
      <c r="R391" s="47"/>
      <c r="S391" s="383"/>
      <c r="T391" s="47"/>
      <c r="U391" s="47"/>
      <c r="V391" s="47"/>
      <c r="W391" s="47"/>
      <c r="X391" s="47"/>
      <c r="Y391" s="47"/>
    </row>
    <row r="392" spans="1:25" ht="26.25" x14ac:dyDescent="0.25">
      <c r="A392" s="361">
        <v>5306</v>
      </c>
      <c r="B392" s="354">
        <v>465000</v>
      </c>
      <c r="C392" s="18" t="s">
        <v>335</v>
      </c>
      <c r="D392" s="18"/>
      <c r="E392" s="19">
        <f>E393+E394</f>
        <v>7410</v>
      </c>
      <c r="F392" s="19">
        <f t="shared" ref="F392:S392" si="118">F393+F394</f>
        <v>10080</v>
      </c>
      <c r="G392" s="19">
        <f t="shared" si="118"/>
        <v>7410</v>
      </c>
      <c r="H392" s="19">
        <f t="shared" si="118"/>
        <v>0</v>
      </c>
      <c r="I392" s="19">
        <f t="shared" si="118"/>
        <v>0</v>
      </c>
      <c r="J392" s="19">
        <f t="shared" si="118"/>
        <v>0</v>
      </c>
      <c r="K392" s="19">
        <f t="shared" si="118"/>
        <v>0</v>
      </c>
      <c r="L392" s="19">
        <f t="shared" si="118"/>
        <v>0</v>
      </c>
      <c r="M392" s="19">
        <f t="shared" si="118"/>
        <v>10080</v>
      </c>
      <c r="N392" s="19">
        <f t="shared" si="118"/>
        <v>7410</v>
      </c>
      <c r="O392" s="19">
        <f t="shared" si="118"/>
        <v>0</v>
      </c>
      <c r="P392" s="19">
        <f t="shared" si="118"/>
        <v>0</v>
      </c>
      <c r="Q392" s="366">
        <f t="shared" si="118"/>
        <v>0</v>
      </c>
      <c r="R392" s="64"/>
      <c r="S392" s="367">
        <f t="shared" si="118"/>
        <v>10080</v>
      </c>
      <c r="T392" s="64"/>
      <c r="U392" s="64"/>
      <c r="V392" s="64"/>
      <c r="W392" s="64"/>
      <c r="X392" s="64"/>
      <c r="Y392" s="64"/>
    </row>
    <row r="393" spans="1:25" ht="26.25" x14ac:dyDescent="0.25">
      <c r="A393" s="45">
        <v>5307</v>
      </c>
      <c r="B393" s="23">
        <v>465100</v>
      </c>
      <c r="C393" s="9" t="s">
        <v>336</v>
      </c>
      <c r="D393" s="9"/>
      <c r="E393" s="36">
        <v>7410</v>
      </c>
      <c r="F393" s="36">
        <f>H393+K393+M393+P393</f>
        <v>10080</v>
      </c>
      <c r="G393" s="37">
        <f t="shared" ref="G393" si="119">SUM(I393:Q393)-K393-M393-P393</f>
        <v>7410</v>
      </c>
      <c r="H393" s="37"/>
      <c r="I393" s="36"/>
      <c r="J393" s="36"/>
      <c r="K393" s="36"/>
      <c r="L393" s="36"/>
      <c r="M393" s="36">
        <v>10080</v>
      </c>
      <c r="N393" s="36">
        <v>7410</v>
      </c>
      <c r="O393" s="36"/>
      <c r="P393" s="36"/>
      <c r="Q393" s="382"/>
      <c r="R393" s="47"/>
      <c r="S393" s="383">
        <v>10080</v>
      </c>
      <c r="T393" s="47"/>
      <c r="U393" s="47"/>
      <c r="V393" s="47"/>
      <c r="W393" s="47"/>
      <c r="X393" s="47"/>
      <c r="Y393" s="47"/>
    </row>
    <row r="394" spans="1:25" ht="26.25" hidden="1" x14ac:dyDescent="0.25">
      <c r="A394" s="45">
        <v>5308</v>
      </c>
      <c r="B394" s="23">
        <v>465200</v>
      </c>
      <c r="C394" s="9" t="s">
        <v>337</v>
      </c>
      <c r="D394" s="9"/>
      <c r="E394" s="36"/>
      <c r="F394" s="36"/>
      <c r="G394" s="37">
        <f t="shared" si="115"/>
        <v>0</v>
      </c>
      <c r="H394" s="37"/>
      <c r="I394" s="36"/>
      <c r="J394" s="36"/>
      <c r="K394" s="36"/>
      <c r="L394" s="36"/>
      <c r="M394" s="36"/>
      <c r="N394" s="36"/>
      <c r="O394" s="36"/>
      <c r="P394" s="36"/>
      <c r="Q394" s="382"/>
      <c r="R394" s="47"/>
      <c r="S394" s="383"/>
      <c r="T394" s="47"/>
      <c r="U394" s="47"/>
      <c r="V394" s="47"/>
      <c r="W394" s="47"/>
      <c r="X394" s="47"/>
      <c r="Y394" s="47"/>
    </row>
    <row r="395" spans="1:25" ht="39" hidden="1" x14ac:dyDescent="0.25">
      <c r="A395" s="361">
        <v>5309</v>
      </c>
      <c r="B395" s="354">
        <v>470000</v>
      </c>
      <c r="C395" s="18" t="s">
        <v>338</v>
      </c>
      <c r="D395" s="18"/>
      <c r="E395" s="19">
        <f>E396+E400</f>
        <v>0</v>
      </c>
      <c r="F395" s="19"/>
      <c r="G395" s="19">
        <f t="shared" si="115"/>
        <v>0</v>
      </c>
      <c r="H395" s="19"/>
      <c r="I395" s="19">
        <f t="shared" ref="I395:Q395" si="120">I396+I400</f>
        <v>0</v>
      </c>
      <c r="J395" s="19">
        <f t="shared" si="120"/>
        <v>0</v>
      </c>
      <c r="K395" s="19"/>
      <c r="L395" s="19">
        <f t="shared" si="120"/>
        <v>0</v>
      </c>
      <c r="M395" s="19"/>
      <c r="N395" s="19">
        <f t="shared" si="120"/>
        <v>0</v>
      </c>
      <c r="O395" s="19">
        <f t="shared" si="120"/>
        <v>0</v>
      </c>
      <c r="P395" s="19"/>
      <c r="Q395" s="366">
        <f t="shared" si="120"/>
        <v>0</v>
      </c>
      <c r="R395" s="64"/>
      <c r="S395" s="367"/>
      <c r="T395" s="64"/>
      <c r="U395" s="64"/>
      <c r="V395" s="64"/>
      <c r="W395" s="64"/>
      <c r="X395" s="64"/>
      <c r="Y395" s="64"/>
    </row>
    <row r="396" spans="1:25" ht="64.5" hidden="1" x14ac:dyDescent="0.25">
      <c r="A396" s="361">
        <v>5310</v>
      </c>
      <c r="B396" s="354">
        <v>471000</v>
      </c>
      <c r="C396" s="18" t="s">
        <v>339</v>
      </c>
      <c r="D396" s="18"/>
      <c r="E396" s="19">
        <f>SUM(E397:E399)</f>
        <v>0</v>
      </c>
      <c r="F396" s="19"/>
      <c r="G396" s="19">
        <f t="shared" si="115"/>
        <v>0</v>
      </c>
      <c r="H396" s="19"/>
      <c r="I396" s="19">
        <f t="shared" ref="I396:Q396" si="121">SUM(I397:I399)</f>
        <v>0</v>
      </c>
      <c r="J396" s="19">
        <f t="shared" si="121"/>
        <v>0</v>
      </c>
      <c r="K396" s="19"/>
      <c r="L396" s="19">
        <f t="shared" si="121"/>
        <v>0</v>
      </c>
      <c r="M396" s="19"/>
      <c r="N396" s="19">
        <f t="shared" si="121"/>
        <v>0</v>
      </c>
      <c r="O396" s="19">
        <f t="shared" si="121"/>
        <v>0</v>
      </c>
      <c r="P396" s="19"/>
      <c r="Q396" s="366">
        <f t="shared" si="121"/>
        <v>0</v>
      </c>
      <c r="R396" s="64"/>
      <c r="S396" s="367"/>
      <c r="T396" s="64"/>
      <c r="U396" s="64"/>
      <c r="V396" s="64"/>
      <c r="W396" s="64"/>
      <c r="X396" s="64"/>
      <c r="Y396" s="64"/>
    </row>
    <row r="397" spans="1:25" ht="39" hidden="1" x14ac:dyDescent="0.25">
      <c r="A397" s="45">
        <v>5311</v>
      </c>
      <c r="B397" s="23">
        <v>471100</v>
      </c>
      <c r="C397" s="9" t="s">
        <v>340</v>
      </c>
      <c r="D397" s="9"/>
      <c r="E397" s="36"/>
      <c r="F397" s="36"/>
      <c r="G397" s="37">
        <f t="shared" si="115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82"/>
      <c r="R397" s="47"/>
      <c r="S397" s="383"/>
      <c r="T397" s="47"/>
      <c r="U397" s="47"/>
      <c r="V397" s="47"/>
      <c r="W397" s="47"/>
      <c r="X397" s="47"/>
      <c r="Y397" s="47"/>
    </row>
    <row r="398" spans="1:25" ht="39" hidden="1" x14ac:dyDescent="0.25">
      <c r="A398" s="45">
        <v>5312</v>
      </c>
      <c r="B398" s="23">
        <v>471200</v>
      </c>
      <c r="C398" s="9" t="s">
        <v>341</v>
      </c>
      <c r="D398" s="9"/>
      <c r="E398" s="36"/>
      <c r="F398" s="36"/>
      <c r="G398" s="37">
        <f t="shared" si="115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82"/>
      <c r="R398" s="47"/>
      <c r="S398" s="383"/>
      <c r="T398" s="47"/>
      <c r="U398" s="47"/>
      <c r="V398" s="47"/>
      <c r="W398" s="47"/>
      <c r="X398" s="47"/>
      <c r="Y398" s="47"/>
    </row>
    <row r="399" spans="1:25" ht="51.75" hidden="1" x14ac:dyDescent="0.25">
      <c r="A399" s="45">
        <v>5313</v>
      </c>
      <c r="B399" s="23">
        <v>471900</v>
      </c>
      <c r="C399" s="9" t="s">
        <v>342</v>
      </c>
      <c r="D399" s="9"/>
      <c r="E399" s="36"/>
      <c r="F399" s="36"/>
      <c r="G399" s="37">
        <f t="shared" si="115"/>
        <v>0</v>
      </c>
      <c r="H399" s="37"/>
      <c r="I399" s="36"/>
      <c r="J399" s="36"/>
      <c r="K399" s="36"/>
      <c r="L399" s="36"/>
      <c r="M399" s="36"/>
      <c r="N399" s="36"/>
      <c r="O399" s="36"/>
      <c r="P399" s="36"/>
      <c r="Q399" s="382"/>
      <c r="R399" s="47"/>
      <c r="S399" s="383"/>
      <c r="T399" s="47"/>
      <c r="U399" s="47"/>
      <c r="V399" s="47"/>
      <c r="W399" s="47"/>
      <c r="X399" s="47"/>
      <c r="Y399" s="47"/>
    </row>
    <row r="400" spans="1:25" ht="39" hidden="1" x14ac:dyDescent="0.25">
      <c r="A400" s="361">
        <v>5314</v>
      </c>
      <c r="B400" s="354">
        <v>472000</v>
      </c>
      <c r="C400" s="18" t="s">
        <v>343</v>
      </c>
      <c r="D400" s="18"/>
      <c r="E400" s="19">
        <f>SUM(E405:E413)</f>
        <v>0</v>
      </c>
      <c r="F400" s="19"/>
      <c r="G400" s="19">
        <f t="shared" si="115"/>
        <v>0</v>
      </c>
      <c r="H400" s="19"/>
      <c r="I400" s="19">
        <f t="shared" ref="I400:Q400" si="122">SUM(I405:I413)</f>
        <v>0</v>
      </c>
      <c r="J400" s="19">
        <f t="shared" si="122"/>
        <v>0</v>
      </c>
      <c r="K400" s="19"/>
      <c r="L400" s="19">
        <f t="shared" si="122"/>
        <v>0</v>
      </c>
      <c r="M400" s="19"/>
      <c r="N400" s="19">
        <f t="shared" si="122"/>
        <v>0</v>
      </c>
      <c r="O400" s="19">
        <f t="shared" si="122"/>
        <v>0</v>
      </c>
      <c r="P400" s="19"/>
      <c r="Q400" s="366">
        <f t="shared" si="122"/>
        <v>0</v>
      </c>
      <c r="R400" s="64"/>
      <c r="S400" s="367"/>
      <c r="T400" s="64"/>
      <c r="U400" s="64"/>
      <c r="V400" s="64"/>
      <c r="W400" s="64"/>
      <c r="X400" s="64"/>
      <c r="Y400" s="64"/>
    </row>
    <row r="401" spans="1:25" hidden="1" x14ac:dyDescent="0.25">
      <c r="A401" s="542" t="s">
        <v>0</v>
      </c>
      <c r="B401" s="543" t="s">
        <v>1</v>
      </c>
      <c r="C401" s="542" t="s">
        <v>2</v>
      </c>
      <c r="D401" s="360"/>
      <c r="E401" s="542" t="s">
        <v>217</v>
      </c>
      <c r="F401" s="360"/>
      <c r="G401" s="544" t="s">
        <v>198</v>
      </c>
      <c r="H401" s="544"/>
      <c r="I401" s="545"/>
      <c r="J401" s="545"/>
      <c r="K401" s="545"/>
      <c r="L401" s="545"/>
      <c r="M401" s="545"/>
      <c r="N401" s="545"/>
      <c r="O401" s="545"/>
      <c r="P401" s="545"/>
      <c r="Q401" s="545"/>
      <c r="R401" s="365"/>
      <c r="S401" s="365"/>
      <c r="T401" s="365"/>
      <c r="U401" s="365"/>
      <c r="V401" s="365"/>
      <c r="W401" s="365"/>
      <c r="X401" s="365"/>
      <c r="Y401" s="365"/>
    </row>
    <row r="402" spans="1:25" hidden="1" x14ac:dyDescent="0.25">
      <c r="A402" s="542"/>
      <c r="B402" s="543"/>
      <c r="C402" s="542"/>
      <c r="D402" s="360"/>
      <c r="E402" s="542"/>
      <c r="F402" s="360"/>
      <c r="G402" s="544" t="s">
        <v>199</v>
      </c>
      <c r="H402" s="354"/>
      <c r="I402" s="544" t="s">
        <v>200</v>
      </c>
      <c r="J402" s="545"/>
      <c r="K402" s="545"/>
      <c r="L402" s="545"/>
      <c r="M402" s="545"/>
      <c r="N402" s="545"/>
      <c r="O402" s="544" t="s">
        <v>7</v>
      </c>
      <c r="P402" s="354"/>
      <c r="Q402" s="534" t="s">
        <v>8</v>
      </c>
      <c r="R402" s="61"/>
      <c r="S402" s="61"/>
      <c r="T402" s="61"/>
      <c r="U402" s="61"/>
      <c r="V402" s="61"/>
      <c r="W402" s="61"/>
      <c r="X402" s="61"/>
      <c r="Y402" s="61"/>
    </row>
    <row r="403" spans="1:25" ht="166.5" hidden="1" x14ac:dyDescent="0.25">
      <c r="A403" s="542"/>
      <c r="B403" s="543"/>
      <c r="C403" s="542"/>
      <c r="D403" s="360"/>
      <c r="E403" s="542"/>
      <c r="F403" s="360"/>
      <c r="G403" s="545"/>
      <c r="H403" s="362"/>
      <c r="I403" s="354" t="s">
        <v>201</v>
      </c>
      <c r="J403" s="354" t="s">
        <v>10</v>
      </c>
      <c r="K403" s="354"/>
      <c r="L403" s="354" t="s">
        <v>11</v>
      </c>
      <c r="M403" s="354"/>
      <c r="N403" s="354" t="s">
        <v>12</v>
      </c>
      <c r="O403" s="545"/>
      <c r="P403" s="362"/>
      <c r="Q403" s="741"/>
      <c r="R403" s="365"/>
      <c r="S403" s="364"/>
      <c r="T403" s="61"/>
      <c r="U403" s="365"/>
      <c r="V403" s="365"/>
      <c r="W403" s="365"/>
      <c r="X403" s="365"/>
      <c r="Y403" s="365"/>
    </row>
    <row r="404" spans="1:25" ht="26.25" hidden="1" x14ac:dyDescent="0.25">
      <c r="A404" s="359" t="s">
        <v>18</v>
      </c>
      <c r="B404" s="359" t="s">
        <v>19</v>
      </c>
      <c r="C404" s="359" t="s">
        <v>20</v>
      </c>
      <c r="D404" s="359"/>
      <c r="E404" s="359" t="s">
        <v>21</v>
      </c>
      <c r="F404" s="359"/>
      <c r="G404" s="359" t="s">
        <v>22</v>
      </c>
      <c r="H404" s="359"/>
      <c r="I404" s="359" t="s">
        <v>23</v>
      </c>
      <c r="J404" s="359" t="s">
        <v>24</v>
      </c>
      <c r="K404" s="359"/>
      <c r="L404" s="359" t="s">
        <v>25</v>
      </c>
      <c r="M404" s="359"/>
      <c r="N404" s="359" t="s">
        <v>26</v>
      </c>
      <c r="O404" s="359" t="s">
        <v>27</v>
      </c>
      <c r="P404" s="359"/>
      <c r="Q404" s="379" t="s">
        <v>28</v>
      </c>
      <c r="R404" s="380"/>
      <c r="S404" s="381"/>
      <c r="T404" s="380"/>
      <c r="U404" s="380"/>
      <c r="V404" s="380"/>
      <c r="W404" s="380"/>
      <c r="X404" s="380"/>
      <c r="Y404" s="380"/>
    </row>
    <row r="405" spans="1:25" ht="26.25" hidden="1" x14ac:dyDescent="0.25">
      <c r="A405" s="45">
        <v>5315</v>
      </c>
      <c r="B405" s="23">
        <v>472100</v>
      </c>
      <c r="C405" s="9" t="s">
        <v>344</v>
      </c>
      <c r="D405" s="9"/>
      <c r="E405" s="36"/>
      <c r="F405" s="36"/>
      <c r="G405" s="37">
        <f t="shared" si="115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82"/>
      <c r="R405" s="47"/>
      <c r="S405" s="383"/>
      <c r="T405" s="47"/>
      <c r="U405" s="47"/>
      <c r="V405" s="47"/>
      <c r="W405" s="47"/>
      <c r="X405" s="47"/>
      <c r="Y405" s="47"/>
    </row>
    <row r="406" spans="1:25" ht="26.25" hidden="1" x14ac:dyDescent="0.25">
      <c r="A406" s="45">
        <v>5316</v>
      </c>
      <c r="B406" s="23">
        <v>472200</v>
      </c>
      <c r="C406" s="9" t="s">
        <v>345</v>
      </c>
      <c r="D406" s="9"/>
      <c r="E406" s="36"/>
      <c r="F406" s="36"/>
      <c r="G406" s="37">
        <f t="shared" si="115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82"/>
      <c r="R406" s="47"/>
      <c r="S406" s="383"/>
      <c r="T406" s="47"/>
      <c r="U406" s="47"/>
      <c r="V406" s="47"/>
      <c r="W406" s="47"/>
      <c r="X406" s="47"/>
      <c r="Y406" s="47"/>
    </row>
    <row r="407" spans="1:25" ht="26.25" hidden="1" x14ac:dyDescent="0.25">
      <c r="A407" s="45">
        <v>5317</v>
      </c>
      <c r="B407" s="23">
        <v>472300</v>
      </c>
      <c r="C407" s="9" t="s">
        <v>346</v>
      </c>
      <c r="D407" s="9"/>
      <c r="E407" s="36"/>
      <c r="F407" s="36"/>
      <c r="G407" s="37">
        <f t="shared" si="115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82"/>
      <c r="R407" s="47"/>
      <c r="S407" s="383"/>
      <c r="T407" s="47"/>
      <c r="U407" s="47"/>
      <c r="V407" s="47"/>
      <c r="W407" s="47"/>
      <c r="X407" s="47"/>
      <c r="Y407" s="47"/>
    </row>
    <row r="408" spans="1:25" ht="26.25" hidden="1" x14ac:dyDescent="0.25">
      <c r="A408" s="45">
        <v>5318</v>
      </c>
      <c r="B408" s="23">
        <v>472400</v>
      </c>
      <c r="C408" s="9" t="s">
        <v>347</v>
      </c>
      <c r="D408" s="9"/>
      <c r="E408" s="36"/>
      <c r="F408" s="36"/>
      <c r="G408" s="37">
        <f t="shared" si="115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82"/>
      <c r="R408" s="47"/>
      <c r="S408" s="383"/>
      <c r="T408" s="47"/>
      <c r="U408" s="47"/>
      <c r="V408" s="47"/>
      <c r="W408" s="47"/>
      <c r="X408" s="47"/>
      <c r="Y408" s="47"/>
    </row>
    <row r="409" spans="1:25" ht="26.25" hidden="1" x14ac:dyDescent="0.25">
      <c r="A409" s="45">
        <v>5319</v>
      </c>
      <c r="B409" s="23">
        <v>472500</v>
      </c>
      <c r="C409" s="9" t="s">
        <v>348</v>
      </c>
      <c r="D409" s="9"/>
      <c r="E409" s="36"/>
      <c r="F409" s="36"/>
      <c r="G409" s="37">
        <f t="shared" si="115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82"/>
      <c r="R409" s="47"/>
      <c r="S409" s="383"/>
      <c r="T409" s="47"/>
      <c r="U409" s="47"/>
      <c r="V409" s="47"/>
      <c r="W409" s="47"/>
      <c r="X409" s="47"/>
      <c r="Y409" s="47"/>
    </row>
    <row r="410" spans="1:25" ht="26.25" hidden="1" x14ac:dyDescent="0.25">
      <c r="A410" s="45">
        <v>5320</v>
      </c>
      <c r="B410" s="23">
        <v>472600</v>
      </c>
      <c r="C410" s="9" t="s">
        <v>349</v>
      </c>
      <c r="D410" s="9"/>
      <c r="E410" s="36"/>
      <c r="F410" s="36"/>
      <c r="G410" s="37">
        <f t="shared" si="115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82"/>
      <c r="R410" s="47"/>
      <c r="S410" s="383"/>
      <c r="T410" s="47"/>
      <c r="U410" s="47"/>
      <c r="V410" s="47"/>
      <c r="W410" s="47"/>
      <c r="X410" s="47"/>
      <c r="Y410" s="47"/>
    </row>
    <row r="411" spans="1:25" ht="26.25" hidden="1" x14ac:dyDescent="0.25">
      <c r="A411" s="45">
        <v>5321</v>
      </c>
      <c r="B411" s="23">
        <v>472700</v>
      </c>
      <c r="C411" s="9" t="s">
        <v>350</v>
      </c>
      <c r="D411" s="9"/>
      <c r="E411" s="36"/>
      <c r="F411" s="36"/>
      <c r="G411" s="37">
        <f t="shared" si="115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82"/>
      <c r="R411" s="47"/>
      <c r="S411" s="383"/>
      <c r="T411" s="47"/>
      <c r="U411" s="47"/>
      <c r="V411" s="47"/>
      <c r="W411" s="47"/>
      <c r="X411" s="47"/>
      <c r="Y411" s="47"/>
    </row>
    <row r="412" spans="1:25" ht="26.25" hidden="1" x14ac:dyDescent="0.25">
      <c r="A412" s="45">
        <v>5322</v>
      </c>
      <c r="B412" s="23">
        <v>472800</v>
      </c>
      <c r="C412" s="9" t="s">
        <v>351</v>
      </c>
      <c r="D412" s="9"/>
      <c r="E412" s="36"/>
      <c r="F412" s="36"/>
      <c r="G412" s="37">
        <f t="shared" si="115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82"/>
      <c r="R412" s="47"/>
      <c r="S412" s="383"/>
      <c r="T412" s="47"/>
      <c r="U412" s="47"/>
      <c r="V412" s="47"/>
      <c r="W412" s="47"/>
      <c r="X412" s="47"/>
      <c r="Y412" s="47"/>
    </row>
    <row r="413" spans="1:25" hidden="1" x14ac:dyDescent="0.25">
      <c r="A413" s="45">
        <v>5323</v>
      </c>
      <c r="B413" s="23">
        <v>472900</v>
      </c>
      <c r="C413" s="9" t="s">
        <v>352</v>
      </c>
      <c r="D413" s="9"/>
      <c r="E413" s="36"/>
      <c r="F413" s="36"/>
      <c r="G413" s="37">
        <f t="shared" si="115"/>
        <v>0</v>
      </c>
      <c r="H413" s="37"/>
      <c r="I413" s="36"/>
      <c r="J413" s="36"/>
      <c r="K413" s="36"/>
      <c r="L413" s="36"/>
      <c r="M413" s="36"/>
      <c r="N413" s="36"/>
      <c r="O413" s="36"/>
      <c r="P413" s="36"/>
      <c r="Q413" s="382"/>
      <c r="R413" s="47"/>
      <c r="S413" s="383"/>
      <c r="T413" s="47"/>
      <c r="U413" s="47"/>
      <c r="V413" s="47"/>
      <c r="W413" s="47"/>
      <c r="X413" s="47"/>
      <c r="Y413" s="47"/>
    </row>
    <row r="414" spans="1:25" ht="39" x14ac:dyDescent="0.25">
      <c r="A414" s="361">
        <v>5324</v>
      </c>
      <c r="B414" s="354">
        <v>480000</v>
      </c>
      <c r="C414" s="18" t="s">
        <v>353</v>
      </c>
      <c r="D414" s="18"/>
      <c r="E414" s="19">
        <f>E415+E418+E422+E424+E427+E433</f>
        <v>125</v>
      </c>
      <c r="F414" s="19">
        <f t="shared" ref="F414:S414" si="123">F415+F418+F422+F424+F427+F433</f>
        <v>394</v>
      </c>
      <c r="G414" s="19">
        <f t="shared" si="123"/>
        <v>118</v>
      </c>
      <c r="H414" s="19">
        <f t="shared" si="123"/>
        <v>0</v>
      </c>
      <c r="I414" s="19">
        <f t="shared" si="123"/>
        <v>0</v>
      </c>
      <c r="J414" s="19">
        <f t="shared" si="123"/>
        <v>0</v>
      </c>
      <c r="K414" s="19">
        <f t="shared" si="123"/>
        <v>0</v>
      </c>
      <c r="L414" s="19">
        <f t="shared" si="123"/>
        <v>0</v>
      </c>
      <c r="M414" s="19">
        <f t="shared" si="123"/>
        <v>94</v>
      </c>
      <c r="N414" s="19">
        <f t="shared" si="123"/>
        <v>8</v>
      </c>
      <c r="O414" s="19">
        <f t="shared" si="123"/>
        <v>0</v>
      </c>
      <c r="P414" s="19">
        <f t="shared" si="123"/>
        <v>300</v>
      </c>
      <c r="Q414" s="366">
        <f t="shared" si="123"/>
        <v>100</v>
      </c>
      <c r="R414" s="64"/>
      <c r="S414" s="367">
        <f t="shared" si="123"/>
        <v>0</v>
      </c>
      <c r="T414" s="64"/>
      <c r="U414" s="64"/>
      <c r="V414" s="64"/>
      <c r="W414" s="64"/>
      <c r="X414" s="64"/>
      <c r="Y414" s="64"/>
    </row>
    <row r="415" spans="1:25" ht="39" x14ac:dyDescent="0.25">
      <c r="A415" s="361">
        <v>5325</v>
      </c>
      <c r="B415" s="354">
        <v>481000</v>
      </c>
      <c r="C415" s="18" t="s">
        <v>354</v>
      </c>
      <c r="D415" s="18"/>
      <c r="E415" s="19">
        <f>E416+E417</f>
        <v>35</v>
      </c>
      <c r="F415" s="19">
        <f t="shared" ref="F415:S415" si="124">F416+F417</f>
        <v>35</v>
      </c>
      <c r="G415" s="19">
        <f t="shared" si="124"/>
        <v>35</v>
      </c>
      <c r="H415" s="19">
        <f t="shared" si="124"/>
        <v>0</v>
      </c>
      <c r="I415" s="19">
        <f t="shared" si="124"/>
        <v>0</v>
      </c>
      <c r="J415" s="19">
        <f t="shared" si="124"/>
        <v>0</v>
      </c>
      <c r="K415" s="19">
        <f t="shared" si="124"/>
        <v>0</v>
      </c>
      <c r="L415" s="19">
        <f t="shared" si="124"/>
        <v>0</v>
      </c>
      <c r="M415" s="19">
        <f t="shared" si="124"/>
        <v>0</v>
      </c>
      <c r="N415" s="19">
        <f t="shared" si="124"/>
        <v>0</v>
      </c>
      <c r="O415" s="19">
        <f t="shared" si="124"/>
        <v>0</v>
      </c>
      <c r="P415" s="19">
        <f t="shared" si="124"/>
        <v>35</v>
      </c>
      <c r="Q415" s="366">
        <f t="shared" si="124"/>
        <v>35</v>
      </c>
      <c r="R415" s="64"/>
      <c r="S415" s="367">
        <f t="shared" si="124"/>
        <v>0</v>
      </c>
      <c r="T415" s="64"/>
      <c r="U415" s="64"/>
      <c r="V415" s="64"/>
      <c r="W415" s="64"/>
      <c r="X415" s="64"/>
      <c r="Y415" s="64"/>
    </row>
    <row r="416" spans="1:25" ht="39" hidden="1" x14ac:dyDescent="0.25">
      <c r="A416" s="45">
        <v>5326</v>
      </c>
      <c r="B416" s="23">
        <v>481100</v>
      </c>
      <c r="C416" s="9" t="s">
        <v>355</v>
      </c>
      <c r="D416" s="9"/>
      <c r="E416" s="36"/>
      <c r="F416" s="36"/>
      <c r="G416" s="37">
        <f t="shared" si="115"/>
        <v>0</v>
      </c>
      <c r="H416" s="37"/>
      <c r="I416" s="36"/>
      <c r="J416" s="36"/>
      <c r="K416" s="36"/>
      <c r="L416" s="36"/>
      <c r="M416" s="36"/>
      <c r="N416" s="36"/>
      <c r="O416" s="36"/>
      <c r="P416" s="36"/>
      <c r="Q416" s="382"/>
      <c r="R416" s="47"/>
      <c r="S416" s="383"/>
      <c r="T416" s="47"/>
      <c r="U416" s="47"/>
      <c r="V416" s="47"/>
      <c r="W416" s="47"/>
      <c r="X416" s="47"/>
      <c r="Y416" s="47"/>
    </row>
    <row r="417" spans="1:30" ht="26.25" x14ac:dyDescent="0.25">
      <c r="A417" s="45">
        <v>5327</v>
      </c>
      <c r="B417" s="23">
        <v>481900</v>
      </c>
      <c r="C417" s="9" t="s">
        <v>356</v>
      </c>
      <c r="D417" s="9"/>
      <c r="E417" s="36">
        <v>35</v>
      </c>
      <c r="F417" s="36">
        <f>H417+K417+M417+P417</f>
        <v>35</v>
      </c>
      <c r="G417" s="37">
        <f t="shared" ref="G417" si="125">SUM(I417:Q417)-K417-M417-P417</f>
        <v>35</v>
      </c>
      <c r="H417" s="37"/>
      <c r="I417" s="36"/>
      <c r="J417" s="36"/>
      <c r="K417" s="36"/>
      <c r="L417" s="36"/>
      <c r="M417" s="36"/>
      <c r="N417" s="36"/>
      <c r="O417" s="36"/>
      <c r="P417" s="36">
        <v>35</v>
      </c>
      <c r="Q417" s="382">
        <v>35</v>
      </c>
      <c r="R417" s="47"/>
      <c r="S417" s="383"/>
      <c r="T417" s="47"/>
      <c r="U417" s="47"/>
      <c r="V417" s="47"/>
      <c r="W417" s="47"/>
      <c r="X417" s="47"/>
      <c r="Y417" s="47"/>
    </row>
    <row r="418" spans="1:30" ht="39" x14ac:dyDescent="0.25">
      <c r="A418" s="361">
        <v>5328</v>
      </c>
      <c r="B418" s="354">
        <v>482000</v>
      </c>
      <c r="C418" s="18" t="s">
        <v>357</v>
      </c>
      <c r="D418" s="18"/>
      <c r="E418" s="19">
        <f>SUM(E419:E421)</f>
        <v>70</v>
      </c>
      <c r="F418" s="19">
        <f t="shared" ref="F418:S418" si="126">SUM(F419:F421)</f>
        <v>159</v>
      </c>
      <c r="G418" s="19">
        <f t="shared" si="126"/>
        <v>68</v>
      </c>
      <c r="H418" s="19">
        <f t="shared" si="126"/>
        <v>0</v>
      </c>
      <c r="I418" s="19">
        <f t="shared" si="126"/>
        <v>0</v>
      </c>
      <c r="J418" s="19">
        <f t="shared" si="126"/>
        <v>0</v>
      </c>
      <c r="K418" s="19">
        <f t="shared" si="126"/>
        <v>0</v>
      </c>
      <c r="L418" s="19">
        <f t="shared" si="126"/>
        <v>0</v>
      </c>
      <c r="M418" s="19">
        <f t="shared" si="126"/>
        <v>94</v>
      </c>
      <c r="N418" s="19">
        <f t="shared" si="126"/>
        <v>8</v>
      </c>
      <c r="O418" s="19">
        <f t="shared" si="126"/>
        <v>0</v>
      </c>
      <c r="P418" s="19">
        <f t="shared" si="126"/>
        <v>65</v>
      </c>
      <c r="Q418" s="366">
        <f t="shared" si="126"/>
        <v>50</v>
      </c>
      <c r="R418" s="64"/>
      <c r="S418" s="367">
        <f t="shared" si="126"/>
        <v>0</v>
      </c>
      <c r="T418" s="64"/>
      <c r="U418" s="64"/>
      <c r="V418" s="64"/>
      <c r="W418" s="64"/>
      <c r="X418" s="64"/>
      <c r="Y418" s="64"/>
    </row>
    <row r="419" spans="1:30" x14ac:dyDescent="0.25">
      <c r="A419" s="45">
        <v>5329</v>
      </c>
      <c r="B419" s="23">
        <v>482100</v>
      </c>
      <c r="C419" s="9" t="s">
        <v>358</v>
      </c>
      <c r="D419" s="9"/>
      <c r="E419" s="36">
        <v>20</v>
      </c>
      <c r="F419" s="36">
        <f>H419+K419+M419+P419</f>
        <v>80</v>
      </c>
      <c r="G419" s="37">
        <f t="shared" ref="G419:G420" si="127">SUM(I419:Q419)-K419-M419-P419</f>
        <v>17</v>
      </c>
      <c r="H419" s="37"/>
      <c r="I419" s="36"/>
      <c r="J419" s="36"/>
      <c r="K419" s="36"/>
      <c r="L419" s="36"/>
      <c r="M419" s="36">
        <v>50</v>
      </c>
      <c r="N419" s="36">
        <v>8</v>
      </c>
      <c r="O419" s="36"/>
      <c r="P419" s="36">
        <v>30</v>
      </c>
      <c r="Q419" s="382">
        <v>9</v>
      </c>
      <c r="R419" s="47"/>
      <c r="S419" s="383"/>
      <c r="T419" s="47"/>
      <c r="U419" s="47"/>
      <c r="V419" s="47"/>
      <c r="W419" s="47">
        <v>102</v>
      </c>
      <c r="X419" s="47"/>
      <c r="Y419" s="47"/>
    </row>
    <row r="420" spans="1:30" x14ac:dyDescent="0.25">
      <c r="A420" s="45">
        <v>5330</v>
      </c>
      <c r="B420" s="23">
        <v>482200</v>
      </c>
      <c r="C420" s="9" t="s">
        <v>359</v>
      </c>
      <c r="D420" s="9"/>
      <c r="E420" s="36">
        <v>50</v>
      </c>
      <c r="F420" s="36">
        <f>H420+K420+M420+P420</f>
        <v>69</v>
      </c>
      <c r="G420" s="37">
        <f t="shared" si="127"/>
        <v>41</v>
      </c>
      <c r="H420" s="37"/>
      <c r="I420" s="36"/>
      <c r="J420" s="36"/>
      <c r="K420" s="36"/>
      <c r="L420" s="36"/>
      <c r="M420" s="36">
        <f>5+39</f>
        <v>44</v>
      </c>
      <c r="N420" s="36"/>
      <c r="O420" s="36"/>
      <c r="P420" s="36">
        <v>25</v>
      </c>
      <c r="Q420" s="382">
        <v>41</v>
      </c>
      <c r="R420" s="47"/>
      <c r="S420" s="383"/>
      <c r="T420" s="47"/>
      <c r="U420" s="47"/>
      <c r="V420" s="47"/>
      <c r="W420" s="47">
        <f>32+12</f>
        <v>44</v>
      </c>
      <c r="X420" s="47"/>
      <c r="Y420" s="47"/>
      <c r="AD420" s="12" t="s">
        <v>539</v>
      </c>
    </row>
    <row r="421" spans="1:30" x14ac:dyDescent="0.25">
      <c r="A421" s="45">
        <v>5331</v>
      </c>
      <c r="B421" s="23">
        <v>482300</v>
      </c>
      <c r="C421" s="9" t="s">
        <v>360</v>
      </c>
      <c r="D421" s="9"/>
      <c r="E421" s="36"/>
      <c r="F421" s="36">
        <f>H421+K421+M421+P421</f>
        <v>10</v>
      </c>
      <c r="G421" s="37">
        <f t="shared" si="115"/>
        <v>10</v>
      </c>
      <c r="H421" s="37"/>
      <c r="I421" s="36"/>
      <c r="J421" s="36"/>
      <c r="K421" s="36"/>
      <c r="L421" s="36"/>
      <c r="M421" s="36"/>
      <c r="N421" s="36"/>
      <c r="O421" s="36"/>
      <c r="P421" s="36">
        <v>10</v>
      </c>
      <c r="Q421" s="382"/>
      <c r="R421" s="47"/>
      <c r="S421" s="383"/>
      <c r="T421" s="47"/>
      <c r="U421" s="47"/>
      <c r="V421" s="47"/>
      <c r="W421" s="47"/>
      <c r="X421" s="47"/>
      <c r="Y421" s="47"/>
    </row>
    <row r="422" spans="1:30" ht="26.25" x14ac:dyDescent="0.25">
      <c r="A422" s="361">
        <v>5332</v>
      </c>
      <c r="B422" s="354">
        <v>483000</v>
      </c>
      <c r="C422" s="18" t="s">
        <v>361</v>
      </c>
      <c r="D422" s="18"/>
      <c r="E422" s="19">
        <f>E423</f>
        <v>20</v>
      </c>
      <c r="F422" s="19">
        <f t="shared" ref="F422:S422" si="128">F423</f>
        <v>200</v>
      </c>
      <c r="G422" s="19">
        <f t="shared" si="128"/>
        <v>15</v>
      </c>
      <c r="H422" s="19">
        <f t="shared" si="128"/>
        <v>0</v>
      </c>
      <c r="I422" s="19">
        <f t="shared" si="128"/>
        <v>0</v>
      </c>
      <c r="J422" s="19">
        <f t="shared" si="128"/>
        <v>0</v>
      </c>
      <c r="K422" s="19">
        <f t="shared" si="128"/>
        <v>0</v>
      </c>
      <c r="L422" s="19">
        <f t="shared" si="128"/>
        <v>0</v>
      </c>
      <c r="M422" s="19">
        <f t="shared" si="128"/>
        <v>0</v>
      </c>
      <c r="N422" s="19">
        <f t="shared" si="128"/>
        <v>0</v>
      </c>
      <c r="O422" s="19">
        <f t="shared" si="128"/>
        <v>0</v>
      </c>
      <c r="P422" s="19">
        <f t="shared" si="128"/>
        <v>200</v>
      </c>
      <c r="Q422" s="366">
        <f t="shared" si="128"/>
        <v>15</v>
      </c>
      <c r="R422" s="64"/>
      <c r="S422" s="367">
        <f t="shared" si="128"/>
        <v>0</v>
      </c>
      <c r="T422" s="64"/>
      <c r="U422" s="64"/>
      <c r="V422" s="64"/>
      <c r="W422" s="64"/>
      <c r="X422" s="64"/>
      <c r="Y422" s="64"/>
    </row>
    <row r="423" spans="1:30" ht="26.25" x14ac:dyDescent="0.25">
      <c r="A423" s="45">
        <v>5333</v>
      </c>
      <c r="B423" s="23">
        <v>483100</v>
      </c>
      <c r="C423" s="9" t="s">
        <v>362</v>
      </c>
      <c r="D423" s="9"/>
      <c r="E423" s="36">
        <v>20</v>
      </c>
      <c r="F423" s="36">
        <f>H423+K423+M423+P423</f>
        <v>200</v>
      </c>
      <c r="G423" s="37">
        <f t="shared" ref="G423" si="129">SUM(I423:Q423)-K423-M423-P423</f>
        <v>15</v>
      </c>
      <c r="H423" s="37"/>
      <c r="I423" s="36"/>
      <c r="J423" s="36"/>
      <c r="K423" s="36"/>
      <c r="L423" s="36"/>
      <c r="M423" s="36"/>
      <c r="N423" s="36"/>
      <c r="O423" s="36"/>
      <c r="P423" s="36">
        <f>200</f>
        <v>200</v>
      </c>
      <c r="Q423" s="382">
        <v>15</v>
      </c>
      <c r="R423" s="47"/>
      <c r="S423" s="383"/>
      <c r="T423" s="47"/>
      <c r="U423" s="47"/>
      <c r="V423" s="47"/>
      <c r="W423" s="47"/>
      <c r="X423" s="47"/>
      <c r="Y423" s="47"/>
    </row>
    <row r="424" spans="1:30" ht="77.25" hidden="1" x14ac:dyDescent="0.25">
      <c r="A424" s="361">
        <v>5334</v>
      </c>
      <c r="B424" s="354">
        <v>484000</v>
      </c>
      <c r="C424" s="18" t="s">
        <v>363</v>
      </c>
      <c r="D424" s="18"/>
      <c r="E424" s="19">
        <f>E425+E426</f>
        <v>0</v>
      </c>
      <c r="F424" s="19"/>
      <c r="G424" s="19">
        <f t="shared" si="115"/>
        <v>0</v>
      </c>
      <c r="H424" s="19"/>
      <c r="I424" s="19">
        <f t="shared" ref="I424:Q424" si="130">I425+I426</f>
        <v>0</v>
      </c>
      <c r="J424" s="19">
        <f t="shared" si="130"/>
        <v>0</v>
      </c>
      <c r="K424" s="19"/>
      <c r="L424" s="19">
        <f t="shared" si="130"/>
        <v>0</v>
      </c>
      <c r="M424" s="19"/>
      <c r="N424" s="19">
        <f t="shared" si="130"/>
        <v>0</v>
      </c>
      <c r="O424" s="19">
        <f t="shared" si="130"/>
        <v>0</v>
      </c>
      <c r="P424" s="19"/>
      <c r="Q424" s="366">
        <f t="shared" si="130"/>
        <v>0</v>
      </c>
      <c r="R424" s="64"/>
      <c r="S424" s="367"/>
      <c r="T424" s="64"/>
      <c r="U424" s="64"/>
      <c r="V424" s="64"/>
      <c r="W424" s="64"/>
      <c r="X424" s="64"/>
      <c r="Y424" s="64"/>
    </row>
    <row r="425" spans="1:30" ht="39" hidden="1" x14ac:dyDescent="0.25">
      <c r="A425" s="45">
        <v>5335</v>
      </c>
      <c r="B425" s="23">
        <v>484100</v>
      </c>
      <c r="C425" s="9" t="s">
        <v>364</v>
      </c>
      <c r="D425" s="9"/>
      <c r="E425" s="36"/>
      <c r="F425" s="36"/>
      <c r="G425" s="37">
        <f t="shared" si="115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82"/>
      <c r="R425" s="47"/>
      <c r="S425" s="383"/>
      <c r="T425" s="47"/>
      <c r="U425" s="47"/>
      <c r="V425" s="47"/>
      <c r="W425" s="47"/>
      <c r="X425" s="47"/>
      <c r="Y425" s="47"/>
    </row>
    <row r="426" spans="1:30" hidden="1" x14ac:dyDescent="0.25">
      <c r="A426" s="45">
        <v>5336</v>
      </c>
      <c r="B426" s="23">
        <v>484200</v>
      </c>
      <c r="C426" s="9" t="s">
        <v>365</v>
      </c>
      <c r="D426" s="9"/>
      <c r="E426" s="36"/>
      <c r="F426" s="36"/>
      <c r="G426" s="37">
        <f t="shared" si="115"/>
        <v>0</v>
      </c>
      <c r="H426" s="37"/>
      <c r="I426" s="36"/>
      <c r="J426" s="36"/>
      <c r="K426" s="36"/>
      <c r="L426" s="36"/>
      <c r="M426" s="36"/>
      <c r="N426" s="36"/>
      <c r="O426" s="36"/>
      <c r="P426" s="36"/>
      <c r="Q426" s="382"/>
      <c r="R426" s="47"/>
      <c r="S426" s="383"/>
      <c r="T426" s="47"/>
      <c r="U426" s="47"/>
      <c r="V426" s="47"/>
      <c r="W426" s="47"/>
      <c r="X426" s="47"/>
      <c r="Y426" s="47"/>
    </row>
    <row r="427" spans="1:30" ht="51.75" hidden="1" x14ac:dyDescent="0.25">
      <c r="A427" s="361">
        <v>5337</v>
      </c>
      <c r="B427" s="354">
        <v>485000</v>
      </c>
      <c r="C427" s="18" t="s">
        <v>366</v>
      </c>
      <c r="D427" s="18"/>
      <c r="E427" s="19">
        <f>E428</f>
        <v>0</v>
      </c>
      <c r="F427" s="19"/>
      <c r="G427" s="19">
        <f t="shared" si="115"/>
        <v>0</v>
      </c>
      <c r="H427" s="19"/>
      <c r="I427" s="19">
        <f t="shared" ref="I427:Q427" si="131">I428</f>
        <v>0</v>
      </c>
      <c r="J427" s="19">
        <f t="shared" si="131"/>
        <v>0</v>
      </c>
      <c r="K427" s="19"/>
      <c r="L427" s="19">
        <f t="shared" si="131"/>
        <v>0</v>
      </c>
      <c r="M427" s="19"/>
      <c r="N427" s="19">
        <f t="shared" si="131"/>
        <v>0</v>
      </c>
      <c r="O427" s="19">
        <f t="shared" si="131"/>
        <v>0</v>
      </c>
      <c r="P427" s="19"/>
      <c r="Q427" s="366">
        <f t="shared" si="131"/>
        <v>0</v>
      </c>
      <c r="R427" s="64"/>
      <c r="S427" s="367"/>
      <c r="T427" s="64"/>
      <c r="U427" s="64"/>
      <c r="V427" s="64"/>
      <c r="W427" s="64"/>
      <c r="X427" s="64"/>
      <c r="Y427" s="64"/>
    </row>
    <row r="428" spans="1:30" ht="39" hidden="1" x14ac:dyDescent="0.25">
      <c r="A428" s="45">
        <v>5338</v>
      </c>
      <c r="B428" s="23">
        <v>485100</v>
      </c>
      <c r="C428" s="9" t="s">
        <v>367</v>
      </c>
      <c r="D428" s="9"/>
      <c r="E428" s="36"/>
      <c r="F428" s="36"/>
      <c r="G428" s="37">
        <f t="shared" si="115"/>
        <v>0</v>
      </c>
      <c r="H428" s="37"/>
      <c r="I428" s="36"/>
      <c r="J428" s="36"/>
      <c r="K428" s="36"/>
      <c r="L428" s="36"/>
      <c r="M428" s="36"/>
      <c r="N428" s="36"/>
      <c r="O428" s="36"/>
      <c r="P428" s="36"/>
      <c r="Q428" s="382"/>
      <c r="R428" s="47"/>
      <c r="S428" s="383"/>
      <c r="T428" s="47"/>
      <c r="U428" s="47"/>
      <c r="V428" s="47"/>
      <c r="W428" s="47"/>
      <c r="X428" s="47"/>
      <c r="Y428" s="47"/>
    </row>
    <row r="429" spans="1:30" hidden="1" x14ac:dyDescent="0.25">
      <c r="A429" s="542" t="s">
        <v>0</v>
      </c>
      <c r="B429" s="543" t="s">
        <v>1</v>
      </c>
      <c r="C429" s="542" t="s">
        <v>2</v>
      </c>
      <c r="D429" s="360"/>
      <c r="E429" s="542" t="s">
        <v>217</v>
      </c>
      <c r="F429" s="360"/>
      <c r="G429" s="544" t="s">
        <v>198</v>
      </c>
      <c r="H429" s="544"/>
      <c r="I429" s="545"/>
      <c r="J429" s="545"/>
      <c r="K429" s="545"/>
      <c r="L429" s="545"/>
      <c r="M429" s="545"/>
      <c r="N429" s="545"/>
      <c r="O429" s="545"/>
      <c r="P429" s="545"/>
      <c r="Q429" s="545"/>
      <c r="R429" s="365"/>
      <c r="S429" s="365"/>
      <c r="T429" s="365"/>
      <c r="U429" s="365"/>
      <c r="V429" s="365"/>
      <c r="W429" s="365"/>
      <c r="X429" s="365"/>
      <c r="Y429" s="365"/>
    </row>
    <row r="430" spans="1:30" hidden="1" x14ac:dyDescent="0.25">
      <c r="A430" s="542"/>
      <c r="B430" s="543"/>
      <c r="C430" s="542"/>
      <c r="D430" s="360"/>
      <c r="E430" s="542"/>
      <c r="F430" s="360"/>
      <c r="G430" s="544" t="s">
        <v>199</v>
      </c>
      <c r="H430" s="354"/>
      <c r="I430" s="544" t="s">
        <v>200</v>
      </c>
      <c r="J430" s="545"/>
      <c r="K430" s="545"/>
      <c r="L430" s="545"/>
      <c r="M430" s="545"/>
      <c r="N430" s="545"/>
      <c r="O430" s="544" t="s">
        <v>7</v>
      </c>
      <c r="P430" s="354"/>
      <c r="Q430" s="534" t="s">
        <v>8</v>
      </c>
      <c r="R430" s="61"/>
      <c r="S430" s="61"/>
      <c r="T430" s="61"/>
      <c r="U430" s="61"/>
      <c r="V430" s="61"/>
      <c r="W430" s="61"/>
      <c r="X430" s="61"/>
      <c r="Y430" s="61"/>
    </row>
    <row r="431" spans="1:30" ht="166.5" hidden="1" x14ac:dyDescent="0.25">
      <c r="A431" s="542"/>
      <c r="B431" s="543"/>
      <c r="C431" s="542"/>
      <c r="D431" s="360"/>
      <c r="E431" s="542"/>
      <c r="F431" s="360"/>
      <c r="G431" s="545"/>
      <c r="H431" s="362"/>
      <c r="I431" s="354" t="s">
        <v>201</v>
      </c>
      <c r="J431" s="354" t="s">
        <v>10</v>
      </c>
      <c r="K431" s="354"/>
      <c r="L431" s="354" t="s">
        <v>11</v>
      </c>
      <c r="M431" s="354"/>
      <c r="N431" s="354" t="s">
        <v>12</v>
      </c>
      <c r="O431" s="545"/>
      <c r="P431" s="362"/>
      <c r="Q431" s="741"/>
      <c r="R431" s="365"/>
      <c r="S431" s="364"/>
      <c r="T431" s="61"/>
      <c r="U431" s="365"/>
      <c r="V431" s="365"/>
      <c r="W431" s="365"/>
      <c r="X431" s="365"/>
      <c r="Y431" s="365"/>
    </row>
    <row r="432" spans="1:30" ht="26.25" hidden="1" x14ac:dyDescent="0.25">
      <c r="A432" s="359" t="s">
        <v>18</v>
      </c>
      <c r="B432" s="359" t="s">
        <v>19</v>
      </c>
      <c r="C432" s="359" t="s">
        <v>20</v>
      </c>
      <c r="D432" s="359"/>
      <c r="E432" s="359" t="s">
        <v>21</v>
      </c>
      <c r="F432" s="359"/>
      <c r="G432" s="359" t="s">
        <v>22</v>
      </c>
      <c r="H432" s="359"/>
      <c r="I432" s="359" t="s">
        <v>23</v>
      </c>
      <c r="J432" s="359" t="s">
        <v>24</v>
      </c>
      <c r="K432" s="359"/>
      <c r="L432" s="359" t="s">
        <v>25</v>
      </c>
      <c r="M432" s="359"/>
      <c r="N432" s="359" t="s">
        <v>26</v>
      </c>
      <c r="O432" s="359" t="s">
        <v>27</v>
      </c>
      <c r="P432" s="359"/>
      <c r="Q432" s="379" t="s">
        <v>28</v>
      </c>
      <c r="R432" s="380"/>
      <c r="S432" s="381"/>
      <c r="T432" s="380"/>
      <c r="U432" s="380"/>
      <c r="V432" s="380"/>
      <c r="W432" s="380"/>
      <c r="X432" s="380"/>
      <c r="Y432" s="380"/>
    </row>
    <row r="433" spans="1:30" ht="90" hidden="1" x14ac:dyDescent="0.25">
      <c r="A433" s="361">
        <v>5339</v>
      </c>
      <c r="B433" s="354">
        <v>489000</v>
      </c>
      <c r="C433" s="18" t="s">
        <v>368</v>
      </c>
      <c r="D433" s="18"/>
      <c r="E433" s="19">
        <f>E434</f>
        <v>0</v>
      </c>
      <c r="F433" s="19"/>
      <c r="G433" s="19">
        <f t="shared" si="115"/>
        <v>0</v>
      </c>
      <c r="H433" s="19"/>
      <c r="I433" s="19">
        <f t="shared" ref="I433:Q433" si="132">I434</f>
        <v>0</v>
      </c>
      <c r="J433" s="19">
        <f t="shared" si="132"/>
        <v>0</v>
      </c>
      <c r="K433" s="19"/>
      <c r="L433" s="19">
        <f t="shared" si="132"/>
        <v>0</v>
      </c>
      <c r="M433" s="19"/>
      <c r="N433" s="19">
        <f t="shared" si="132"/>
        <v>0</v>
      </c>
      <c r="O433" s="19">
        <f t="shared" si="132"/>
        <v>0</v>
      </c>
      <c r="P433" s="19"/>
      <c r="Q433" s="366">
        <f t="shared" si="132"/>
        <v>0</v>
      </c>
      <c r="R433" s="64"/>
      <c r="S433" s="367"/>
      <c r="T433" s="64"/>
      <c r="U433" s="64"/>
      <c r="V433" s="64"/>
      <c r="W433" s="64"/>
      <c r="X433" s="64"/>
      <c r="Y433" s="64"/>
    </row>
    <row r="434" spans="1:30" ht="51.75" hidden="1" x14ac:dyDescent="0.25">
      <c r="A434" s="45">
        <v>5340</v>
      </c>
      <c r="B434" s="23">
        <v>489100</v>
      </c>
      <c r="C434" s="9" t="s">
        <v>369</v>
      </c>
      <c r="D434" s="9"/>
      <c r="E434" s="36"/>
      <c r="F434" s="36"/>
      <c r="G434" s="37">
        <f t="shared" si="115"/>
        <v>0</v>
      </c>
      <c r="H434" s="37"/>
      <c r="I434" s="36"/>
      <c r="J434" s="36"/>
      <c r="K434" s="36"/>
      <c r="L434" s="36"/>
      <c r="M434" s="36"/>
      <c r="N434" s="36"/>
      <c r="O434" s="36"/>
      <c r="P434" s="36"/>
      <c r="Q434" s="382"/>
      <c r="R434" s="47"/>
      <c r="S434" s="383"/>
      <c r="T434" s="47"/>
      <c r="U434" s="47"/>
      <c r="V434" s="47"/>
      <c r="W434" s="47"/>
      <c r="X434" s="47"/>
      <c r="Y434" s="47"/>
    </row>
    <row r="435" spans="1:30" ht="51.75" x14ac:dyDescent="0.25">
      <c r="A435" s="361">
        <v>5341</v>
      </c>
      <c r="B435" s="354">
        <v>500000</v>
      </c>
      <c r="C435" s="18" t="s">
        <v>370</v>
      </c>
      <c r="D435" s="18"/>
      <c r="E435" s="19">
        <f>E436+E459+E472+E475+E483</f>
        <v>35552</v>
      </c>
      <c r="F435" s="19">
        <f t="shared" ref="F435:S435" si="133">F436+F459+F472+F475+F483</f>
        <v>88282</v>
      </c>
      <c r="G435" s="19">
        <f t="shared" si="133"/>
        <v>3263</v>
      </c>
      <c r="H435" s="19">
        <f t="shared" si="133"/>
        <v>29200</v>
      </c>
      <c r="I435" s="19">
        <f t="shared" si="133"/>
        <v>1450</v>
      </c>
      <c r="J435" s="19">
        <f t="shared" si="133"/>
        <v>0</v>
      </c>
      <c r="K435" s="19">
        <f t="shared" si="133"/>
        <v>57381</v>
      </c>
      <c r="L435" s="19">
        <f t="shared" si="133"/>
        <v>0</v>
      </c>
      <c r="M435" s="19">
        <f t="shared" si="133"/>
        <v>0</v>
      </c>
      <c r="N435" s="19">
        <f t="shared" si="133"/>
        <v>0</v>
      </c>
      <c r="O435" s="19">
        <f t="shared" si="133"/>
        <v>0</v>
      </c>
      <c r="P435" s="19">
        <f t="shared" si="133"/>
        <v>1701</v>
      </c>
      <c r="Q435" s="366">
        <f t="shared" si="133"/>
        <v>1813</v>
      </c>
      <c r="R435" s="64"/>
      <c r="S435" s="367">
        <f t="shared" si="133"/>
        <v>0</v>
      </c>
      <c r="T435" s="64"/>
      <c r="U435" s="64"/>
      <c r="V435" s="64"/>
      <c r="W435" s="64"/>
      <c r="X435" s="64"/>
      <c r="Y435" s="64"/>
    </row>
    <row r="436" spans="1:30" ht="26.25" x14ac:dyDescent="0.25">
      <c r="A436" s="361">
        <v>5342</v>
      </c>
      <c r="B436" s="354">
        <v>510000</v>
      </c>
      <c r="C436" s="18" t="s">
        <v>371</v>
      </c>
      <c r="D436" s="18"/>
      <c r="E436" s="19">
        <f>E437+E442+E453+E455+E457</f>
        <v>35552</v>
      </c>
      <c r="F436" s="19">
        <f t="shared" ref="F436:S436" si="134">F437+F442+F453+F455+F457</f>
        <v>88282</v>
      </c>
      <c r="G436" s="19">
        <f t="shared" si="134"/>
        <v>3263</v>
      </c>
      <c r="H436" s="19">
        <f t="shared" si="134"/>
        <v>29200</v>
      </c>
      <c r="I436" s="19">
        <f t="shared" si="134"/>
        <v>1450</v>
      </c>
      <c r="J436" s="19">
        <f t="shared" si="134"/>
        <v>0</v>
      </c>
      <c r="K436" s="19">
        <f t="shared" si="134"/>
        <v>57381</v>
      </c>
      <c r="L436" s="19">
        <f t="shared" si="134"/>
        <v>0</v>
      </c>
      <c r="M436" s="19">
        <f t="shared" si="134"/>
        <v>0</v>
      </c>
      <c r="N436" s="19">
        <f t="shared" si="134"/>
        <v>0</v>
      </c>
      <c r="O436" s="19">
        <f t="shared" si="134"/>
        <v>0</v>
      </c>
      <c r="P436" s="19">
        <f t="shared" si="134"/>
        <v>1701</v>
      </c>
      <c r="Q436" s="366">
        <f t="shared" si="134"/>
        <v>1813</v>
      </c>
      <c r="R436" s="64"/>
      <c r="S436" s="367">
        <f t="shared" si="134"/>
        <v>0</v>
      </c>
      <c r="T436" s="64"/>
      <c r="U436" s="64"/>
      <c r="V436" s="64"/>
      <c r="W436" s="64"/>
      <c r="X436" s="64"/>
      <c r="Y436" s="64"/>
    </row>
    <row r="437" spans="1:30" ht="26.25" x14ac:dyDescent="0.25">
      <c r="A437" s="361">
        <v>5343</v>
      </c>
      <c r="B437" s="354">
        <v>511000</v>
      </c>
      <c r="C437" s="18" t="s">
        <v>372</v>
      </c>
      <c r="D437" s="18"/>
      <c r="E437" s="19">
        <f>SUM(E438:E441)</f>
        <v>6000</v>
      </c>
      <c r="F437" s="19">
        <f t="shared" ref="F437:S437" si="135">SUM(F438:F441)</f>
        <v>5000</v>
      </c>
      <c r="G437" s="19">
        <f t="shared" si="135"/>
        <v>1450</v>
      </c>
      <c r="H437" s="19">
        <f t="shared" si="135"/>
        <v>5000</v>
      </c>
      <c r="I437" s="19">
        <f t="shared" si="135"/>
        <v>1450</v>
      </c>
      <c r="J437" s="19">
        <f t="shared" si="135"/>
        <v>0</v>
      </c>
      <c r="K437" s="19">
        <f t="shared" si="135"/>
        <v>0</v>
      </c>
      <c r="L437" s="19">
        <f t="shared" si="135"/>
        <v>0</v>
      </c>
      <c r="M437" s="19">
        <f t="shared" si="135"/>
        <v>0</v>
      </c>
      <c r="N437" s="19">
        <f t="shared" si="135"/>
        <v>0</v>
      </c>
      <c r="O437" s="19">
        <f t="shared" si="135"/>
        <v>0</v>
      </c>
      <c r="P437" s="19">
        <f t="shared" si="135"/>
        <v>0</v>
      </c>
      <c r="Q437" s="366">
        <f t="shared" si="135"/>
        <v>0</v>
      </c>
      <c r="R437" s="64"/>
      <c r="S437" s="367">
        <f t="shared" si="135"/>
        <v>0</v>
      </c>
      <c r="T437" s="64"/>
      <c r="U437" s="64"/>
      <c r="V437" s="64"/>
      <c r="W437" s="64"/>
      <c r="X437" s="64"/>
      <c r="Y437" s="64"/>
    </row>
    <row r="438" spans="1:30" x14ac:dyDescent="0.25">
      <c r="A438" s="45">
        <v>5344</v>
      </c>
      <c r="B438" s="23">
        <v>511100</v>
      </c>
      <c r="C438" s="9" t="s">
        <v>373</v>
      </c>
      <c r="D438" s="9"/>
      <c r="E438" s="36"/>
      <c r="F438" s="36"/>
      <c r="G438" s="37">
        <f t="shared" si="115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82"/>
      <c r="R438" s="47"/>
      <c r="S438" s="383"/>
      <c r="T438" s="47"/>
      <c r="U438" s="47"/>
      <c r="V438" s="47"/>
      <c r="W438" s="47"/>
      <c r="X438" s="47"/>
      <c r="Y438" s="47"/>
    </row>
    <row r="439" spans="1:30" x14ac:dyDescent="0.25">
      <c r="A439" s="45">
        <v>5345</v>
      </c>
      <c r="B439" s="23">
        <v>511200</v>
      </c>
      <c r="C439" s="9" t="s">
        <v>374</v>
      </c>
      <c r="D439" s="9"/>
      <c r="E439" s="36"/>
      <c r="F439" s="36"/>
      <c r="G439" s="37">
        <f t="shared" si="115"/>
        <v>0</v>
      </c>
      <c r="H439" s="37"/>
      <c r="I439" s="36"/>
      <c r="J439" s="36"/>
      <c r="K439" s="36"/>
      <c r="L439" s="36"/>
      <c r="M439" s="36"/>
      <c r="N439" s="36"/>
      <c r="O439" s="36"/>
      <c r="P439" s="36"/>
      <c r="Q439" s="382"/>
      <c r="R439" s="47"/>
      <c r="S439" s="383"/>
      <c r="T439" s="47"/>
      <c r="U439" s="47"/>
      <c r="V439" s="47"/>
      <c r="W439" s="47"/>
      <c r="X439" s="47"/>
      <c r="Y439" s="47"/>
    </row>
    <row r="440" spans="1:30" ht="24.75" customHeight="1" x14ac:dyDescent="0.25">
      <c r="A440" s="45">
        <v>5346</v>
      </c>
      <c r="B440" s="23">
        <v>511300</v>
      </c>
      <c r="C440" s="9" t="s">
        <v>375</v>
      </c>
      <c r="D440" s="9"/>
      <c r="E440" s="36">
        <v>6000</v>
      </c>
      <c r="F440" s="36">
        <f>H440+K440+M440+P440</f>
        <v>5000</v>
      </c>
      <c r="G440" s="37">
        <f t="shared" ref="G440" si="136">SUM(I440:Q440)-K440-M440-P440</f>
        <v>1450</v>
      </c>
      <c r="H440" s="37">
        <v>5000</v>
      </c>
      <c r="I440" s="36">
        <v>1450</v>
      </c>
      <c r="J440" s="36"/>
      <c r="K440" s="36"/>
      <c r="L440" s="36"/>
      <c r="M440" s="36"/>
      <c r="N440" s="36"/>
      <c r="O440" s="36"/>
      <c r="P440" s="36"/>
      <c r="Q440" s="382"/>
      <c r="R440" s="47"/>
      <c r="S440" s="383"/>
      <c r="T440" s="47"/>
      <c r="U440" s="47"/>
      <c r="V440" s="47"/>
      <c r="W440" s="47"/>
      <c r="X440" s="47"/>
      <c r="Y440" s="47"/>
      <c r="AD440" s="12" t="s">
        <v>469</v>
      </c>
    </row>
    <row r="441" spans="1:30" x14ac:dyDescent="0.25">
      <c r="A441" s="45">
        <v>5347</v>
      </c>
      <c r="B441" s="23">
        <v>511400</v>
      </c>
      <c r="C441" s="9" t="s">
        <v>376</v>
      </c>
      <c r="D441" s="9"/>
      <c r="E441" s="36"/>
      <c r="F441" s="36"/>
      <c r="G441" s="37">
        <f t="shared" si="115"/>
        <v>0</v>
      </c>
      <c r="H441" s="37"/>
      <c r="I441" s="36"/>
      <c r="J441" s="36"/>
      <c r="K441" s="36"/>
      <c r="L441" s="36"/>
      <c r="M441" s="36"/>
      <c r="N441" s="36"/>
      <c r="O441" s="36"/>
      <c r="P441" s="36"/>
      <c r="Q441" s="382"/>
      <c r="R441" s="47"/>
      <c r="S441" s="383"/>
      <c r="T441" s="47"/>
      <c r="U441" s="47"/>
      <c r="V441" s="47"/>
      <c r="W441" s="47"/>
      <c r="X441" s="47"/>
      <c r="Y441" s="47"/>
    </row>
    <row r="442" spans="1:30" ht="26.25" x14ac:dyDescent="0.25">
      <c r="A442" s="361">
        <v>5348</v>
      </c>
      <c r="B442" s="354">
        <v>512000</v>
      </c>
      <c r="C442" s="18" t="s">
        <v>377</v>
      </c>
      <c r="D442" s="18"/>
      <c r="E442" s="19">
        <f>SUM(E443:E452)</f>
        <v>29312</v>
      </c>
      <c r="F442" s="19">
        <f t="shared" ref="F442:S442" si="137">SUM(F443:F452)</f>
        <v>83282</v>
      </c>
      <c r="G442" s="19">
        <f t="shared" si="137"/>
        <v>1813</v>
      </c>
      <c r="H442" s="19">
        <f t="shared" si="137"/>
        <v>24200</v>
      </c>
      <c r="I442" s="19">
        <f t="shared" si="137"/>
        <v>0</v>
      </c>
      <c r="J442" s="19">
        <f t="shared" si="137"/>
        <v>0</v>
      </c>
      <c r="K442" s="19">
        <f t="shared" si="137"/>
        <v>57381</v>
      </c>
      <c r="L442" s="19">
        <f t="shared" si="137"/>
        <v>0</v>
      </c>
      <c r="M442" s="19">
        <f t="shared" si="137"/>
        <v>0</v>
      </c>
      <c r="N442" s="19">
        <f t="shared" si="137"/>
        <v>0</v>
      </c>
      <c r="O442" s="19">
        <f t="shared" si="137"/>
        <v>0</v>
      </c>
      <c r="P442" s="19">
        <f t="shared" si="137"/>
        <v>1701</v>
      </c>
      <c r="Q442" s="366">
        <f t="shared" si="137"/>
        <v>1813</v>
      </c>
      <c r="R442" s="64"/>
      <c r="S442" s="367">
        <f t="shared" si="137"/>
        <v>0</v>
      </c>
      <c r="T442" s="64"/>
      <c r="U442" s="64"/>
      <c r="V442" s="64"/>
      <c r="W442" s="64"/>
      <c r="X442" s="64"/>
      <c r="Y442" s="64"/>
    </row>
    <row r="443" spans="1:30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/>
      <c r="G443" s="37">
        <f t="shared" si="115"/>
        <v>0</v>
      </c>
      <c r="H443" s="37"/>
      <c r="I443" s="36"/>
      <c r="J443" s="36"/>
      <c r="K443" s="36"/>
      <c r="L443" s="36"/>
      <c r="M443" s="36"/>
      <c r="N443" s="36"/>
      <c r="O443" s="36"/>
      <c r="P443" s="36"/>
      <c r="Q443" s="382"/>
      <c r="R443" s="47"/>
      <c r="S443" s="383"/>
      <c r="T443" s="47"/>
      <c r="U443" s="47"/>
      <c r="V443" s="47"/>
      <c r="W443" s="47"/>
      <c r="X443" s="47"/>
      <c r="Y443" s="47"/>
    </row>
    <row r="444" spans="1:30" x14ac:dyDescent="0.25">
      <c r="A444" s="45">
        <v>5349</v>
      </c>
      <c r="B444" s="23">
        <v>512100</v>
      </c>
      <c r="C444" s="9" t="s">
        <v>378</v>
      </c>
      <c r="D444" s="9"/>
      <c r="E444" s="36"/>
      <c r="F444" s="36">
        <f>H444+K444+M444+P444</f>
        <v>0</v>
      </c>
      <c r="G444" s="37"/>
      <c r="H444" s="37"/>
      <c r="I444" s="36"/>
      <c r="J444" s="36"/>
      <c r="K444" s="36"/>
      <c r="L444" s="36"/>
      <c r="M444" s="36"/>
      <c r="N444" s="36"/>
      <c r="O444" s="36"/>
      <c r="P444" s="38"/>
      <c r="Q444" s="382"/>
      <c r="R444" s="47"/>
      <c r="S444" s="383"/>
      <c r="T444" s="47"/>
      <c r="U444" s="47"/>
      <c r="V444" s="47"/>
      <c r="W444" s="47"/>
      <c r="X444" s="47"/>
      <c r="Y444" s="47"/>
    </row>
    <row r="445" spans="1:30" ht="28.5" x14ac:dyDescent="0.45">
      <c r="A445" s="45">
        <v>5350</v>
      </c>
      <c r="B445" s="23">
        <v>512200</v>
      </c>
      <c r="C445" s="9" t="s">
        <v>379</v>
      </c>
      <c r="D445" s="9"/>
      <c r="E445" s="36">
        <v>1312</v>
      </c>
      <c r="F445" s="36">
        <f>H445+K445+M445+P445</f>
        <v>5590</v>
      </c>
      <c r="G445" s="37">
        <f t="shared" ref="G445" si="138">SUM(I445:Q445)-K445-M445-P445</f>
        <v>1258</v>
      </c>
      <c r="H445" s="37">
        <v>4200</v>
      </c>
      <c r="I445" s="36"/>
      <c r="J445" s="36"/>
      <c r="K445" s="36"/>
      <c r="L445" s="36"/>
      <c r="M445" s="36"/>
      <c r="N445" s="36"/>
      <c r="O445" s="36"/>
      <c r="P445" s="36">
        <f>918+100+372</f>
        <v>1390</v>
      </c>
      <c r="Q445" s="382">
        <v>1258</v>
      </c>
      <c r="R445" s="47"/>
      <c r="S445" s="383"/>
      <c r="T445" s="47"/>
      <c r="U445" s="47"/>
      <c r="V445" s="47"/>
      <c r="W445" s="47"/>
      <c r="X445" s="47"/>
      <c r="Y445" s="47"/>
      <c r="Z445" s="12">
        <v>809</v>
      </c>
      <c r="AA445" s="12">
        <v>1124</v>
      </c>
      <c r="AB445" s="12">
        <f>AA445-Z445</f>
        <v>315</v>
      </c>
      <c r="AD445" s="400" t="s">
        <v>538</v>
      </c>
    </row>
    <row r="446" spans="1:30" hidden="1" x14ac:dyDescent="0.25">
      <c r="A446" s="45">
        <v>5351</v>
      </c>
      <c r="B446" s="23">
        <v>512300</v>
      </c>
      <c r="C446" s="9" t="s">
        <v>380</v>
      </c>
      <c r="D446" s="9"/>
      <c r="E446" s="36"/>
      <c r="F446" s="36"/>
      <c r="G446" s="37">
        <f t="shared" si="115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82"/>
      <c r="R446" s="47"/>
      <c r="S446" s="383"/>
      <c r="T446" s="47"/>
      <c r="U446" s="47"/>
      <c r="V446" s="47"/>
      <c r="W446" s="47"/>
      <c r="X446" s="47"/>
      <c r="Y446" s="47"/>
    </row>
    <row r="447" spans="1:30" ht="26.25" hidden="1" x14ac:dyDescent="0.25">
      <c r="A447" s="45">
        <v>5352</v>
      </c>
      <c r="B447" s="23">
        <v>512400</v>
      </c>
      <c r="C447" s="9" t="s">
        <v>381</v>
      </c>
      <c r="D447" s="9"/>
      <c r="E447" s="36"/>
      <c r="F447" s="36"/>
      <c r="G447" s="37">
        <f t="shared" si="115"/>
        <v>0</v>
      </c>
      <c r="H447" s="37"/>
      <c r="I447" s="36"/>
      <c r="J447" s="36"/>
      <c r="K447" s="36"/>
      <c r="L447" s="36"/>
      <c r="M447" s="36"/>
      <c r="N447" s="36"/>
      <c r="O447" s="36"/>
      <c r="P447" s="36"/>
      <c r="Q447" s="382"/>
      <c r="R447" s="47"/>
      <c r="S447" s="383"/>
      <c r="T447" s="47"/>
      <c r="U447" s="47"/>
      <c r="V447" s="47"/>
      <c r="W447" s="47"/>
      <c r="X447" s="47"/>
      <c r="Y447" s="47"/>
    </row>
    <row r="448" spans="1:30" ht="26.25" x14ac:dyDescent="0.25">
      <c r="A448" s="45">
        <v>5353</v>
      </c>
      <c r="B448" s="23">
        <v>512500</v>
      </c>
      <c r="C448" s="9" t="s">
        <v>382</v>
      </c>
      <c r="D448" s="9"/>
      <c r="E448" s="36">
        <v>28000</v>
      </c>
      <c r="F448" s="36">
        <f>H448+K448+M448+P448</f>
        <v>77692</v>
      </c>
      <c r="G448" s="37">
        <f t="shared" ref="G448" si="139">SUM(I448:Q448)-K448-M448-P448</f>
        <v>555</v>
      </c>
      <c r="H448" s="37">
        <f>20000+162615+25321-162615-25321</f>
        <v>20000</v>
      </c>
      <c r="I448" s="36"/>
      <c r="J448" s="36"/>
      <c r="K448" s="36">
        <f>1000+56381</f>
        <v>57381</v>
      </c>
      <c r="L448" s="36"/>
      <c r="M448" s="36"/>
      <c r="N448" s="36"/>
      <c r="O448" s="36"/>
      <c r="P448" s="38">
        <v>311</v>
      </c>
      <c r="Q448" s="382">
        <v>555</v>
      </c>
      <c r="R448" s="47"/>
      <c r="S448" s="383"/>
      <c r="T448" s="47"/>
      <c r="U448" s="47"/>
      <c r="V448" s="47"/>
      <c r="W448" s="47"/>
      <c r="X448" s="47"/>
      <c r="Y448" s="47"/>
      <c r="AD448" s="12" t="s">
        <v>469</v>
      </c>
    </row>
    <row r="449" spans="1:25" ht="26.25" hidden="1" x14ac:dyDescent="0.25">
      <c r="A449" s="45">
        <v>5354</v>
      </c>
      <c r="B449" s="23">
        <v>512600</v>
      </c>
      <c r="C449" s="9" t="s">
        <v>383</v>
      </c>
      <c r="D449" s="9"/>
      <c r="E449" s="36"/>
      <c r="F449" s="36"/>
      <c r="G449" s="37">
        <f t="shared" si="115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82"/>
      <c r="R449" s="47"/>
      <c r="S449" s="383"/>
      <c r="T449" s="47"/>
      <c r="U449" s="47"/>
      <c r="V449" s="47"/>
      <c r="W449" s="47"/>
      <c r="X449" s="47"/>
      <c r="Y449" s="47"/>
    </row>
    <row r="450" spans="1:25" hidden="1" x14ac:dyDescent="0.25">
      <c r="A450" s="45">
        <v>5355</v>
      </c>
      <c r="B450" s="23">
        <v>512700</v>
      </c>
      <c r="C450" s="9" t="s">
        <v>384</v>
      </c>
      <c r="D450" s="9"/>
      <c r="E450" s="36"/>
      <c r="F450" s="36"/>
      <c r="G450" s="37">
        <f t="shared" si="115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82"/>
      <c r="R450" s="47"/>
      <c r="S450" s="383"/>
      <c r="T450" s="47"/>
      <c r="U450" s="47"/>
      <c r="V450" s="47"/>
      <c r="W450" s="47"/>
      <c r="X450" s="47"/>
      <c r="Y450" s="47"/>
    </row>
    <row r="451" spans="1:25" hidden="1" x14ac:dyDescent="0.25">
      <c r="A451" s="45">
        <v>5356</v>
      </c>
      <c r="B451" s="23">
        <v>512800</v>
      </c>
      <c r="C451" s="9" t="s">
        <v>385</v>
      </c>
      <c r="D451" s="9"/>
      <c r="E451" s="36"/>
      <c r="F451" s="36"/>
      <c r="G451" s="37">
        <f t="shared" si="115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82"/>
      <c r="R451" s="47"/>
      <c r="S451" s="383"/>
      <c r="T451" s="47"/>
      <c r="U451" s="47"/>
      <c r="V451" s="47"/>
      <c r="W451" s="47"/>
      <c r="X451" s="47"/>
      <c r="Y451" s="47"/>
    </row>
    <row r="452" spans="1:25" ht="26.25" hidden="1" x14ac:dyDescent="0.25">
      <c r="A452" s="45">
        <v>5357</v>
      </c>
      <c r="B452" s="23">
        <v>512900</v>
      </c>
      <c r="C452" s="9" t="s">
        <v>386</v>
      </c>
      <c r="D452" s="9"/>
      <c r="E452" s="36"/>
      <c r="F452" s="36"/>
      <c r="G452" s="37">
        <f t="shared" si="115"/>
        <v>0</v>
      </c>
      <c r="H452" s="37"/>
      <c r="I452" s="36"/>
      <c r="J452" s="36"/>
      <c r="K452" s="36"/>
      <c r="L452" s="36"/>
      <c r="M452" s="36"/>
      <c r="N452" s="36"/>
      <c r="O452" s="36"/>
      <c r="P452" s="36"/>
      <c r="Q452" s="382"/>
      <c r="R452" s="47"/>
      <c r="S452" s="383"/>
      <c r="T452" s="47"/>
      <c r="U452" s="47"/>
      <c r="V452" s="47"/>
      <c r="W452" s="47"/>
      <c r="X452" s="47"/>
      <c r="Y452" s="47"/>
    </row>
    <row r="453" spans="1:25" ht="26.25" hidden="1" x14ac:dyDescent="0.25">
      <c r="A453" s="361">
        <v>5358</v>
      </c>
      <c r="B453" s="354">
        <v>513000</v>
      </c>
      <c r="C453" s="18" t="s">
        <v>387</v>
      </c>
      <c r="D453" s="18"/>
      <c r="E453" s="19">
        <f>E454</f>
        <v>0</v>
      </c>
      <c r="F453" s="19"/>
      <c r="G453" s="19">
        <f t="shared" si="115"/>
        <v>0</v>
      </c>
      <c r="H453" s="19"/>
      <c r="I453" s="19">
        <f t="shared" ref="I453:Q453" si="140">I454</f>
        <v>0</v>
      </c>
      <c r="J453" s="19">
        <f t="shared" si="140"/>
        <v>0</v>
      </c>
      <c r="K453" s="19"/>
      <c r="L453" s="19">
        <f t="shared" si="140"/>
        <v>0</v>
      </c>
      <c r="M453" s="19"/>
      <c r="N453" s="19">
        <f t="shared" si="140"/>
        <v>0</v>
      </c>
      <c r="O453" s="19">
        <f t="shared" si="140"/>
        <v>0</v>
      </c>
      <c r="P453" s="19"/>
      <c r="Q453" s="366">
        <f t="shared" si="140"/>
        <v>0</v>
      </c>
      <c r="R453" s="64"/>
      <c r="S453" s="367"/>
      <c r="T453" s="64"/>
      <c r="U453" s="64"/>
      <c r="V453" s="64"/>
      <c r="W453" s="64"/>
      <c r="X453" s="64"/>
      <c r="Y453" s="64"/>
    </row>
    <row r="454" spans="1:25" hidden="1" x14ac:dyDescent="0.25">
      <c r="A454" s="45">
        <v>5359</v>
      </c>
      <c r="B454" s="23">
        <v>513100</v>
      </c>
      <c r="C454" s="9" t="s">
        <v>388</v>
      </c>
      <c r="D454" s="9"/>
      <c r="E454" s="36"/>
      <c r="F454" s="36"/>
      <c r="G454" s="37">
        <f t="shared" si="115"/>
        <v>0</v>
      </c>
      <c r="H454" s="37"/>
      <c r="I454" s="36"/>
      <c r="J454" s="36"/>
      <c r="K454" s="36"/>
      <c r="L454" s="36"/>
      <c r="M454" s="36"/>
      <c r="N454" s="36"/>
      <c r="O454" s="36"/>
      <c r="P454" s="36"/>
      <c r="Q454" s="382"/>
      <c r="R454" s="47"/>
      <c r="S454" s="383"/>
      <c r="T454" s="47"/>
      <c r="U454" s="47"/>
      <c r="V454" s="47"/>
      <c r="W454" s="47"/>
      <c r="X454" s="47"/>
      <c r="Y454" s="47"/>
    </row>
    <row r="455" spans="1:25" ht="26.25" hidden="1" x14ac:dyDescent="0.25">
      <c r="A455" s="361">
        <v>5360</v>
      </c>
      <c r="B455" s="354">
        <v>514000</v>
      </c>
      <c r="C455" s="18" t="s">
        <v>389</v>
      </c>
      <c r="D455" s="18"/>
      <c r="E455" s="19">
        <f>E456</f>
        <v>0</v>
      </c>
      <c r="F455" s="19"/>
      <c r="G455" s="19">
        <f t="shared" si="115"/>
        <v>0</v>
      </c>
      <c r="H455" s="19"/>
      <c r="I455" s="19">
        <f t="shared" ref="I455:Q455" si="141">I456</f>
        <v>0</v>
      </c>
      <c r="J455" s="19">
        <f t="shared" si="141"/>
        <v>0</v>
      </c>
      <c r="K455" s="19"/>
      <c r="L455" s="19">
        <f t="shared" si="141"/>
        <v>0</v>
      </c>
      <c r="M455" s="19"/>
      <c r="N455" s="19">
        <f t="shared" si="141"/>
        <v>0</v>
      </c>
      <c r="O455" s="19">
        <f t="shared" si="141"/>
        <v>0</v>
      </c>
      <c r="P455" s="19"/>
      <c r="Q455" s="366">
        <f t="shared" si="141"/>
        <v>0</v>
      </c>
      <c r="R455" s="64"/>
      <c r="S455" s="367"/>
      <c r="T455" s="64"/>
      <c r="U455" s="64"/>
      <c r="V455" s="64"/>
      <c r="W455" s="64"/>
      <c r="X455" s="64"/>
      <c r="Y455" s="64"/>
    </row>
    <row r="456" spans="1:25" hidden="1" x14ac:dyDescent="0.25">
      <c r="A456" s="45">
        <v>5361</v>
      </c>
      <c r="B456" s="23">
        <v>514100</v>
      </c>
      <c r="C456" s="9" t="s">
        <v>390</v>
      </c>
      <c r="D456" s="9"/>
      <c r="E456" s="36"/>
      <c r="F456" s="36"/>
      <c r="G456" s="37">
        <f t="shared" si="115"/>
        <v>0</v>
      </c>
      <c r="H456" s="37"/>
      <c r="I456" s="36"/>
      <c r="J456" s="36"/>
      <c r="K456" s="36"/>
      <c r="L456" s="36"/>
      <c r="M456" s="36"/>
      <c r="N456" s="36"/>
      <c r="O456" s="36"/>
      <c r="P456" s="36"/>
      <c r="Q456" s="382"/>
      <c r="R456" s="47"/>
      <c r="S456" s="383"/>
      <c r="T456" s="47"/>
      <c r="U456" s="47"/>
      <c r="V456" s="47"/>
      <c r="W456" s="47"/>
      <c r="X456" s="47"/>
      <c r="Y456" s="47"/>
    </row>
    <row r="457" spans="1:25" ht="26.25" hidden="1" x14ac:dyDescent="0.25">
      <c r="A457" s="361">
        <v>5362</v>
      </c>
      <c r="B457" s="354">
        <v>515000</v>
      </c>
      <c r="C457" s="18" t="s">
        <v>391</v>
      </c>
      <c r="D457" s="18"/>
      <c r="E457" s="19">
        <f>E458</f>
        <v>240</v>
      </c>
      <c r="F457" s="19">
        <f t="shared" ref="F457:S457" si="142">F458</f>
        <v>0</v>
      </c>
      <c r="G457" s="19">
        <f t="shared" si="142"/>
        <v>0</v>
      </c>
      <c r="H457" s="19">
        <f t="shared" si="142"/>
        <v>0</v>
      </c>
      <c r="I457" s="19">
        <f t="shared" si="142"/>
        <v>0</v>
      </c>
      <c r="J457" s="19">
        <f t="shared" si="142"/>
        <v>0</v>
      </c>
      <c r="K457" s="19">
        <f t="shared" si="142"/>
        <v>0</v>
      </c>
      <c r="L457" s="19">
        <f t="shared" si="142"/>
        <v>0</v>
      </c>
      <c r="M457" s="19">
        <f t="shared" si="142"/>
        <v>0</v>
      </c>
      <c r="N457" s="19">
        <f t="shared" si="142"/>
        <v>0</v>
      </c>
      <c r="O457" s="19">
        <f t="shared" si="142"/>
        <v>0</v>
      </c>
      <c r="P457" s="19">
        <f t="shared" si="142"/>
        <v>0</v>
      </c>
      <c r="Q457" s="366">
        <f t="shared" si="142"/>
        <v>0</v>
      </c>
      <c r="R457" s="64"/>
      <c r="S457" s="367">
        <f t="shared" si="142"/>
        <v>0</v>
      </c>
      <c r="T457" s="64"/>
      <c r="U457" s="64"/>
      <c r="V457" s="64"/>
      <c r="W457" s="64"/>
      <c r="X457" s="64"/>
      <c r="Y457" s="64"/>
    </row>
    <row r="458" spans="1:25" hidden="1" x14ac:dyDescent="0.25">
      <c r="A458" s="45">
        <v>5363</v>
      </c>
      <c r="B458" s="23">
        <v>515100</v>
      </c>
      <c r="C458" s="9" t="s">
        <v>392</v>
      </c>
      <c r="D458" s="9"/>
      <c r="E458" s="36">
        <v>240</v>
      </c>
      <c r="F458" s="36">
        <f>H458+K458+M458+P458</f>
        <v>0</v>
      </c>
      <c r="G458" s="37">
        <f t="shared" si="115"/>
        <v>0</v>
      </c>
      <c r="H458" s="37"/>
      <c r="I458" s="36"/>
      <c r="J458" s="36"/>
      <c r="K458" s="36"/>
      <c r="L458" s="36"/>
      <c r="M458" s="36"/>
      <c r="N458" s="36"/>
      <c r="O458" s="36"/>
      <c r="P458" s="36">
        <v>0</v>
      </c>
      <c r="Q458" s="382"/>
      <c r="R458" s="47"/>
      <c r="S458" s="383"/>
      <c r="T458" s="47"/>
      <c r="U458" s="47"/>
      <c r="V458" s="47"/>
      <c r="W458" s="47"/>
      <c r="X458" s="47"/>
      <c r="Y458" s="47"/>
    </row>
    <row r="459" spans="1:25" hidden="1" x14ac:dyDescent="0.25">
      <c r="A459" s="361">
        <v>5364</v>
      </c>
      <c r="B459" s="354">
        <v>520000</v>
      </c>
      <c r="C459" s="18" t="s">
        <v>393</v>
      </c>
      <c r="D459" s="18"/>
      <c r="E459" s="19">
        <f>E460+E462+E470</f>
        <v>0</v>
      </c>
      <c r="F459" s="19"/>
      <c r="G459" s="19">
        <f t="shared" ref="G459:G536" si="143">SUM(I459:Q459)</f>
        <v>0</v>
      </c>
      <c r="H459" s="19"/>
      <c r="I459" s="19">
        <f t="shared" ref="I459:Q459" si="144">I460+I462+I470</f>
        <v>0</v>
      </c>
      <c r="J459" s="19">
        <f t="shared" si="144"/>
        <v>0</v>
      </c>
      <c r="K459" s="19"/>
      <c r="L459" s="19">
        <f t="shared" si="144"/>
        <v>0</v>
      </c>
      <c r="M459" s="19"/>
      <c r="N459" s="19">
        <f t="shared" si="144"/>
        <v>0</v>
      </c>
      <c r="O459" s="19">
        <f t="shared" si="144"/>
        <v>0</v>
      </c>
      <c r="P459" s="19"/>
      <c r="Q459" s="366">
        <f t="shared" si="144"/>
        <v>0</v>
      </c>
      <c r="R459" s="64"/>
      <c r="S459" s="367"/>
      <c r="T459" s="64"/>
      <c r="U459" s="64"/>
      <c r="V459" s="64"/>
      <c r="W459" s="64"/>
      <c r="X459" s="64"/>
      <c r="Y459" s="64"/>
    </row>
    <row r="460" spans="1:25" hidden="1" x14ac:dyDescent="0.25">
      <c r="A460" s="361">
        <v>5365</v>
      </c>
      <c r="B460" s="354">
        <v>521000</v>
      </c>
      <c r="C460" s="18" t="s">
        <v>394</v>
      </c>
      <c r="D460" s="18"/>
      <c r="E460" s="19">
        <f>E461</f>
        <v>0</v>
      </c>
      <c r="F460" s="19"/>
      <c r="G460" s="19">
        <f t="shared" si="143"/>
        <v>0</v>
      </c>
      <c r="H460" s="19"/>
      <c r="I460" s="19">
        <f t="shared" ref="I460:Q460" si="145">I461</f>
        <v>0</v>
      </c>
      <c r="J460" s="19">
        <f t="shared" si="145"/>
        <v>0</v>
      </c>
      <c r="K460" s="19"/>
      <c r="L460" s="19">
        <f t="shared" si="145"/>
        <v>0</v>
      </c>
      <c r="M460" s="19"/>
      <c r="N460" s="19">
        <f t="shared" si="145"/>
        <v>0</v>
      </c>
      <c r="O460" s="19">
        <f t="shared" si="145"/>
        <v>0</v>
      </c>
      <c r="P460" s="19"/>
      <c r="Q460" s="366">
        <f t="shared" si="145"/>
        <v>0</v>
      </c>
      <c r="R460" s="64"/>
      <c r="S460" s="367"/>
      <c r="T460" s="64"/>
      <c r="U460" s="64"/>
      <c r="V460" s="64"/>
      <c r="W460" s="64"/>
      <c r="X460" s="64"/>
      <c r="Y460" s="64"/>
    </row>
    <row r="461" spans="1:25" hidden="1" x14ac:dyDescent="0.25">
      <c r="A461" s="45">
        <v>5366</v>
      </c>
      <c r="B461" s="23">
        <v>521100</v>
      </c>
      <c r="C461" s="9" t="s">
        <v>395</v>
      </c>
      <c r="D461" s="9"/>
      <c r="E461" s="36"/>
      <c r="F461" s="36"/>
      <c r="G461" s="37">
        <f t="shared" si="143"/>
        <v>0</v>
      </c>
      <c r="H461" s="37"/>
      <c r="I461" s="36"/>
      <c r="J461" s="36"/>
      <c r="K461" s="36"/>
      <c r="L461" s="36"/>
      <c r="M461" s="36"/>
      <c r="N461" s="36"/>
      <c r="O461" s="36"/>
      <c r="P461" s="36"/>
      <c r="Q461" s="382"/>
      <c r="R461" s="47"/>
      <c r="S461" s="383"/>
      <c r="T461" s="47"/>
      <c r="U461" s="47"/>
      <c r="V461" s="47"/>
      <c r="W461" s="47"/>
      <c r="X461" s="47"/>
      <c r="Y461" s="47"/>
    </row>
    <row r="462" spans="1:25" ht="26.25" hidden="1" x14ac:dyDescent="0.25">
      <c r="A462" s="361">
        <v>5367</v>
      </c>
      <c r="B462" s="354">
        <v>522000</v>
      </c>
      <c r="C462" s="18" t="s">
        <v>396</v>
      </c>
      <c r="D462" s="18"/>
      <c r="E462" s="19">
        <f>SUM(E463:E469)</f>
        <v>0</v>
      </c>
      <c r="F462" s="19"/>
      <c r="G462" s="19">
        <f t="shared" si="143"/>
        <v>0</v>
      </c>
      <c r="H462" s="19"/>
      <c r="I462" s="19">
        <f t="shared" ref="I462:Q462" si="146">SUM(I463:I469)</f>
        <v>0</v>
      </c>
      <c r="J462" s="19">
        <f t="shared" si="146"/>
        <v>0</v>
      </c>
      <c r="K462" s="19"/>
      <c r="L462" s="19">
        <f t="shared" si="146"/>
        <v>0</v>
      </c>
      <c r="M462" s="19"/>
      <c r="N462" s="19">
        <f t="shared" si="146"/>
        <v>0</v>
      </c>
      <c r="O462" s="19">
        <f t="shared" si="146"/>
        <v>0</v>
      </c>
      <c r="P462" s="19"/>
      <c r="Q462" s="366">
        <f t="shared" si="146"/>
        <v>0</v>
      </c>
      <c r="R462" s="64"/>
      <c r="S462" s="367"/>
      <c r="T462" s="64"/>
      <c r="U462" s="64"/>
      <c r="V462" s="64"/>
      <c r="W462" s="64"/>
      <c r="X462" s="64"/>
      <c r="Y462" s="64"/>
    </row>
    <row r="463" spans="1:25" hidden="1" x14ac:dyDescent="0.25">
      <c r="A463" s="45">
        <v>5368</v>
      </c>
      <c r="B463" s="23">
        <v>522100</v>
      </c>
      <c r="C463" s="9" t="s">
        <v>397</v>
      </c>
      <c r="D463" s="9"/>
      <c r="E463" s="36"/>
      <c r="F463" s="36"/>
      <c r="G463" s="37">
        <f t="shared" si="143"/>
        <v>0</v>
      </c>
      <c r="H463" s="37"/>
      <c r="I463" s="36"/>
      <c r="J463" s="36"/>
      <c r="K463" s="36"/>
      <c r="L463" s="36"/>
      <c r="M463" s="36"/>
      <c r="N463" s="36"/>
      <c r="O463" s="36"/>
      <c r="P463" s="36"/>
      <c r="Q463" s="382"/>
      <c r="R463" s="47"/>
      <c r="S463" s="383"/>
      <c r="T463" s="47"/>
      <c r="U463" s="47"/>
      <c r="V463" s="47"/>
      <c r="W463" s="47"/>
      <c r="X463" s="47"/>
      <c r="Y463" s="47"/>
    </row>
    <row r="464" spans="1:25" hidden="1" x14ac:dyDescent="0.25">
      <c r="A464" s="542" t="s">
        <v>0</v>
      </c>
      <c r="B464" s="543" t="s">
        <v>1</v>
      </c>
      <c r="C464" s="542" t="s">
        <v>2</v>
      </c>
      <c r="D464" s="360"/>
      <c r="E464" s="542" t="s">
        <v>217</v>
      </c>
      <c r="F464" s="360"/>
      <c r="G464" s="544" t="s">
        <v>198</v>
      </c>
      <c r="H464" s="544"/>
      <c r="I464" s="545"/>
      <c r="J464" s="545"/>
      <c r="K464" s="545"/>
      <c r="L464" s="545"/>
      <c r="M464" s="545"/>
      <c r="N464" s="545"/>
      <c r="O464" s="545"/>
      <c r="P464" s="545"/>
      <c r="Q464" s="545"/>
      <c r="R464" s="365"/>
      <c r="S464" s="365"/>
      <c r="T464" s="365"/>
      <c r="U464" s="365"/>
      <c r="V464" s="365"/>
      <c r="W464" s="365"/>
      <c r="X464" s="365"/>
      <c r="Y464" s="365"/>
    </row>
    <row r="465" spans="1:25" hidden="1" x14ac:dyDescent="0.25">
      <c r="A465" s="542"/>
      <c r="B465" s="543"/>
      <c r="C465" s="542"/>
      <c r="D465" s="360"/>
      <c r="E465" s="542"/>
      <c r="F465" s="360"/>
      <c r="G465" s="544" t="s">
        <v>199</v>
      </c>
      <c r="H465" s="354"/>
      <c r="I465" s="544" t="s">
        <v>200</v>
      </c>
      <c r="J465" s="545"/>
      <c r="K465" s="545"/>
      <c r="L465" s="545"/>
      <c r="M465" s="545"/>
      <c r="N465" s="545"/>
      <c r="O465" s="544" t="s">
        <v>7</v>
      </c>
      <c r="P465" s="354"/>
      <c r="Q465" s="534" t="s">
        <v>8</v>
      </c>
      <c r="R465" s="61"/>
      <c r="S465" s="61"/>
      <c r="T465" s="61"/>
      <c r="U465" s="61"/>
      <c r="V465" s="61"/>
      <c r="W465" s="61"/>
      <c r="X465" s="61"/>
      <c r="Y465" s="61"/>
    </row>
    <row r="466" spans="1:25" ht="166.5" hidden="1" x14ac:dyDescent="0.25">
      <c r="A466" s="542"/>
      <c r="B466" s="543"/>
      <c r="C466" s="542"/>
      <c r="D466" s="360"/>
      <c r="E466" s="542"/>
      <c r="F466" s="360"/>
      <c r="G466" s="545"/>
      <c r="H466" s="362"/>
      <c r="I466" s="354" t="s">
        <v>201</v>
      </c>
      <c r="J466" s="354" t="s">
        <v>10</v>
      </c>
      <c r="K466" s="354"/>
      <c r="L466" s="354" t="s">
        <v>11</v>
      </c>
      <c r="M466" s="354"/>
      <c r="N466" s="354" t="s">
        <v>12</v>
      </c>
      <c r="O466" s="545"/>
      <c r="P466" s="362"/>
      <c r="Q466" s="741"/>
      <c r="R466" s="365"/>
      <c r="S466" s="364"/>
      <c r="T466" s="61"/>
      <c r="U466" s="365"/>
      <c r="V466" s="365"/>
      <c r="W466" s="365"/>
      <c r="X466" s="365"/>
      <c r="Y466" s="365"/>
    </row>
    <row r="467" spans="1:25" ht="26.25" hidden="1" x14ac:dyDescent="0.25">
      <c r="A467" s="359" t="s">
        <v>18</v>
      </c>
      <c r="B467" s="359" t="s">
        <v>19</v>
      </c>
      <c r="C467" s="359" t="s">
        <v>20</v>
      </c>
      <c r="D467" s="359"/>
      <c r="E467" s="359" t="s">
        <v>21</v>
      </c>
      <c r="F467" s="359"/>
      <c r="G467" s="359" t="s">
        <v>22</v>
      </c>
      <c r="H467" s="359"/>
      <c r="I467" s="359" t="s">
        <v>23</v>
      </c>
      <c r="J467" s="359" t="s">
        <v>24</v>
      </c>
      <c r="K467" s="359"/>
      <c r="L467" s="359" t="s">
        <v>25</v>
      </c>
      <c r="M467" s="359"/>
      <c r="N467" s="359" t="s">
        <v>26</v>
      </c>
      <c r="O467" s="359" t="s">
        <v>27</v>
      </c>
      <c r="P467" s="359"/>
      <c r="Q467" s="379" t="s">
        <v>28</v>
      </c>
      <c r="R467" s="380"/>
      <c r="S467" s="381"/>
      <c r="T467" s="380"/>
      <c r="U467" s="380"/>
      <c r="V467" s="380"/>
      <c r="W467" s="380"/>
      <c r="X467" s="380"/>
      <c r="Y467" s="380"/>
    </row>
    <row r="468" spans="1:25" hidden="1" x14ac:dyDescent="0.25">
      <c r="A468" s="45">
        <v>5369</v>
      </c>
      <c r="B468" s="23">
        <v>522200</v>
      </c>
      <c r="C468" s="9" t="s">
        <v>398</v>
      </c>
      <c r="D468" s="9"/>
      <c r="E468" s="36"/>
      <c r="F468" s="36"/>
      <c r="G468" s="37">
        <f t="shared" si="143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82"/>
      <c r="R468" s="47"/>
      <c r="S468" s="383"/>
      <c r="T468" s="47"/>
      <c r="U468" s="47"/>
      <c r="V468" s="47"/>
      <c r="W468" s="47"/>
      <c r="X468" s="47"/>
      <c r="Y468" s="47"/>
    </row>
    <row r="469" spans="1:25" hidden="1" x14ac:dyDescent="0.25">
      <c r="A469" s="45">
        <v>5370</v>
      </c>
      <c r="B469" s="23">
        <v>522300</v>
      </c>
      <c r="C469" s="9" t="s">
        <v>399</v>
      </c>
      <c r="D469" s="9"/>
      <c r="E469" s="36"/>
      <c r="F469" s="36"/>
      <c r="G469" s="37">
        <f t="shared" si="143"/>
        <v>0</v>
      </c>
      <c r="H469" s="37"/>
      <c r="I469" s="36"/>
      <c r="J469" s="36"/>
      <c r="K469" s="36"/>
      <c r="L469" s="36"/>
      <c r="M469" s="36"/>
      <c r="N469" s="36"/>
      <c r="O469" s="36"/>
      <c r="P469" s="36"/>
      <c r="Q469" s="382"/>
      <c r="R469" s="47"/>
      <c r="S469" s="383"/>
      <c r="T469" s="47"/>
      <c r="U469" s="47"/>
      <c r="V469" s="47"/>
      <c r="W469" s="47"/>
      <c r="X469" s="47"/>
      <c r="Y469" s="47"/>
    </row>
    <row r="470" spans="1:25" ht="26.25" hidden="1" x14ac:dyDescent="0.25">
      <c r="A470" s="361">
        <v>5371</v>
      </c>
      <c r="B470" s="354">
        <v>523000</v>
      </c>
      <c r="C470" s="18" t="s">
        <v>400</v>
      </c>
      <c r="D470" s="18"/>
      <c r="E470" s="19">
        <f>E471</f>
        <v>0</v>
      </c>
      <c r="F470" s="19"/>
      <c r="G470" s="19">
        <f t="shared" si="143"/>
        <v>0</v>
      </c>
      <c r="H470" s="19"/>
      <c r="I470" s="19">
        <f t="shared" ref="I470:Q470" si="147">I471</f>
        <v>0</v>
      </c>
      <c r="J470" s="19">
        <f t="shared" si="147"/>
        <v>0</v>
      </c>
      <c r="K470" s="19"/>
      <c r="L470" s="19">
        <f t="shared" si="147"/>
        <v>0</v>
      </c>
      <c r="M470" s="19"/>
      <c r="N470" s="19">
        <f t="shared" si="147"/>
        <v>0</v>
      </c>
      <c r="O470" s="19">
        <f t="shared" si="147"/>
        <v>0</v>
      </c>
      <c r="P470" s="19"/>
      <c r="Q470" s="366">
        <f t="shared" si="147"/>
        <v>0</v>
      </c>
      <c r="R470" s="64"/>
      <c r="S470" s="367"/>
      <c r="T470" s="64"/>
      <c r="U470" s="64"/>
      <c r="V470" s="64"/>
      <c r="W470" s="64"/>
      <c r="X470" s="64"/>
      <c r="Y470" s="64"/>
    </row>
    <row r="471" spans="1:25" hidden="1" x14ac:dyDescent="0.25">
      <c r="A471" s="45">
        <v>5372</v>
      </c>
      <c r="B471" s="23">
        <v>523100</v>
      </c>
      <c r="C471" s="9" t="s">
        <v>401</v>
      </c>
      <c r="D471" s="9"/>
      <c r="E471" s="36"/>
      <c r="F471" s="36"/>
      <c r="G471" s="37">
        <f t="shared" si="143"/>
        <v>0</v>
      </c>
      <c r="H471" s="37"/>
      <c r="I471" s="36"/>
      <c r="J471" s="36"/>
      <c r="K471" s="36"/>
      <c r="L471" s="36"/>
      <c r="M471" s="36"/>
      <c r="N471" s="36"/>
      <c r="O471" s="36"/>
      <c r="P471" s="36"/>
      <c r="Q471" s="382"/>
      <c r="R471" s="47"/>
      <c r="S471" s="383"/>
      <c r="T471" s="47"/>
      <c r="U471" s="47"/>
      <c r="V471" s="47"/>
      <c r="W471" s="47"/>
      <c r="X471" s="47"/>
      <c r="Y471" s="47"/>
    </row>
    <row r="472" spans="1:25" hidden="1" x14ac:dyDescent="0.25">
      <c r="A472" s="361">
        <v>5373</v>
      </c>
      <c r="B472" s="354">
        <v>530000</v>
      </c>
      <c r="C472" s="18" t="s">
        <v>402</v>
      </c>
      <c r="D472" s="18"/>
      <c r="E472" s="19">
        <f>E473</f>
        <v>0</v>
      </c>
      <c r="F472" s="19"/>
      <c r="G472" s="19">
        <f t="shared" si="143"/>
        <v>0</v>
      </c>
      <c r="H472" s="19"/>
      <c r="I472" s="19">
        <f t="shared" ref="I472:Q473" si="148">I473</f>
        <v>0</v>
      </c>
      <c r="J472" s="19">
        <f t="shared" si="148"/>
        <v>0</v>
      </c>
      <c r="K472" s="19"/>
      <c r="L472" s="19">
        <f t="shared" si="148"/>
        <v>0</v>
      </c>
      <c r="M472" s="19"/>
      <c r="N472" s="19">
        <f t="shared" si="148"/>
        <v>0</v>
      </c>
      <c r="O472" s="19">
        <f t="shared" si="148"/>
        <v>0</v>
      </c>
      <c r="P472" s="19"/>
      <c r="Q472" s="366">
        <f t="shared" si="148"/>
        <v>0</v>
      </c>
      <c r="R472" s="64"/>
      <c r="S472" s="367"/>
      <c r="T472" s="64"/>
      <c r="U472" s="64"/>
      <c r="V472" s="64"/>
      <c r="W472" s="64"/>
      <c r="X472" s="64"/>
      <c r="Y472" s="64"/>
    </row>
    <row r="473" spans="1:25" hidden="1" x14ac:dyDescent="0.25">
      <c r="A473" s="361">
        <v>5374</v>
      </c>
      <c r="B473" s="354">
        <v>531000</v>
      </c>
      <c r="C473" s="18" t="s">
        <v>403</v>
      </c>
      <c r="D473" s="18"/>
      <c r="E473" s="19">
        <f>E474</f>
        <v>0</v>
      </c>
      <c r="F473" s="19"/>
      <c r="G473" s="19">
        <f t="shared" si="143"/>
        <v>0</v>
      </c>
      <c r="H473" s="19"/>
      <c r="I473" s="19">
        <f t="shared" si="148"/>
        <v>0</v>
      </c>
      <c r="J473" s="19">
        <f t="shared" si="148"/>
        <v>0</v>
      </c>
      <c r="K473" s="19"/>
      <c r="L473" s="19">
        <f t="shared" si="148"/>
        <v>0</v>
      </c>
      <c r="M473" s="19"/>
      <c r="N473" s="19">
        <f t="shared" si="148"/>
        <v>0</v>
      </c>
      <c r="O473" s="19">
        <f t="shared" si="148"/>
        <v>0</v>
      </c>
      <c r="P473" s="19"/>
      <c r="Q473" s="366">
        <f t="shared" si="148"/>
        <v>0</v>
      </c>
      <c r="R473" s="64"/>
      <c r="S473" s="367"/>
      <c r="T473" s="64"/>
      <c r="U473" s="64"/>
      <c r="V473" s="64"/>
      <c r="W473" s="64"/>
      <c r="X473" s="64"/>
      <c r="Y473" s="64"/>
    </row>
    <row r="474" spans="1:25" hidden="1" x14ac:dyDescent="0.25">
      <c r="A474" s="45">
        <v>5375</v>
      </c>
      <c r="B474" s="23">
        <v>531100</v>
      </c>
      <c r="C474" s="9" t="s">
        <v>404</v>
      </c>
      <c r="D474" s="9"/>
      <c r="E474" s="36"/>
      <c r="F474" s="36"/>
      <c r="G474" s="37">
        <f t="shared" si="143"/>
        <v>0</v>
      </c>
      <c r="H474" s="37"/>
      <c r="I474" s="36"/>
      <c r="J474" s="36"/>
      <c r="K474" s="36"/>
      <c r="L474" s="36"/>
      <c r="M474" s="36"/>
      <c r="N474" s="36"/>
      <c r="O474" s="36"/>
      <c r="P474" s="36"/>
      <c r="Q474" s="382"/>
      <c r="R474" s="47"/>
      <c r="S474" s="383"/>
      <c r="T474" s="47"/>
      <c r="U474" s="47"/>
      <c r="V474" s="47"/>
      <c r="W474" s="47"/>
      <c r="X474" s="47"/>
      <c r="Y474" s="47"/>
    </row>
    <row r="475" spans="1:25" ht="26.25" hidden="1" x14ac:dyDescent="0.25">
      <c r="A475" s="361">
        <v>5376</v>
      </c>
      <c r="B475" s="354">
        <v>540000</v>
      </c>
      <c r="C475" s="18" t="s">
        <v>405</v>
      </c>
      <c r="D475" s="18"/>
      <c r="E475" s="19">
        <f>E476+E478+E480</f>
        <v>0</v>
      </c>
      <c r="F475" s="19"/>
      <c r="G475" s="19">
        <f t="shared" si="143"/>
        <v>0</v>
      </c>
      <c r="H475" s="19"/>
      <c r="I475" s="19">
        <f t="shared" ref="I475:Q475" si="149">I476+I478+I480</f>
        <v>0</v>
      </c>
      <c r="J475" s="19">
        <f t="shared" si="149"/>
        <v>0</v>
      </c>
      <c r="K475" s="19"/>
      <c r="L475" s="19">
        <f t="shared" si="149"/>
        <v>0</v>
      </c>
      <c r="M475" s="19"/>
      <c r="N475" s="19">
        <f t="shared" si="149"/>
        <v>0</v>
      </c>
      <c r="O475" s="19">
        <f t="shared" si="149"/>
        <v>0</v>
      </c>
      <c r="P475" s="19"/>
      <c r="Q475" s="366">
        <f t="shared" si="149"/>
        <v>0</v>
      </c>
      <c r="R475" s="64"/>
      <c r="S475" s="367"/>
      <c r="T475" s="64"/>
      <c r="U475" s="64"/>
      <c r="V475" s="64"/>
      <c r="W475" s="64"/>
      <c r="X475" s="64"/>
      <c r="Y475" s="64"/>
    </row>
    <row r="476" spans="1:25" hidden="1" x14ac:dyDescent="0.25">
      <c r="A476" s="361">
        <v>5377</v>
      </c>
      <c r="B476" s="354">
        <v>541000</v>
      </c>
      <c r="C476" s="18" t="s">
        <v>406</v>
      </c>
      <c r="D476" s="18"/>
      <c r="E476" s="19">
        <f>E477</f>
        <v>0</v>
      </c>
      <c r="F476" s="19"/>
      <c r="G476" s="19">
        <f t="shared" si="143"/>
        <v>0</v>
      </c>
      <c r="H476" s="19"/>
      <c r="I476" s="19">
        <f t="shared" ref="I476:Q476" si="150">I477</f>
        <v>0</v>
      </c>
      <c r="J476" s="19">
        <f t="shared" si="150"/>
        <v>0</v>
      </c>
      <c r="K476" s="19"/>
      <c r="L476" s="19">
        <f t="shared" si="150"/>
        <v>0</v>
      </c>
      <c r="M476" s="19"/>
      <c r="N476" s="19">
        <f t="shared" si="150"/>
        <v>0</v>
      </c>
      <c r="O476" s="19">
        <f t="shared" si="150"/>
        <v>0</v>
      </c>
      <c r="P476" s="19"/>
      <c r="Q476" s="366">
        <f t="shared" si="150"/>
        <v>0</v>
      </c>
      <c r="R476" s="64"/>
      <c r="S476" s="367"/>
      <c r="T476" s="64"/>
      <c r="U476" s="64"/>
      <c r="V476" s="64"/>
      <c r="W476" s="64"/>
      <c r="X476" s="64"/>
      <c r="Y476" s="64"/>
    </row>
    <row r="477" spans="1:25" hidden="1" x14ac:dyDescent="0.25">
      <c r="A477" s="45">
        <v>5378</v>
      </c>
      <c r="B477" s="23">
        <v>541100</v>
      </c>
      <c r="C477" s="9" t="s">
        <v>407</v>
      </c>
      <c r="D477" s="9"/>
      <c r="E477" s="36"/>
      <c r="F477" s="36"/>
      <c r="G477" s="37">
        <f t="shared" si="143"/>
        <v>0</v>
      </c>
      <c r="H477" s="37"/>
      <c r="I477" s="36"/>
      <c r="J477" s="36"/>
      <c r="K477" s="36"/>
      <c r="L477" s="36"/>
      <c r="M477" s="36"/>
      <c r="N477" s="36"/>
      <c r="O477" s="36"/>
      <c r="P477" s="36"/>
      <c r="Q477" s="382"/>
      <c r="R477" s="47"/>
      <c r="S477" s="383"/>
      <c r="T477" s="47"/>
      <c r="U477" s="47"/>
      <c r="V477" s="47"/>
      <c r="W477" s="47"/>
      <c r="X477" s="47"/>
      <c r="Y477" s="47"/>
    </row>
    <row r="478" spans="1:25" hidden="1" x14ac:dyDescent="0.25">
      <c r="A478" s="361">
        <v>5379</v>
      </c>
      <c r="B478" s="354">
        <v>542000</v>
      </c>
      <c r="C478" s="18" t="s">
        <v>408</v>
      </c>
      <c r="D478" s="18"/>
      <c r="E478" s="19">
        <f>E479</f>
        <v>0</v>
      </c>
      <c r="F478" s="19"/>
      <c r="G478" s="19">
        <f t="shared" si="143"/>
        <v>0</v>
      </c>
      <c r="H478" s="19"/>
      <c r="I478" s="19">
        <f t="shared" ref="I478:Q478" si="151">I479</f>
        <v>0</v>
      </c>
      <c r="J478" s="19">
        <f t="shared" si="151"/>
        <v>0</v>
      </c>
      <c r="K478" s="19"/>
      <c r="L478" s="19">
        <f t="shared" si="151"/>
        <v>0</v>
      </c>
      <c r="M478" s="19"/>
      <c r="N478" s="19">
        <f t="shared" si="151"/>
        <v>0</v>
      </c>
      <c r="O478" s="19">
        <f t="shared" si="151"/>
        <v>0</v>
      </c>
      <c r="P478" s="19"/>
      <c r="Q478" s="366">
        <f t="shared" si="151"/>
        <v>0</v>
      </c>
      <c r="R478" s="64"/>
      <c r="S478" s="367"/>
      <c r="T478" s="64"/>
      <c r="U478" s="64"/>
      <c r="V478" s="64"/>
      <c r="W478" s="64"/>
      <c r="X478" s="64"/>
      <c r="Y478" s="64"/>
    </row>
    <row r="479" spans="1:25" hidden="1" x14ac:dyDescent="0.25">
      <c r="A479" s="45">
        <v>5380</v>
      </c>
      <c r="B479" s="23">
        <v>542100</v>
      </c>
      <c r="C479" s="9" t="s">
        <v>409</v>
      </c>
      <c r="D479" s="9"/>
      <c r="E479" s="36"/>
      <c r="F479" s="36"/>
      <c r="G479" s="37">
        <f t="shared" si="143"/>
        <v>0</v>
      </c>
      <c r="H479" s="37"/>
      <c r="I479" s="36"/>
      <c r="J479" s="36"/>
      <c r="K479" s="36"/>
      <c r="L479" s="36"/>
      <c r="M479" s="36"/>
      <c r="N479" s="36"/>
      <c r="O479" s="36"/>
      <c r="P479" s="36"/>
      <c r="Q479" s="382"/>
      <c r="R479" s="47"/>
      <c r="S479" s="383"/>
      <c r="T479" s="47"/>
      <c r="U479" s="47"/>
      <c r="V479" s="47"/>
      <c r="W479" s="47"/>
      <c r="X479" s="47"/>
      <c r="Y479" s="47"/>
    </row>
    <row r="480" spans="1:25" hidden="1" x14ac:dyDescent="0.25">
      <c r="A480" s="361">
        <v>5381</v>
      </c>
      <c r="B480" s="354">
        <v>543000</v>
      </c>
      <c r="C480" s="18" t="s">
        <v>410</v>
      </c>
      <c r="D480" s="18"/>
      <c r="E480" s="19">
        <f>E481+E482</f>
        <v>0</v>
      </c>
      <c r="F480" s="19"/>
      <c r="G480" s="19">
        <f t="shared" si="143"/>
        <v>0</v>
      </c>
      <c r="H480" s="19"/>
      <c r="I480" s="19">
        <f t="shared" ref="I480:Q480" si="152">I481+I482</f>
        <v>0</v>
      </c>
      <c r="J480" s="19">
        <f t="shared" si="152"/>
        <v>0</v>
      </c>
      <c r="K480" s="19"/>
      <c r="L480" s="19">
        <f t="shared" si="152"/>
        <v>0</v>
      </c>
      <c r="M480" s="19"/>
      <c r="N480" s="19">
        <f t="shared" si="152"/>
        <v>0</v>
      </c>
      <c r="O480" s="19">
        <f t="shared" si="152"/>
        <v>0</v>
      </c>
      <c r="P480" s="19"/>
      <c r="Q480" s="366">
        <f t="shared" si="152"/>
        <v>0</v>
      </c>
      <c r="R480" s="64"/>
      <c r="S480" s="367"/>
      <c r="T480" s="64"/>
      <c r="U480" s="64"/>
      <c r="V480" s="64"/>
      <c r="W480" s="64"/>
      <c r="X480" s="64"/>
      <c r="Y480" s="64"/>
    </row>
    <row r="481" spans="1:25" hidden="1" x14ac:dyDescent="0.25">
      <c r="A481" s="45">
        <v>5382</v>
      </c>
      <c r="B481" s="23">
        <v>543100</v>
      </c>
      <c r="C481" s="9" t="s">
        <v>411</v>
      </c>
      <c r="D481" s="9"/>
      <c r="E481" s="36"/>
      <c r="F481" s="36"/>
      <c r="G481" s="37">
        <f t="shared" si="143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82"/>
      <c r="R481" s="47"/>
      <c r="S481" s="383"/>
      <c r="T481" s="47"/>
      <c r="U481" s="47"/>
      <c r="V481" s="47"/>
      <c r="W481" s="47"/>
      <c r="X481" s="47"/>
      <c r="Y481" s="47"/>
    </row>
    <row r="482" spans="1:25" hidden="1" x14ac:dyDescent="0.25">
      <c r="A482" s="45">
        <v>5383</v>
      </c>
      <c r="B482" s="23">
        <v>543200</v>
      </c>
      <c r="C482" s="9" t="s">
        <v>412</v>
      </c>
      <c r="D482" s="9"/>
      <c r="E482" s="36"/>
      <c r="F482" s="36"/>
      <c r="G482" s="37">
        <f t="shared" si="143"/>
        <v>0</v>
      </c>
      <c r="H482" s="37"/>
      <c r="I482" s="36"/>
      <c r="J482" s="36"/>
      <c r="K482" s="36"/>
      <c r="L482" s="36"/>
      <c r="M482" s="36"/>
      <c r="N482" s="36"/>
      <c r="O482" s="36"/>
      <c r="P482" s="36"/>
      <c r="Q482" s="382"/>
      <c r="R482" s="47"/>
      <c r="S482" s="383"/>
      <c r="T482" s="47"/>
      <c r="U482" s="47"/>
      <c r="V482" s="47"/>
      <c r="W482" s="47"/>
      <c r="X482" s="47"/>
      <c r="Y482" s="47"/>
    </row>
    <row r="483" spans="1:25" ht="90" hidden="1" x14ac:dyDescent="0.25">
      <c r="A483" s="361">
        <v>5384</v>
      </c>
      <c r="B483" s="354">
        <v>550000</v>
      </c>
      <c r="C483" s="18" t="s">
        <v>413</v>
      </c>
      <c r="D483" s="18"/>
      <c r="E483" s="19">
        <f>E484</f>
        <v>0</v>
      </c>
      <c r="F483" s="19"/>
      <c r="G483" s="19">
        <f t="shared" si="143"/>
        <v>0</v>
      </c>
      <c r="H483" s="19"/>
      <c r="I483" s="19">
        <f t="shared" ref="I483:Q484" si="153">I484</f>
        <v>0</v>
      </c>
      <c r="J483" s="19">
        <f t="shared" si="153"/>
        <v>0</v>
      </c>
      <c r="K483" s="19"/>
      <c r="L483" s="19">
        <f t="shared" si="153"/>
        <v>0</v>
      </c>
      <c r="M483" s="19"/>
      <c r="N483" s="19">
        <f t="shared" si="153"/>
        <v>0</v>
      </c>
      <c r="O483" s="19">
        <f t="shared" si="153"/>
        <v>0</v>
      </c>
      <c r="P483" s="19"/>
      <c r="Q483" s="366">
        <f t="shared" si="153"/>
        <v>0</v>
      </c>
      <c r="R483" s="64"/>
      <c r="S483" s="367"/>
      <c r="T483" s="64"/>
      <c r="U483" s="64"/>
      <c r="V483" s="64"/>
      <c r="W483" s="64"/>
      <c r="X483" s="64"/>
      <c r="Y483" s="64"/>
    </row>
    <row r="484" spans="1:25" ht="90" hidden="1" x14ac:dyDescent="0.25">
      <c r="A484" s="361">
        <v>5385</v>
      </c>
      <c r="B484" s="354">
        <v>551000</v>
      </c>
      <c r="C484" s="18" t="s">
        <v>414</v>
      </c>
      <c r="D484" s="18"/>
      <c r="E484" s="19">
        <f>E485</f>
        <v>0</v>
      </c>
      <c r="F484" s="19"/>
      <c r="G484" s="19">
        <f t="shared" si="143"/>
        <v>0</v>
      </c>
      <c r="H484" s="19"/>
      <c r="I484" s="19">
        <f t="shared" si="153"/>
        <v>0</v>
      </c>
      <c r="J484" s="19">
        <f t="shared" si="153"/>
        <v>0</v>
      </c>
      <c r="K484" s="19"/>
      <c r="L484" s="19">
        <f t="shared" si="153"/>
        <v>0</v>
      </c>
      <c r="M484" s="19"/>
      <c r="N484" s="19">
        <f t="shared" si="153"/>
        <v>0</v>
      </c>
      <c r="O484" s="19">
        <f t="shared" si="153"/>
        <v>0</v>
      </c>
      <c r="P484" s="19"/>
      <c r="Q484" s="366">
        <f t="shared" si="153"/>
        <v>0</v>
      </c>
      <c r="R484" s="64"/>
      <c r="S484" s="367"/>
      <c r="T484" s="64"/>
      <c r="U484" s="64"/>
      <c r="V484" s="64"/>
      <c r="W484" s="64"/>
      <c r="X484" s="64"/>
      <c r="Y484" s="64"/>
    </row>
    <row r="485" spans="1:25" ht="51.75" hidden="1" x14ac:dyDescent="0.25">
      <c r="A485" s="45">
        <v>5386</v>
      </c>
      <c r="B485" s="23">
        <v>551100</v>
      </c>
      <c r="C485" s="9" t="s">
        <v>415</v>
      </c>
      <c r="D485" s="9"/>
      <c r="E485" s="36"/>
      <c r="F485" s="36"/>
      <c r="G485" s="37">
        <f t="shared" si="143"/>
        <v>0</v>
      </c>
      <c r="H485" s="37"/>
      <c r="I485" s="36"/>
      <c r="J485" s="36"/>
      <c r="K485" s="36"/>
      <c r="L485" s="36"/>
      <c r="M485" s="36"/>
      <c r="N485" s="36"/>
      <c r="O485" s="36"/>
      <c r="P485" s="36"/>
      <c r="Q485" s="382"/>
      <c r="R485" s="47"/>
      <c r="S485" s="383"/>
      <c r="T485" s="47"/>
      <c r="U485" s="47"/>
      <c r="V485" s="47"/>
      <c r="W485" s="47"/>
      <c r="X485" s="47"/>
      <c r="Y485" s="47"/>
    </row>
    <row r="486" spans="1:25" ht="51.75" hidden="1" x14ac:dyDescent="0.25">
      <c r="A486" s="361">
        <v>5387</v>
      </c>
      <c r="B486" s="354">
        <v>600000</v>
      </c>
      <c r="C486" s="18" t="s">
        <v>416</v>
      </c>
      <c r="D486" s="18"/>
      <c r="E486" s="19">
        <f>E487+E516</f>
        <v>0</v>
      </c>
      <c r="F486" s="19"/>
      <c r="G486" s="19">
        <f t="shared" si="143"/>
        <v>0</v>
      </c>
      <c r="H486" s="19"/>
      <c r="I486" s="19">
        <f t="shared" ref="I486:Q486" si="154">I487+I516</f>
        <v>0</v>
      </c>
      <c r="J486" s="19">
        <f t="shared" si="154"/>
        <v>0</v>
      </c>
      <c r="K486" s="19"/>
      <c r="L486" s="19">
        <f t="shared" si="154"/>
        <v>0</v>
      </c>
      <c r="M486" s="19"/>
      <c r="N486" s="19">
        <f t="shared" si="154"/>
        <v>0</v>
      </c>
      <c r="O486" s="19">
        <f t="shared" si="154"/>
        <v>0</v>
      </c>
      <c r="P486" s="19"/>
      <c r="Q486" s="366">
        <f t="shared" si="154"/>
        <v>0</v>
      </c>
      <c r="R486" s="64"/>
      <c r="S486" s="367"/>
      <c r="T486" s="64"/>
      <c r="U486" s="64"/>
      <c r="V486" s="64"/>
      <c r="W486" s="64"/>
      <c r="X486" s="64"/>
      <c r="Y486" s="64"/>
    </row>
    <row r="487" spans="1:25" ht="26.25" hidden="1" x14ac:dyDescent="0.25">
      <c r="A487" s="361">
        <v>5388</v>
      </c>
      <c r="B487" s="354">
        <v>610000</v>
      </c>
      <c r="C487" s="18" t="s">
        <v>417</v>
      </c>
      <c r="D487" s="18"/>
      <c r="E487" s="19">
        <f>E488+E502+E510+E512+E514</f>
        <v>0</v>
      </c>
      <c r="F487" s="19"/>
      <c r="G487" s="19">
        <f t="shared" si="143"/>
        <v>0</v>
      </c>
      <c r="H487" s="19"/>
      <c r="I487" s="19">
        <f t="shared" ref="I487:Q487" si="155">I488+I502+I510+I512+I514</f>
        <v>0</v>
      </c>
      <c r="J487" s="19">
        <f t="shared" si="155"/>
        <v>0</v>
      </c>
      <c r="K487" s="19"/>
      <c r="L487" s="19">
        <f t="shared" si="155"/>
        <v>0</v>
      </c>
      <c r="M487" s="19"/>
      <c r="N487" s="19">
        <f t="shared" si="155"/>
        <v>0</v>
      </c>
      <c r="O487" s="19">
        <f t="shared" si="155"/>
        <v>0</v>
      </c>
      <c r="P487" s="19"/>
      <c r="Q487" s="366">
        <f t="shared" si="155"/>
        <v>0</v>
      </c>
      <c r="R487" s="64"/>
      <c r="S487" s="367"/>
      <c r="T487" s="64"/>
      <c r="U487" s="64"/>
      <c r="V487" s="64"/>
      <c r="W487" s="64"/>
      <c r="X487" s="64"/>
      <c r="Y487" s="64"/>
    </row>
    <row r="488" spans="1:25" ht="39" hidden="1" x14ac:dyDescent="0.25">
      <c r="A488" s="361">
        <v>5389</v>
      </c>
      <c r="B488" s="354">
        <v>611000</v>
      </c>
      <c r="C488" s="18" t="s">
        <v>418</v>
      </c>
      <c r="D488" s="18"/>
      <c r="E488" s="19">
        <f>SUM(E489:E501)</f>
        <v>0</v>
      </c>
      <c r="F488" s="19"/>
      <c r="G488" s="19">
        <f t="shared" si="143"/>
        <v>0</v>
      </c>
      <c r="H488" s="19"/>
      <c r="I488" s="19">
        <f t="shared" ref="I488:Q488" si="156">SUM(I489:I501)</f>
        <v>0</v>
      </c>
      <c r="J488" s="19">
        <f t="shared" si="156"/>
        <v>0</v>
      </c>
      <c r="K488" s="19"/>
      <c r="L488" s="19">
        <f t="shared" si="156"/>
        <v>0</v>
      </c>
      <c r="M488" s="19"/>
      <c r="N488" s="19">
        <f t="shared" si="156"/>
        <v>0</v>
      </c>
      <c r="O488" s="19">
        <f t="shared" si="156"/>
        <v>0</v>
      </c>
      <c r="P488" s="19"/>
      <c r="Q488" s="366">
        <f t="shared" si="156"/>
        <v>0</v>
      </c>
      <c r="R488" s="64"/>
      <c r="S488" s="367"/>
      <c r="T488" s="64"/>
      <c r="U488" s="64"/>
      <c r="V488" s="64"/>
      <c r="W488" s="64"/>
      <c r="X488" s="64"/>
      <c r="Y488" s="64"/>
    </row>
    <row r="489" spans="1:25" ht="39" hidden="1" x14ac:dyDescent="0.25">
      <c r="A489" s="45">
        <v>5390</v>
      </c>
      <c r="B489" s="23">
        <v>611100</v>
      </c>
      <c r="C489" s="9" t="s">
        <v>419</v>
      </c>
      <c r="D489" s="9"/>
      <c r="E489" s="36"/>
      <c r="F489" s="36"/>
      <c r="G489" s="37">
        <f t="shared" si="143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82"/>
      <c r="R489" s="47"/>
      <c r="S489" s="383"/>
      <c r="T489" s="47"/>
      <c r="U489" s="47"/>
      <c r="V489" s="47"/>
      <c r="W489" s="47"/>
      <c r="X489" s="47"/>
      <c r="Y489" s="47"/>
    </row>
    <row r="490" spans="1:25" ht="26.25" hidden="1" x14ac:dyDescent="0.25">
      <c r="A490" s="45">
        <v>5391</v>
      </c>
      <c r="B490" s="23">
        <v>611200</v>
      </c>
      <c r="C490" s="9" t="s">
        <v>420</v>
      </c>
      <c r="D490" s="9"/>
      <c r="E490" s="36"/>
      <c r="F490" s="36"/>
      <c r="G490" s="37">
        <f t="shared" si="143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82"/>
      <c r="R490" s="47"/>
      <c r="S490" s="383"/>
      <c r="T490" s="47"/>
      <c r="U490" s="47"/>
      <c r="V490" s="47"/>
      <c r="W490" s="47"/>
      <c r="X490" s="47"/>
      <c r="Y490" s="47"/>
    </row>
    <row r="491" spans="1:25" ht="39" hidden="1" x14ac:dyDescent="0.25">
      <c r="A491" s="45">
        <v>5392</v>
      </c>
      <c r="B491" s="23">
        <v>611300</v>
      </c>
      <c r="C491" s="9" t="s">
        <v>421</v>
      </c>
      <c r="D491" s="9"/>
      <c r="E491" s="36"/>
      <c r="F491" s="36"/>
      <c r="G491" s="37">
        <f t="shared" si="143"/>
        <v>0</v>
      </c>
      <c r="H491" s="37"/>
      <c r="I491" s="36"/>
      <c r="J491" s="36"/>
      <c r="K491" s="36"/>
      <c r="L491" s="36"/>
      <c r="M491" s="36"/>
      <c r="N491" s="36"/>
      <c r="O491" s="36"/>
      <c r="P491" s="36"/>
      <c r="Q491" s="382"/>
      <c r="R491" s="47"/>
      <c r="S491" s="383"/>
      <c r="T491" s="47"/>
      <c r="U491" s="47"/>
      <c r="V491" s="47"/>
      <c r="W491" s="47"/>
      <c r="X491" s="47"/>
      <c r="Y491" s="47"/>
    </row>
    <row r="492" spans="1:25" hidden="1" x14ac:dyDescent="0.25">
      <c r="A492" s="542" t="s">
        <v>0</v>
      </c>
      <c r="B492" s="543" t="s">
        <v>1</v>
      </c>
      <c r="C492" s="542" t="s">
        <v>2</v>
      </c>
      <c r="D492" s="360"/>
      <c r="E492" s="542" t="s">
        <v>217</v>
      </c>
      <c r="F492" s="360"/>
      <c r="G492" s="544" t="s">
        <v>198</v>
      </c>
      <c r="H492" s="544"/>
      <c r="I492" s="545"/>
      <c r="J492" s="545"/>
      <c r="K492" s="545"/>
      <c r="L492" s="545"/>
      <c r="M492" s="545"/>
      <c r="N492" s="545"/>
      <c r="O492" s="545"/>
      <c r="P492" s="545"/>
      <c r="Q492" s="545"/>
      <c r="R492" s="365"/>
      <c r="S492" s="365"/>
      <c r="T492" s="365"/>
      <c r="U492" s="365"/>
      <c r="V492" s="365"/>
      <c r="W492" s="365"/>
      <c r="X492" s="365"/>
      <c r="Y492" s="365"/>
    </row>
    <row r="493" spans="1:25" hidden="1" x14ac:dyDescent="0.25">
      <c r="A493" s="542"/>
      <c r="B493" s="543"/>
      <c r="C493" s="542"/>
      <c r="D493" s="360"/>
      <c r="E493" s="542"/>
      <c r="F493" s="360"/>
      <c r="G493" s="544" t="s">
        <v>199</v>
      </c>
      <c r="H493" s="354"/>
      <c r="I493" s="544" t="s">
        <v>200</v>
      </c>
      <c r="J493" s="545"/>
      <c r="K493" s="545"/>
      <c r="L493" s="545"/>
      <c r="M493" s="545"/>
      <c r="N493" s="545"/>
      <c r="O493" s="544" t="s">
        <v>7</v>
      </c>
      <c r="P493" s="354"/>
      <c r="Q493" s="534" t="s">
        <v>8</v>
      </c>
      <c r="R493" s="61"/>
      <c r="S493" s="61"/>
      <c r="T493" s="61"/>
      <c r="U493" s="61"/>
      <c r="V493" s="61"/>
      <c r="W493" s="61"/>
      <c r="X493" s="61"/>
      <c r="Y493" s="61"/>
    </row>
    <row r="494" spans="1:25" ht="166.5" hidden="1" x14ac:dyDescent="0.25">
      <c r="A494" s="542"/>
      <c r="B494" s="543"/>
      <c r="C494" s="542"/>
      <c r="D494" s="360"/>
      <c r="E494" s="542"/>
      <c r="F494" s="360"/>
      <c r="G494" s="545"/>
      <c r="H494" s="362"/>
      <c r="I494" s="354" t="s">
        <v>201</v>
      </c>
      <c r="J494" s="354" t="s">
        <v>10</v>
      </c>
      <c r="K494" s="354"/>
      <c r="L494" s="354" t="s">
        <v>11</v>
      </c>
      <c r="M494" s="354"/>
      <c r="N494" s="354" t="s">
        <v>12</v>
      </c>
      <c r="O494" s="545"/>
      <c r="P494" s="362"/>
      <c r="Q494" s="741"/>
      <c r="R494" s="365"/>
      <c r="S494" s="364"/>
      <c r="T494" s="61"/>
      <c r="U494" s="365"/>
      <c r="V494" s="365"/>
      <c r="W494" s="365"/>
      <c r="X494" s="365"/>
      <c r="Y494" s="365"/>
    </row>
    <row r="495" spans="1:25" ht="26.25" hidden="1" x14ac:dyDescent="0.25">
      <c r="A495" s="359" t="s">
        <v>18</v>
      </c>
      <c r="B495" s="359" t="s">
        <v>19</v>
      </c>
      <c r="C495" s="359" t="s">
        <v>20</v>
      </c>
      <c r="D495" s="359"/>
      <c r="E495" s="359" t="s">
        <v>21</v>
      </c>
      <c r="F495" s="359"/>
      <c r="G495" s="359" t="s">
        <v>22</v>
      </c>
      <c r="H495" s="359"/>
      <c r="I495" s="359" t="s">
        <v>23</v>
      </c>
      <c r="J495" s="359" t="s">
        <v>24</v>
      </c>
      <c r="K495" s="359"/>
      <c r="L495" s="359" t="s">
        <v>25</v>
      </c>
      <c r="M495" s="359"/>
      <c r="N495" s="359" t="s">
        <v>26</v>
      </c>
      <c r="O495" s="359" t="s">
        <v>27</v>
      </c>
      <c r="P495" s="359"/>
      <c r="Q495" s="379" t="s">
        <v>28</v>
      </c>
      <c r="R495" s="380"/>
      <c r="S495" s="381"/>
      <c r="T495" s="380"/>
      <c r="U495" s="380"/>
      <c r="V495" s="380"/>
      <c r="W495" s="380"/>
      <c r="X495" s="380"/>
      <c r="Y495" s="380"/>
    </row>
    <row r="496" spans="1:25" ht="26.25" hidden="1" x14ac:dyDescent="0.25">
      <c r="A496" s="45">
        <v>5393</v>
      </c>
      <c r="B496" s="23">
        <v>611400</v>
      </c>
      <c r="C496" s="9" t="s">
        <v>422</v>
      </c>
      <c r="D496" s="9"/>
      <c r="E496" s="36"/>
      <c r="F496" s="36"/>
      <c r="G496" s="37">
        <f t="shared" si="143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82"/>
      <c r="R496" s="47"/>
      <c r="S496" s="383"/>
      <c r="T496" s="47"/>
      <c r="U496" s="47"/>
      <c r="V496" s="47"/>
      <c r="W496" s="47"/>
      <c r="X496" s="47"/>
      <c r="Y496" s="47"/>
    </row>
    <row r="497" spans="1:25" ht="26.25" hidden="1" x14ac:dyDescent="0.25">
      <c r="A497" s="45">
        <v>5394</v>
      </c>
      <c r="B497" s="23">
        <v>611500</v>
      </c>
      <c r="C497" s="9" t="s">
        <v>423</v>
      </c>
      <c r="D497" s="9"/>
      <c r="E497" s="36"/>
      <c r="F497" s="36"/>
      <c r="G497" s="37">
        <f t="shared" si="143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82"/>
      <c r="R497" s="47"/>
      <c r="S497" s="383"/>
      <c r="T497" s="47"/>
      <c r="U497" s="47"/>
      <c r="V497" s="47"/>
      <c r="W497" s="47"/>
      <c r="X497" s="47"/>
      <c r="Y497" s="47"/>
    </row>
    <row r="498" spans="1:25" ht="26.25" hidden="1" x14ac:dyDescent="0.25">
      <c r="A498" s="45">
        <v>5395</v>
      </c>
      <c r="B498" s="23">
        <v>611600</v>
      </c>
      <c r="C498" s="9" t="s">
        <v>424</v>
      </c>
      <c r="D498" s="9"/>
      <c r="E498" s="36"/>
      <c r="F498" s="36"/>
      <c r="G498" s="37">
        <f t="shared" si="143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82"/>
      <c r="R498" s="47"/>
      <c r="S498" s="383"/>
      <c r="T498" s="47"/>
      <c r="U498" s="47"/>
      <c r="V498" s="47"/>
      <c r="W498" s="47"/>
      <c r="X498" s="47"/>
      <c r="Y498" s="47"/>
    </row>
    <row r="499" spans="1:25" ht="26.25" hidden="1" x14ac:dyDescent="0.25">
      <c r="A499" s="45">
        <v>5396</v>
      </c>
      <c r="B499" s="23">
        <v>611700</v>
      </c>
      <c r="C499" s="9" t="s">
        <v>425</v>
      </c>
      <c r="D499" s="9"/>
      <c r="E499" s="36"/>
      <c r="F499" s="36"/>
      <c r="G499" s="37">
        <f t="shared" si="143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82"/>
      <c r="R499" s="47"/>
      <c r="S499" s="383"/>
      <c r="T499" s="47"/>
      <c r="U499" s="47"/>
      <c r="V499" s="47"/>
      <c r="W499" s="47"/>
      <c r="X499" s="47"/>
      <c r="Y499" s="47"/>
    </row>
    <row r="500" spans="1:25" hidden="1" x14ac:dyDescent="0.25">
      <c r="A500" s="45">
        <v>5397</v>
      </c>
      <c r="B500" s="23">
        <v>611800</v>
      </c>
      <c r="C500" s="9" t="s">
        <v>426</v>
      </c>
      <c r="D500" s="9"/>
      <c r="E500" s="36"/>
      <c r="F500" s="36"/>
      <c r="G500" s="37">
        <f t="shared" si="143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82"/>
      <c r="R500" s="47"/>
      <c r="S500" s="383"/>
      <c r="T500" s="47"/>
      <c r="U500" s="47"/>
      <c r="V500" s="47"/>
      <c r="W500" s="47"/>
      <c r="X500" s="47"/>
      <c r="Y500" s="47"/>
    </row>
    <row r="501" spans="1:25" hidden="1" x14ac:dyDescent="0.25">
      <c r="A501" s="45">
        <v>5398</v>
      </c>
      <c r="B501" s="23">
        <v>611900</v>
      </c>
      <c r="C501" s="9" t="s">
        <v>165</v>
      </c>
      <c r="D501" s="9"/>
      <c r="E501" s="36"/>
      <c r="F501" s="36"/>
      <c r="G501" s="37">
        <f t="shared" si="143"/>
        <v>0</v>
      </c>
      <c r="H501" s="37"/>
      <c r="I501" s="36"/>
      <c r="J501" s="36"/>
      <c r="K501" s="36"/>
      <c r="L501" s="36"/>
      <c r="M501" s="36"/>
      <c r="N501" s="36"/>
      <c r="O501" s="36"/>
      <c r="P501" s="36"/>
      <c r="Q501" s="382"/>
      <c r="R501" s="47"/>
      <c r="S501" s="383"/>
      <c r="T501" s="47"/>
      <c r="U501" s="47"/>
      <c r="V501" s="47"/>
      <c r="W501" s="47"/>
      <c r="X501" s="47"/>
      <c r="Y501" s="47"/>
    </row>
    <row r="502" spans="1:25" ht="39" hidden="1" x14ac:dyDescent="0.25">
      <c r="A502" s="361">
        <v>5399</v>
      </c>
      <c r="B502" s="354">
        <v>612000</v>
      </c>
      <c r="C502" s="18" t="s">
        <v>427</v>
      </c>
      <c r="D502" s="18"/>
      <c r="E502" s="19">
        <f>SUM(E503:E509)</f>
        <v>0</v>
      </c>
      <c r="F502" s="19"/>
      <c r="G502" s="19">
        <f t="shared" si="143"/>
        <v>0</v>
      </c>
      <c r="H502" s="19"/>
      <c r="I502" s="19">
        <f t="shared" ref="I502:Q502" si="157">SUM(I503:I509)</f>
        <v>0</v>
      </c>
      <c r="J502" s="19">
        <f t="shared" si="157"/>
        <v>0</v>
      </c>
      <c r="K502" s="19"/>
      <c r="L502" s="19">
        <f t="shared" si="157"/>
        <v>0</v>
      </c>
      <c r="M502" s="19"/>
      <c r="N502" s="19">
        <f t="shared" si="157"/>
        <v>0</v>
      </c>
      <c r="O502" s="19">
        <f t="shared" si="157"/>
        <v>0</v>
      </c>
      <c r="P502" s="19"/>
      <c r="Q502" s="366">
        <f t="shared" si="157"/>
        <v>0</v>
      </c>
      <c r="R502" s="64"/>
      <c r="S502" s="367"/>
      <c r="T502" s="64"/>
      <c r="U502" s="64"/>
      <c r="V502" s="64"/>
      <c r="W502" s="64"/>
      <c r="X502" s="64"/>
      <c r="Y502" s="64"/>
    </row>
    <row r="503" spans="1:25" ht="51.75" hidden="1" x14ac:dyDescent="0.25">
      <c r="A503" s="45">
        <v>5400</v>
      </c>
      <c r="B503" s="23">
        <v>612100</v>
      </c>
      <c r="C503" s="9" t="s">
        <v>428</v>
      </c>
      <c r="D503" s="9"/>
      <c r="E503" s="36"/>
      <c r="F503" s="36"/>
      <c r="G503" s="37">
        <f t="shared" si="143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82"/>
      <c r="R503" s="47"/>
      <c r="S503" s="383"/>
      <c r="T503" s="47"/>
      <c r="U503" s="47"/>
      <c r="V503" s="47"/>
      <c r="W503" s="47"/>
      <c r="X503" s="47"/>
      <c r="Y503" s="47"/>
    </row>
    <row r="504" spans="1:25" ht="26.25" hidden="1" x14ac:dyDescent="0.25">
      <c r="A504" s="45">
        <v>5401</v>
      </c>
      <c r="B504" s="23">
        <v>612200</v>
      </c>
      <c r="C504" s="9" t="s">
        <v>429</v>
      </c>
      <c r="D504" s="9"/>
      <c r="E504" s="36"/>
      <c r="F504" s="36"/>
      <c r="G504" s="37">
        <f t="shared" si="143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82"/>
      <c r="R504" s="47"/>
      <c r="S504" s="383"/>
      <c r="T504" s="47"/>
      <c r="U504" s="47"/>
      <c r="V504" s="47"/>
      <c r="W504" s="47"/>
      <c r="X504" s="47"/>
      <c r="Y504" s="47"/>
    </row>
    <row r="505" spans="1:25" ht="26.25" hidden="1" x14ac:dyDescent="0.25">
      <c r="A505" s="45">
        <v>5402</v>
      </c>
      <c r="B505" s="23">
        <v>612300</v>
      </c>
      <c r="C505" s="9" t="s">
        <v>430</v>
      </c>
      <c r="D505" s="9"/>
      <c r="E505" s="36"/>
      <c r="F505" s="36"/>
      <c r="G505" s="37">
        <f t="shared" si="143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82"/>
      <c r="R505" s="47"/>
      <c r="S505" s="383"/>
      <c r="T505" s="47"/>
      <c r="U505" s="47"/>
      <c r="V505" s="47"/>
      <c r="W505" s="47"/>
      <c r="X505" s="47"/>
      <c r="Y505" s="47"/>
    </row>
    <row r="506" spans="1:25" ht="26.25" hidden="1" x14ac:dyDescent="0.25">
      <c r="A506" s="45">
        <v>5403</v>
      </c>
      <c r="B506" s="23">
        <v>612400</v>
      </c>
      <c r="C506" s="9" t="s">
        <v>431</v>
      </c>
      <c r="D506" s="9"/>
      <c r="E506" s="36"/>
      <c r="F506" s="36"/>
      <c r="G506" s="37">
        <f t="shared" si="143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82"/>
      <c r="R506" s="47"/>
      <c r="S506" s="383"/>
      <c r="T506" s="47"/>
      <c r="U506" s="47"/>
      <c r="V506" s="47"/>
      <c r="W506" s="47"/>
      <c r="X506" s="47"/>
      <c r="Y506" s="47"/>
    </row>
    <row r="507" spans="1:25" ht="26.25" hidden="1" x14ac:dyDescent="0.25">
      <c r="A507" s="45">
        <v>5404</v>
      </c>
      <c r="B507" s="23">
        <v>612500</v>
      </c>
      <c r="C507" s="9" t="s">
        <v>432</v>
      </c>
      <c r="D507" s="9"/>
      <c r="E507" s="36"/>
      <c r="F507" s="36"/>
      <c r="G507" s="37">
        <f t="shared" si="143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82"/>
      <c r="R507" s="47"/>
      <c r="S507" s="383"/>
      <c r="T507" s="47"/>
      <c r="U507" s="47"/>
      <c r="V507" s="47"/>
      <c r="W507" s="47"/>
      <c r="X507" s="47"/>
      <c r="Y507" s="47"/>
    </row>
    <row r="508" spans="1:25" ht="26.25" hidden="1" x14ac:dyDescent="0.25">
      <c r="A508" s="45">
        <v>5405</v>
      </c>
      <c r="B508" s="23">
        <v>612600</v>
      </c>
      <c r="C508" s="9" t="s">
        <v>433</v>
      </c>
      <c r="D508" s="9"/>
      <c r="E508" s="36"/>
      <c r="F508" s="36"/>
      <c r="G508" s="37">
        <f t="shared" si="143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82"/>
      <c r="R508" s="47"/>
      <c r="S508" s="383"/>
      <c r="T508" s="47"/>
      <c r="U508" s="47"/>
      <c r="V508" s="47"/>
      <c r="W508" s="47"/>
      <c r="X508" s="47"/>
      <c r="Y508" s="47"/>
    </row>
    <row r="509" spans="1:25" hidden="1" x14ac:dyDescent="0.25">
      <c r="A509" s="45">
        <v>5406</v>
      </c>
      <c r="B509" s="23">
        <v>612900</v>
      </c>
      <c r="C509" s="9" t="s">
        <v>173</v>
      </c>
      <c r="D509" s="9"/>
      <c r="E509" s="36"/>
      <c r="F509" s="36"/>
      <c r="G509" s="37">
        <f t="shared" si="143"/>
        <v>0</v>
      </c>
      <c r="H509" s="37"/>
      <c r="I509" s="36"/>
      <c r="J509" s="36"/>
      <c r="K509" s="36"/>
      <c r="L509" s="36"/>
      <c r="M509" s="36"/>
      <c r="N509" s="36"/>
      <c r="O509" s="36"/>
      <c r="P509" s="36"/>
      <c r="Q509" s="382"/>
      <c r="R509" s="47"/>
      <c r="S509" s="383"/>
      <c r="T509" s="47"/>
      <c r="U509" s="47"/>
      <c r="V509" s="47"/>
      <c r="W509" s="47"/>
      <c r="X509" s="47"/>
      <c r="Y509" s="47"/>
    </row>
    <row r="510" spans="1:25" ht="26.25" hidden="1" x14ac:dyDescent="0.25">
      <c r="A510" s="361">
        <v>5407</v>
      </c>
      <c r="B510" s="354">
        <v>613000</v>
      </c>
      <c r="C510" s="18" t="s">
        <v>434</v>
      </c>
      <c r="D510" s="18"/>
      <c r="E510" s="19">
        <f>E511</f>
        <v>0</v>
      </c>
      <c r="F510" s="19"/>
      <c r="G510" s="19">
        <f t="shared" si="143"/>
        <v>0</v>
      </c>
      <c r="H510" s="19"/>
      <c r="I510" s="19">
        <f t="shared" ref="I510:Q510" si="158">I511</f>
        <v>0</v>
      </c>
      <c r="J510" s="19">
        <f t="shared" si="158"/>
        <v>0</v>
      </c>
      <c r="K510" s="19"/>
      <c r="L510" s="19">
        <f t="shared" si="158"/>
        <v>0</v>
      </c>
      <c r="M510" s="19"/>
      <c r="N510" s="19">
        <f t="shared" si="158"/>
        <v>0</v>
      </c>
      <c r="O510" s="19">
        <f t="shared" si="158"/>
        <v>0</v>
      </c>
      <c r="P510" s="19"/>
      <c r="Q510" s="366">
        <f t="shared" si="158"/>
        <v>0</v>
      </c>
      <c r="R510" s="64"/>
      <c r="S510" s="367"/>
      <c r="T510" s="64"/>
      <c r="U510" s="64"/>
      <c r="V510" s="64"/>
      <c r="W510" s="64"/>
      <c r="X510" s="64"/>
      <c r="Y510" s="64"/>
    </row>
    <row r="511" spans="1:25" hidden="1" x14ac:dyDescent="0.25">
      <c r="A511" s="45">
        <v>5408</v>
      </c>
      <c r="B511" s="23">
        <v>613100</v>
      </c>
      <c r="C511" s="9" t="s">
        <v>435</v>
      </c>
      <c r="D511" s="9"/>
      <c r="E511" s="36"/>
      <c r="F511" s="36"/>
      <c r="G511" s="37">
        <f t="shared" si="143"/>
        <v>0</v>
      </c>
      <c r="H511" s="37"/>
      <c r="I511" s="36"/>
      <c r="J511" s="36"/>
      <c r="K511" s="36"/>
      <c r="L511" s="36"/>
      <c r="M511" s="36"/>
      <c r="N511" s="36"/>
      <c r="O511" s="36"/>
      <c r="P511" s="36"/>
      <c r="Q511" s="382"/>
      <c r="R511" s="47"/>
      <c r="S511" s="383"/>
      <c r="T511" s="47"/>
      <c r="U511" s="47"/>
      <c r="V511" s="47"/>
      <c r="W511" s="47"/>
      <c r="X511" s="47"/>
      <c r="Y511" s="47"/>
    </row>
    <row r="512" spans="1:25" ht="39" hidden="1" x14ac:dyDescent="0.25">
      <c r="A512" s="361">
        <v>5409</v>
      </c>
      <c r="B512" s="354">
        <v>614000</v>
      </c>
      <c r="C512" s="18" t="s">
        <v>436</v>
      </c>
      <c r="D512" s="18"/>
      <c r="E512" s="19">
        <f>E513</f>
        <v>0</v>
      </c>
      <c r="F512" s="19"/>
      <c r="G512" s="19">
        <f t="shared" si="143"/>
        <v>0</v>
      </c>
      <c r="H512" s="19"/>
      <c r="I512" s="19">
        <f t="shared" ref="I512:Q514" si="159">I513</f>
        <v>0</v>
      </c>
      <c r="J512" s="19">
        <f t="shared" si="159"/>
        <v>0</v>
      </c>
      <c r="K512" s="19"/>
      <c r="L512" s="19">
        <f t="shared" si="159"/>
        <v>0</v>
      </c>
      <c r="M512" s="19"/>
      <c r="N512" s="19">
        <f t="shared" si="159"/>
        <v>0</v>
      </c>
      <c r="O512" s="19">
        <f t="shared" si="159"/>
        <v>0</v>
      </c>
      <c r="P512" s="19"/>
      <c r="Q512" s="366">
        <f t="shared" si="159"/>
        <v>0</v>
      </c>
      <c r="R512" s="64"/>
      <c r="S512" s="367"/>
      <c r="T512" s="64"/>
      <c r="U512" s="64"/>
      <c r="V512" s="64"/>
      <c r="W512" s="64"/>
      <c r="X512" s="64"/>
      <c r="Y512" s="64"/>
    </row>
    <row r="513" spans="1:25" ht="26.25" hidden="1" x14ac:dyDescent="0.25">
      <c r="A513" s="45">
        <v>5410</v>
      </c>
      <c r="B513" s="23">
        <v>614100</v>
      </c>
      <c r="C513" s="9" t="s">
        <v>437</v>
      </c>
      <c r="D513" s="9"/>
      <c r="E513" s="36"/>
      <c r="F513" s="36"/>
      <c r="G513" s="37">
        <f t="shared" si="143"/>
        <v>0</v>
      </c>
      <c r="H513" s="37"/>
      <c r="I513" s="36"/>
      <c r="J513" s="36"/>
      <c r="K513" s="36"/>
      <c r="L513" s="36"/>
      <c r="M513" s="36"/>
      <c r="N513" s="36"/>
      <c r="O513" s="36"/>
      <c r="P513" s="36"/>
      <c r="Q513" s="382"/>
      <c r="R513" s="47"/>
      <c r="S513" s="383"/>
      <c r="T513" s="47"/>
      <c r="U513" s="47"/>
      <c r="V513" s="47"/>
      <c r="W513" s="47"/>
      <c r="X513" s="47"/>
      <c r="Y513" s="47"/>
    </row>
    <row r="514" spans="1:25" ht="39" hidden="1" x14ac:dyDescent="0.25">
      <c r="A514" s="361">
        <v>5411</v>
      </c>
      <c r="B514" s="354">
        <v>615000</v>
      </c>
      <c r="C514" s="18" t="s">
        <v>438</v>
      </c>
      <c r="D514" s="18"/>
      <c r="E514" s="19">
        <f>E515</f>
        <v>0</v>
      </c>
      <c r="F514" s="19"/>
      <c r="G514" s="19">
        <f t="shared" si="143"/>
        <v>0</v>
      </c>
      <c r="H514" s="19"/>
      <c r="I514" s="19">
        <f t="shared" si="159"/>
        <v>0</v>
      </c>
      <c r="J514" s="19">
        <f t="shared" si="159"/>
        <v>0</v>
      </c>
      <c r="K514" s="19"/>
      <c r="L514" s="19">
        <f t="shared" si="159"/>
        <v>0</v>
      </c>
      <c r="M514" s="19"/>
      <c r="N514" s="19">
        <f t="shared" si="159"/>
        <v>0</v>
      </c>
      <c r="O514" s="19">
        <f t="shared" si="159"/>
        <v>0</v>
      </c>
      <c r="P514" s="19"/>
      <c r="Q514" s="366">
        <f t="shared" si="159"/>
        <v>0</v>
      </c>
      <c r="R514" s="64"/>
      <c r="S514" s="367"/>
      <c r="T514" s="64"/>
      <c r="U514" s="64"/>
      <c r="V514" s="64"/>
      <c r="W514" s="64"/>
      <c r="X514" s="64"/>
      <c r="Y514" s="64"/>
    </row>
    <row r="515" spans="1:25" ht="26.25" hidden="1" x14ac:dyDescent="0.25">
      <c r="A515" s="45">
        <v>5412</v>
      </c>
      <c r="B515" s="23">
        <v>615100</v>
      </c>
      <c r="C515" s="9" t="s">
        <v>439</v>
      </c>
      <c r="D515" s="9"/>
      <c r="E515" s="36"/>
      <c r="F515" s="36"/>
      <c r="G515" s="37">
        <f t="shared" si="143"/>
        <v>0</v>
      </c>
      <c r="H515" s="37"/>
      <c r="I515" s="36"/>
      <c r="J515" s="36"/>
      <c r="K515" s="36"/>
      <c r="L515" s="36"/>
      <c r="M515" s="36"/>
      <c r="N515" s="36"/>
      <c r="O515" s="36"/>
      <c r="P515" s="36"/>
      <c r="Q515" s="382"/>
      <c r="R515" s="47"/>
      <c r="S515" s="383"/>
      <c r="T515" s="47"/>
      <c r="U515" s="47"/>
      <c r="V515" s="47"/>
      <c r="W515" s="47"/>
      <c r="X515" s="47"/>
      <c r="Y515" s="47"/>
    </row>
    <row r="516" spans="1:25" ht="26.25" hidden="1" x14ac:dyDescent="0.25">
      <c r="A516" s="361">
        <v>5413</v>
      </c>
      <c r="B516" s="354">
        <v>620000</v>
      </c>
      <c r="C516" s="18" t="s">
        <v>440</v>
      </c>
      <c r="D516" s="18"/>
      <c r="E516" s="19">
        <f>E517+E531+E540</f>
        <v>0</v>
      </c>
      <c r="F516" s="19"/>
      <c r="G516" s="19">
        <f t="shared" si="143"/>
        <v>0</v>
      </c>
      <c r="H516" s="19"/>
      <c r="I516" s="19">
        <f t="shared" ref="I516:Q516" si="160">I517+I531+I540</f>
        <v>0</v>
      </c>
      <c r="J516" s="19">
        <f t="shared" si="160"/>
        <v>0</v>
      </c>
      <c r="K516" s="19"/>
      <c r="L516" s="19">
        <f t="shared" si="160"/>
        <v>0</v>
      </c>
      <c r="M516" s="19"/>
      <c r="N516" s="19">
        <f t="shared" si="160"/>
        <v>0</v>
      </c>
      <c r="O516" s="19">
        <f t="shared" si="160"/>
        <v>0</v>
      </c>
      <c r="P516" s="19"/>
      <c r="Q516" s="366">
        <f t="shared" si="160"/>
        <v>0</v>
      </c>
      <c r="R516" s="64"/>
      <c r="S516" s="367"/>
      <c r="T516" s="64"/>
      <c r="U516" s="64"/>
      <c r="V516" s="64"/>
      <c r="W516" s="64"/>
      <c r="X516" s="64"/>
      <c r="Y516" s="64"/>
    </row>
    <row r="517" spans="1:25" ht="39" hidden="1" x14ac:dyDescent="0.25">
      <c r="A517" s="361">
        <v>5414</v>
      </c>
      <c r="B517" s="354">
        <v>621000</v>
      </c>
      <c r="C517" s="18" t="s">
        <v>441</v>
      </c>
      <c r="D517" s="18"/>
      <c r="E517" s="19">
        <f>SUM(E518:E530)</f>
        <v>0</v>
      </c>
      <c r="F517" s="19"/>
      <c r="G517" s="19">
        <f t="shared" si="143"/>
        <v>0</v>
      </c>
      <c r="H517" s="19"/>
      <c r="I517" s="19">
        <f t="shared" ref="I517:Q517" si="161">SUM(I518:I530)</f>
        <v>0</v>
      </c>
      <c r="J517" s="19">
        <f t="shared" si="161"/>
        <v>0</v>
      </c>
      <c r="K517" s="19"/>
      <c r="L517" s="19">
        <f t="shared" si="161"/>
        <v>0</v>
      </c>
      <c r="M517" s="19"/>
      <c r="N517" s="19">
        <f t="shared" si="161"/>
        <v>0</v>
      </c>
      <c r="O517" s="19">
        <f t="shared" si="161"/>
        <v>0</v>
      </c>
      <c r="P517" s="19"/>
      <c r="Q517" s="366">
        <f t="shared" si="161"/>
        <v>0</v>
      </c>
      <c r="R517" s="64"/>
      <c r="S517" s="367"/>
      <c r="T517" s="64"/>
      <c r="U517" s="64"/>
      <c r="V517" s="64"/>
      <c r="W517" s="64"/>
      <c r="X517" s="64"/>
      <c r="Y517" s="64"/>
    </row>
    <row r="518" spans="1:25" ht="26.25" hidden="1" x14ac:dyDescent="0.25">
      <c r="A518" s="45">
        <v>5415</v>
      </c>
      <c r="B518" s="23">
        <v>621100</v>
      </c>
      <c r="C518" s="9" t="s">
        <v>442</v>
      </c>
      <c r="D518" s="9"/>
      <c r="E518" s="36"/>
      <c r="F518" s="36"/>
      <c r="G518" s="37">
        <f t="shared" si="143"/>
        <v>0</v>
      </c>
      <c r="H518" s="37"/>
      <c r="I518" s="36"/>
      <c r="J518" s="36"/>
      <c r="K518" s="36"/>
      <c r="L518" s="36"/>
      <c r="M518" s="36"/>
      <c r="N518" s="36"/>
      <c r="O518" s="36"/>
      <c r="P518" s="36"/>
      <c r="Q518" s="382"/>
      <c r="R518" s="47"/>
      <c r="S518" s="383"/>
      <c r="T518" s="47"/>
      <c r="U518" s="47"/>
      <c r="V518" s="47"/>
      <c r="W518" s="47"/>
      <c r="X518" s="47"/>
      <c r="Y518" s="47"/>
    </row>
    <row r="519" spans="1:25" hidden="1" x14ac:dyDescent="0.25">
      <c r="A519" s="542" t="s">
        <v>0</v>
      </c>
      <c r="B519" s="543" t="s">
        <v>1</v>
      </c>
      <c r="C519" s="542" t="s">
        <v>2</v>
      </c>
      <c r="D519" s="360"/>
      <c r="E519" s="542" t="s">
        <v>217</v>
      </c>
      <c r="F519" s="360"/>
      <c r="G519" s="544" t="s">
        <v>198</v>
      </c>
      <c r="H519" s="544"/>
      <c r="I519" s="545"/>
      <c r="J519" s="545"/>
      <c r="K519" s="545"/>
      <c r="L519" s="545"/>
      <c r="M519" s="545"/>
      <c r="N519" s="545"/>
      <c r="O519" s="545"/>
      <c r="P519" s="545"/>
      <c r="Q519" s="545"/>
      <c r="R519" s="365"/>
      <c r="S519" s="365"/>
      <c r="T519" s="365"/>
      <c r="U519" s="365"/>
      <c r="V519" s="365"/>
      <c r="W519" s="365"/>
      <c r="X519" s="365"/>
      <c r="Y519" s="365"/>
    </row>
    <row r="520" spans="1:25" hidden="1" x14ac:dyDescent="0.25">
      <c r="A520" s="542"/>
      <c r="B520" s="543"/>
      <c r="C520" s="542"/>
      <c r="D520" s="360"/>
      <c r="E520" s="542"/>
      <c r="F520" s="360"/>
      <c r="G520" s="544" t="s">
        <v>199</v>
      </c>
      <c r="H520" s="354"/>
      <c r="I520" s="544" t="s">
        <v>200</v>
      </c>
      <c r="J520" s="545"/>
      <c r="K520" s="545"/>
      <c r="L520" s="545"/>
      <c r="M520" s="545"/>
      <c r="N520" s="545"/>
      <c r="O520" s="544" t="s">
        <v>7</v>
      </c>
      <c r="P520" s="354"/>
      <c r="Q520" s="534" t="s">
        <v>8</v>
      </c>
      <c r="R520" s="61"/>
      <c r="S520" s="61"/>
      <c r="T520" s="61"/>
      <c r="U520" s="61"/>
      <c r="V520" s="61"/>
      <c r="W520" s="61"/>
      <c r="X520" s="61"/>
      <c r="Y520" s="61"/>
    </row>
    <row r="521" spans="1:25" ht="166.5" hidden="1" x14ac:dyDescent="0.25">
      <c r="A521" s="542"/>
      <c r="B521" s="543"/>
      <c r="C521" s="542"/>
      <c r="D521" s="360"/>
      <c r="E521" s="542"/>
      <c r="F521" s="360"/>
      <c r="G521" s="545"/>
      <c r="H521" s="362"/>
      <c r="I521" s="354" t="s">
        <v>201</v>
      </c>
      <c r="J521" s="354" t="s">
        <v>10</v>
      </c>
      <c r="K521" s="354"/>
      <c r="L521" s="354" t="s">
        <v>11</v>
      </c>
      <c r="M521" s="354"/>
      <c r="N521" s="354" t="s">
        <v>12</v>
      </c>
      <c r="O521" s="545"/>
      <c r="P521" s="362"/>
      <c r="Q521" s="741"/>
      <c r="R521" s="365"/>
      <c r="S521" s="364"/>
      <c r="T521" s="61"/>
      <c r="U521" s="365"/>
      <c r="V521" s="365"/>
      <c r="W521" s="365"/>
      <c r="X521" s="365"/>
      <c r="Y521" s="365"/>
    </row>
    <row r="522" spans="1:25" ht="26.25" hidden="1" x14ac:dyDescent="0.25">
      <c r="A522" s="359" t="s">
        <v>18</v>
      </c>
      <c r="B522" s="359" t="s">
        <v>19</v>
      </c>
      <c r="C522" s="359" t="s">
        <v>20</v>
      </c>
      <c r="D522" s="359"/>
      <c r="E522" s="359" t="s">
        <v>21</v>
      </c>
      <c r="F522" s="359"/>
      <c r="G522" s="359" t="s">
        <v>22</v>
      </c>
      <c r="H522" s="359"/>
      <c r="I522" s="359" t="s">
        <v>23</v>
      </c>
      <c r="J522" s="359" t="s">
        <v>24</v>
      </c>
      <c r="K522" s="359"/>
      <c r="L522" s="359" t="s">
        <v>25</v>
      </c>
      <c r="M522" s="359"/>
      <c r="N522" s="359" t="s">
        <v>26</v>
      </c>
      <c r="O522" s="359" t="s">
        <v>27</v>
      </c>
      <c r="P522" s="359"/>
      <c r="Q522" s="379" t="s">
        <v>28</v>
      </c>
      <c r="R522" s="380"/>
      <c r="S522" s="381"/>
      <c r="T522" s="380"/>
      <c r="U522" s="380"/>
      <c r="V522" s="380"/>
      <c r="W522" s="380"/>
      <c r="X522" s="380"/>
      <c r="Y522" s="380"/>
    </row>
    <row r="523" spans="1:25" hidden="1" x14ac:dyDescent="0.25">
      <c r="A523" s="45">
        <v>5416</v>
      </c>
      <c r="B523" s="23">
        <v>621200</v>
      </c>
      <c r="C523" s="9" t="s">
        <v>443</v>
      </c>
      <c r="D523" s="9"/>
      <c r="E523" s="36"/>
      <c r="F523" s="36"/>
      <c r="G523" s="37">
        <f t="shared" si="143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82"/>
      <c r="R523" s="47"/>
      <c r="S523" s="383"/>
      <c r="T523" s="47"/>
      <c r="U523" s="47"/>
      <c r="V523" s="47"/>
      <c r="W523" s="47"/>
      <c r="X523" s="47"/>
      <c r="Y523" s="47"/>
    </row>
    <row r="524" spans="1:25" ht="26.25" hidden="1" x14ac:dyDescent="0.25">
      <c r="A524" s="45">
        <v>5417</v>
      </c>
      <c r="B524" s="23">
        <v>621300</v>
      </c>
      <c r="C524" s="9" t="s">
        <v>444</v>
      </c>
      <c r="D524" s="9"/>
      <c r="E524" s="36"/>
      <c r="F524" s="36"/>
      <c r="G524" s="37">
        <f t="shared" si="143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82"/>
      <c r="R524" s="47"/>
      <c r="S524" s="383"/>
      <c r="T524" s="47"/>
      <c r="U524" s="47"/>
      <c r="V524" s="47"/>
      <c r="W524" s="47"/>
      <c r="X524" s="47"/>
      <c r="Y524" s="47"/>
    </row>
    <row r="525" spans="1:25" ht="26.25" hidden="1" x14ac:dyDescent="0.25">
      <c r="A525" s="45">
        <v>5418</v>
      </c>
      <c r="B525" s="23">
        <v>621400</v>
      </c>
      <c r="C525" s="9" t="s">
        <v>445</v>
      </c>
      <c r="D525" s="9"/>
      <c r="E525" s="36"/>
      <c r="F525" s="36"/>
      <c r="G525" s="37">
        <f t="shared" si="143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82"/>
      <c r="R525" s="47"/>
      <c r="S525" s="383"/>
      <c r="T525" s="47"/>
      <c r="U525" s="47"/>
      <c r="V525" s="47"/>
      <c r="W525" s="47"/>
      <c r="X525" s="47"/>
      <c r="Y525" s="47"/>
    </row>
    <row r="526" spans="1:25" ht="39" hidden="1" x14ac:dyDescent="0.25">
      <c r="A526" s="45">
        <v>5419</v>
      </c>
      <c r="B526" s="23">
        <v>621500</v>
      </c>
      <c r="C526" s="9" t="s">
        <v>446</v>
      </c>
      <c r="D526" s="9"/>
      <c r="E526" s="36"/>
      <c r="F526" s="36"/>
      <c r="G526" s="37">
        <f t="shared" si="143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82"/>
      <c r="R526" s="47"/>
      <c r="S526" s="383"/>
      <c r="T526" s="47"/>
      <c r="U526" s="47"/>
      <c r="V526" s="47"/>
      <c r="W526" s="47"/>
      <c r="X526" s="47"/>
      <c r="Y526" s="47"/>
    </row>
    <row r="527" spans="1:25" ht="26.25" hidden="1" x14ac:dyDescent="0.25">
      <c r="A527" s="45">
        <v>5420</v>
      </c>
      <c r="B527" s="23">
        <v>621600</v>
      </c>
      <c r="C527" s="9" t="s">
        <v>447</v>
      </c>
      <c r="D527" s="9"/>
      <c r="E527" s="36"/>
      <c r="F527" s="36"/>
      <c r="G527" s="37">
        <f t="shared" si="143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82"/>
      <c r="R527" s="47"/>
      <c r="S527" s="383"/>
      <c r="T527" s="47"/>
      <c r="U527" s="47"/>
      <c r="V527" s="47"/>
      <c r="W527" s="47"/>
      <c r="X527" s="47"/>
      <c r="Y527" s="47"/>
    </row>
    <row r="528" spans="1:25" ht="26.25" hidden="1" x14ac:dyDescent="0.25">
      <c r="A528" s="45">
        <v>5421</v>
      </c>
      <c r="B528" s="23">
        <v>621700</v>
      </c>
      <c r="C528" s="9" t="s">
        <v>448</v>
      </c>
      <c r="D528" s="9"/>
      <c r="E528" s="36"/>
      <c r="F528" s="36"/>
      <c r="G528" s="37">
        <f t="shared" si="143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82"/>
      <c r="R528" s="47"/>
      <c r="S528" s="383"/>
      <c r="T528" s="47"/>
      <c r="U528" s="47"/>
      <c r="V528" s="47"/>
      <c r="W528" s="47"/>
      <c r="X528" s="47"/>
      <c r="Y528" s="47"/>
    </row>
    <row r="529" spans="1:25" ht="39" hidden="1" x14ac:dyDescent="0.25">
      <c r="A529" s="45">
        <v>5422</v>
      </c>
      <c r="B529" s="23">
        <v>621800</v>
      </c>
      <c r="C529" s="9" t="s">
        <v>449</v>
      </c>
      <c r="D529" s="9"/>
      <c r="E529" s="36"/>
      <c r="F529" s="36"/>
      <c r="G529" s="37">
        <f t="shared" si="143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82"/>
      <c r="R529" s="47"/>
      <c r="S529" s="383"/>
      <c r="T529" s="47"/>
      <c r="U529" s="47"/>
      <c r="V529" s="47"/>
      <c r="W529" s="47"/>
      <c r="X529" s="47"/>
      <c r="Y529" s="47"/>
    </row>
    <row r="530" spans="1:25" ht="26.25" hidden="1" x14ac:dyDescent="0.25">
      <c r="A530" s="45">
        <v>5423</v>
      </c>
      <c r="B530" s="23">
        <v>621900</v>
      </c>
      <c r="C530" s="9" t="s">
        <v>450</v>
      </c>
      <c r="D530" s="9"/>
      <c r="E530" s="36"/>
      <c r="F530" s="36"/>
      <c r="G530" s="37">
        <f t="shared" si="143"/>
        <v>0</v>
      </c>
      <c r="H530" s="37"/>
      <c r="I530" s="36"/>
      <c r="J530" s="36"/>
      <c r="K530" s="36"/>
      <c r="L530" s="36"/>
      <c r="M530" s="36"/>
      <c r="N530" s="36"/>
      <c r="O530" s="36"/>
      <c r="P530" s="36"/>
      <c r="Q530" s="382"/>
      <c r="R530" s="47"/>
      <c r="S530" s="383"/>
      <c r="T530" s="47"/>
      <c r="U530" s="47"/>
      <c r="V530" s="47"/>
      <c r="W530" s="47"/>
      <c r="X530" s="47"/>
      <c r="Y530" s="47"/>
    </row>
    <row r="531" spans="1:25" ht="39" hidden="1" x14ac:dyDescent="0.25">
      <c r="A531" s="361">
        <v>5424</v>
      </c>
      <c r="B531" s="354">
        <v>622000</v>
      </c>
      <c r="C531" s="18" t="s">
        <v>451</v>
      </c>
      <c r="D531" s="18"/>
      <c r="E531" s="19">
        <f>SUM(E532:E539)</f>
        <v>0</v>
      </c>
      <c r="F531" s="19"/>
      <c r="G531" s="19">
        <f t="shared" si="143"/>
        <v>0</v>
      </c>
      <c r="H531" s="19"/>
      <c r="I531" s="19">
        <f t="shared" ref="I531:Q531" si="162">SUM(I532:I539)</f>
        <v>0</v>
      </c>
      <c r="J531" s="19">
        <f t="shared" si="162"/>
        <v>0</v>
      </c>
      <c r="K531" s="19"/>
      <c r="L531" s="19">
        <f t="shared" si="162"/>
        <v>0</v>
      </c>
      <c r="M531" s="19"/>
      <c r="N531" s="19">
        <f t="shared" si="162"/>
        <v>0</v>
      </c>
      <c r="O531" s="19">
        <f t="shared" si="162"/>
        <v>0</v>
      </c>
      <c r="P531" s="19"/>
      <c r="Q531" s="366">
        <f t="shared" si="162"/>
        <v>0</v>
      </c>
      <c r="R531" s="64"/>
      <c r="S531" s="367"/>
      <c r="T531" s="64"/>
      <c r="U531" s="64"/>
      <c r="V531" s="64"/>
      <c r="W531" s="64"/>
      <c r="X531" s="64"/>
      <c r="Y531" s="64"/>
    </row>
    <row r="532" spans="1:25" ht="26.25" hidden="1" x14ac:dyDescent="0.25">
      <c r="A532" s="45">
        <v>5425</v>
      </c>
      <c r="B532" s="23">
        <v>622100</v>
      </c>
      <c r="C532" s="9" t="s">
        <v>452</v>
      </c>
      <c r="D532" s="9"/>
      <c r="E532" s="36"/>
      <c r="F532" s="36"/>
      <c r="G532" s="37">
        <f t="shared" si="143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82"/>
      <c r="R532" s="47"/>
      <c r="S532" s="383"/>
      <c r="T532" s="47"/>
      <c r="U532" s="47"/>
      <c r="V532" s="47"/>
      <c r="W532" s="47"/>
      <c r="X532" s="47"/>
      <c r="Y532" s="47"/>
    </row>
    <row r="533" spans="1:25" hidden="1" x14ac:dyDescent="0.25">
      <c r="A533" s="45">
        <v>5426</v>
      </c>
      <c r="B533" s="23">
        <v>622200</v>
      </c>
      <c r="C533" s="9" t="s">
        <v>453</v>
      </c>
      <c r="D533" s="9"/>
      <c r="E533" s="36"/>
      <c r="F533" s="36"/>
      <c r="G533" s="37">
        <f t="shared" si="143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82"/>
      <c r="R533" s="47"/>
      <c r="S533" s="383"/>
      <c r="T533" s="47"/>
      <c r="U533" s="47"/>
      <c r="V533" s="47"/>
      <c r="W533" s="47"/>
      <c r="X533" s="47"/>
      <c r="Y533" s="47"/>
    </row>
    <row r="534" spans="1:25" ht="26.25" hidden="1" x14ac:dyDescent="0.25">
      <c r="A534" s="45">
        <v>5427</v>
      </c>
      <c r="B534" s="23">
        <v>622300</v>
      </c>
      <c r="C534" s="9" t="s">
        <v>454</v>
      </c>
      <c r="D534" s="9"/>
      <c r="E534" s="36"/>
      <c r="F534" s="36"/>
      <c r="G534" s="37">
        <f t="shared" si="143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82"/>
      <c r="R534" s="47"/>
      <c r="S534" s="383"/>
      <c r="T534" s="47"/>
      <c r="U534" s="47"/>
      <c r="V534" s="47"/>
      <c r="W534" s="47"/>
      <c r="X534" s="47"/>
      <c r="Y534" s="47"/>
    </row>
    <row r="535" spans="1:25" ht="26.25" hidden="1" x14ac:dyDescent="0.25">
      <c r="A535" s="45">
        <v>5428</v>
      </c>
      <c r="B535" s="23">
        <v>622400</v>
      </c>
      <c r="C535" s="9" t="s">
        <v>455</v>
      </c>
      <c r="D535" s="9"/>
      <c r="E535" s="36"/>
      <c r="F535" s="36"/>
      <c r="G535" s="37">
        <f t="shared" si="143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82"/>
      <c r="R535" s="47"/>
      <c r="S535" s="383"/>
      <c r="T535" s="47"/>
      <c r="U535" s="47"/>
      <c r="V535" s="47"/>
      <c r="W535" s="47"/>
      <c r="X535" s="47"/>
      <c r="Y535" s="47"/>
    </row>
    <row r="536" spans="1:25" ht="26.25" hidden="1" x14ac:dyDescent="0.25">
      <c r="A536" s="45">
        <v>5429</v>
      </c>
      <c r="B536" s="23">
        <v>622500</v>
      </c>
      <c r="C536" s="9" t="s">
        <v>456</v>
      </c>
      <c r="D536" s="9"/>
      <c r="E536" s="36"/>
      <c r="F536" s="36"/>
      <c r="G536" s="37">
        <f t="shared" si="143"/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82"/>
      <c r="R536" s="47"/>
      <c r="S536" s="383"/>
      <c r="T536" s="47"/>
      <c r="U536" s="47"/>
      <c r="V536" s="47"/>
      <c r="W536" s="47"/>
      <c r="X536" s="47"/>
      <c r="Y536" s="47"/>
    </row>
    <row r="537" spans="1:25" ht="26.25" hidden="1" x14ac:dyDescent="0.25">
      <c r="A537" s="45">
        <v>5430</v>
      </c>
      <c r="B537" s="23">
        <v>622600</v>
      </c>
      <c r="C537" s="9" t="s">
        <v>457</v>
      </c>
      <c r="D537" s="9"/>
      <c r="E537" s="36"/>
      <c r="F537" s="36"/>
      <c r="G537" s="37">
        <f t="shared" ref="G537:G541" si="163">SUM(I537:Q537)</f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82"/>
      <c r="R537" s="47"/>
      <c r="S537" s="383"/>
      <c r="T537" s="47"/>
      <c r="U537" s="47"/>
      <c r="V537" s="47"/>
      <c r="W537" s="47"/>
      <c r="X537" s="47"/>
      <c r="Y537" s="47"/>
    </row>
    <row r="538" spans="1:25" ht="26.25" hidden="1" x14ac:dyDescent="0.25">
      <c r="A538" s="45">
        <v>5431</v>
      </c>
      <c r="B538" s="23">
        <v>622700</v>
      </c>
      <c r="C538" s="9" t="s">
        <v>458</v>
      </c>
      <c r="D538" s="9"/>
      <c r="E538" s="36"/>
      <c r="F538" s="36"/>
      <c r="G538" s="37">
        <f t="shared" si="163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82"/>
      <c r="R538" s="47"/>
      <c r="S538" s="383"/>
      <c r="T538" s="47"/>
      <c r="U538" s="47"/>
      <c r="V538" s="47"/>
      <c r="W538" s="47"/>
      <c r="X538" s="47"/>
      <c r="Y538" s="47"/>
    </row>
    <row r="539" spans="1:25" hidden="1" x14ac:dyDescent="0.25">
      <c r="A539" s="45">
        <v>5432</v>
      </c>
      <c r="B539" s="23">
        <v>622800</v>
      </c>
      <c r="C539" s="9" t="s">
        <v>459</v>
      </c>
      <c r="D539" s="9"/>
      <c r="E539" s="36"/>
      <c r="F539" s="36"/>
      <c r="G539" s="37">
        <f t="shared" si="163"/>
        <v>0</v>
      </c>
      <c r="H539" s="37"/>
      <c r="I539" s="36"/>
      <c r="J539" s="36"/>
      <c r="K539" s="36"/>
      <c r="L539" s="36"/>
      <c r="M539" s="36"/>
      <c r="N539" s="36"/>
      <c r="O539" s="36"/>
      <c r="P539" s="36"/>
      <c r="Q539" s="382"/>
      <c r="R539" s="47"/>
      <c r="S539" s="383"/>
      <c r="T539" s="47"/>
      <c r="U539" s="47"/>
      <c r="V539" s="47"/>
      <c r="W539" s="47"/>
      <c r="X539" s="47"/>
      <c r="Y539" s="47"/>
    </row>
    <row r="540" spans="1:25" ht="90" hidden="1" x14ac:dyDescent="0.25">
      <c r="A540" s="361">
        <v>5433</v>
      </c>
      <c r="B540" s="354">
        <v>623000</v>
      </c>
      <c r="C540" s="18" t="s">
        <v>460</v>
      </c>
      <c r="D540" s="18"/>
      <c r="E540" s="19">
        <f>E541</f>
        <v>0</v>
      </c>
      <c r="F540" s="19"/>
      <c r="G540" s="19">
        <f t="shared" si="163"/>
        <v>0</v>
      </c>
      <c r="H540" s="19"/>
      <c r="I540" s="19">
        <f t="shared" ref="I540:Q540" si="164">I541</f>
        <v>0</v>
      </c>
      <c r="J540" s="19">
        <f t="shared" si="164"/>
        <v>0</v>
      </c>
      <c r="K540" s="19"/>
      <c r="L540" s="19">
        <f t="shared" si="164"/>
        <v>0</v>
      </c>
      <c r="M540" s="19"/>
      <c r="N540" s="19">
        <f t="shared" si="164"/>
        <v>0</v>
      </c>
      <c r="O540" s="19">
        <f t="shared" si="164"/>
        <v>0</v>
      </c>
      <c r="P540" s="19"/>
      <c r="Q540" s="366">
        <f t="shared" si="164"/>
        <v>0</v>
      </c>
      <c r="R540" s="64"/>
      <c r="S540" s="367"/>
      <c r="T540" s="64"/>
      <c r="U540" s="64"/>
      <c r="V540" s="64"/>
      <c r="W540" s="64"/>
      <c r="X540" s="64"/>
      <c r="Y540" s="64"/>
    </row>
    <row r="541" spans="1:25" ht="51.75" hidden="1" x14ac:dyDescent="0.25">
      <c r="A541" s="45">
        <v>5434</v>
      </c>
      <c r="B541" s="23">
        <v>623100</v>
      </c>
      <c r="C541" s="9" t="s">
        <v>461</v>
      </c>
      <c r="D541" s="9"/>
      <c r="E541" s="36"/>
      <c r="F541" s="36"/>
      <c r="G541" s="37">
        <f t="shared" si="163"/>
        <v>0</v>
      </c>
      <c r="H541" s="37"/>
      <c r="I541" s="36"/>
      <c r="J541" s="36"/>
      <c r="K541" s="36"/>
      <c r="L541" s="36"/>
      <c r="M541" s="36"/>
      <c r="N541" s="36"/>
      <c r="O541" s="36"/>
      <c r="P541" s="36"/>
      <c r="Q541" s="382"/>
      <c r="R541" s="47"/>
      <c r="S541" s="383"/>
      <c r="T541" s="47"/>
      <c r="U541" s="47"/>
      <c r="V541" s="47"/>
      <c r="W541" s="47"/>
      <c r="X541" s="47"/>
      <c r="Y541" s="47"/>
    </row>
    <row r="542" spans="1:25" ht="26.25" x14ac:dyDescent="0.25">
      <c r="A542" s="361">
        <v>5435</v>
      </c>
      <c r="B542" s="23"/>
      <c r="C542" s="18" t="s">
        <v>462</v>
      </c>
      <c r="D542" s="18"/>
      <c r="E542" s="19">
        <f t="shared" ref="E542:S542" si="165">E220+E486</f>
        <v>1500538</v>
      </c>
      <c r="F542" s="19">
        <f t="shared" si="165"/>
        <v>1745792</v>
      </c>
      <c r="G542" s="19">
        <f t="shared" si="165"/>
        <v>1138166</v>
      </c>
      <c r="H542" s="19">
        <f t="shared" si="165"/>
        <v>30200</v>
      </c>
      <c r="I542" s="19">
        <f t="shared" si="165"/>
        <v>1577</v>
      </c>
      <c r="J542" s="19">
        <f t="shared" si="165"/>
        <v>0</v>
      </c>
      <c r="K542" s="19">
        <f t="shared" si="165"/>
        <v>57381</v>
      </c>
      <c r="L542" s="19">
        <f t="shared" si="165"/>
        <v>1273</v>
      </c>
      <c r="M542" s="19">
        <f t="shared" si="165"/>
        <v>1644907</v>
      </c>
      <c r="N542" s="19">
        <f t="shared" si="165"/>
        <v>1125638</v>
      </c>
      <c r="O542" s="19">
        <f t="shared" si="165"/>
        <v>0</v>
      </c>
      <c r="P542" s="19">
        <f t="shared" si="165"/>
        <v>13304</v>
      </c>
      <c r="Q542" s="366">
        <f t="shared" si="165"/>
        <v>9668</v>
      </c>
      <c r="R542" s="64"/>
      <c r="S542" s="367">
        <f t="shared" si="165"/>
        <v>1624856</v>
      </c>
      <c r="T542" s="64"/>
      <c r="U542" s="64"/>
      <c r="V542" s="64"/>
      <c r="W542" s="64"/>
      <c r="X542" s="64"/>
      <c r="Y542" s="64"/>
    </row>
    <row r="544" spans="1:25" ht="63.75" customHeight="1" x14ac:dyDescent="0.25">
      <c r="F544" s="44" t="e">
        <f>F211-F542</f>
        <v>#REF!</v>
      </c>
      <c r="G544" s="44"/>
      <c r="H544" s="44">
        <f>H211-H542</f>
        <v>0</v>
      </c>
      <c r="I544" s="44"/>
      <c r="J544" s="44">
        <f>J211-J542</f>
        <v>0</v>
      </c>
      <c r="K544" s="44">
        <f>K211-K542</f>
        <v>0</v>
      </c>
      <c r="L544" s="44"/>
      <c r="M544" s="44" t="e">
        <f>M211-M542</f>
        <v>#REF!</v>
      </c>
      <c r="N544" s="44"/>
      <c r="O544" s="44">
        <f>O211-O542</f>
        <v>0</v>
      </c>
      <c r="P544" s="60">
        <f>P211-P542</f>
        <v>0</v>
      </c>
      <c r="Q544" s="44" t="s">
        <v>469</v>
      </c>
      <c r="R544" s="401"/>
      <c r="S544" s="44">
        <f>S211-S542</f>
        <v>-917</v>
      </c>
      <c r="T544" s="44"/>
      <c r="U544" s="44"/>
      <c r="V544" s="44"/>
      <c r="W544" s="44"/>
      <c r="X544" s="44"/>
      <c r="Y544" s="44"/>
    </row>
    <row r="545" spans="1:35" hidden="1" x14ac:dyDescent="0.25"/>
    <row r="546" spans="1:35" hidden="1" x14ac:dyDescent="0.25">
      <c r="M546" s="44">
        <f>55702+15340+659+665+2539-2475</f>
        <v>72430</v>
      </c>
      <c r="S546" s="44">
        <v>55285</v>
      </c>
      <c r="T546" s="44"/>
    </row>
    <row r="547" spans="1:35" hidden="1" x14ac:dyDescent="0.25">
      <c r="K547" s="12" t="s">
        <v>463</v>
      </c>
      <c r="L547" s="44">
        <v>50421</v>
      </c>
      <c r="M547" s="44">
        <f>M250+M252+M253+M254+M258+M265+M266+M267+M268+M270+M275+M279+M282+M283+M285+M286+M288+M290+M313+M314+M418</f>
        <v>72430</v>
      </c>
      <c r="N547" s="44">
        <f>L547-M547</f>
        <v>-22009</v>
      </c>
      <c r="P547" s="44">
        <f>M547-M546</f>
        <v>0</v>
      </c>
      <c r="S547" s="44">
        <f>S250+S252+S253+S254+S258+S265+S266+S267+S268+S270+S275+S279+S282+S283+S285+S286+S288+S290+S313+S314</f>
        <v>73283</v>
      </c>
      <c r="T547" s="44"/>
    </row>
    <row r="548" spans="1:35" s="127" customFormat="1" ht="24.75" hidden="1" customHeight="1" x14ac:dyDescent="0.25">
      <c r="A548" s="531" t="s">
        <v>509</v>
      </c>
      <c r="B548" s="532"/>
      <c r="C548" s="533"/>
      <c r="D548" s="124"/>
      <c r="E548" s="125"/>
      <c r="F548" s="125" t="e">
        <f>F211-F542</f>
        <v>#REF!</v>
      </c>
      <c r="G548" s="125" t="e">
        <f t="shared" ref="G548" si="166">G211-G542</f>
        <v>#REF!</v>
      </c>
      <c r="H548" s="126">
        <f>H211-H542</f>
        <v>0</v>
      </c>
      <c r="I548" s="125">
        <f t="shared" ref="I548:P548" si="167">I211-I542</f>
        <v>17161</v>
      </c>
      <c r="J548" s="125">
        <f t="shared" si="167"/>
        <v>0</v>
      </c>
      <c r="K548" s="126">
        <f t="shared" si="167"/>
        <v>0</v>
      </c>
      <c r="L548" s="126">
        <f t="shared" si="167"/>
        <v>-768</v>
      </c>
      <c r="M548" s="126" t="e">
        <f>M211-M542</f>
        <v>#REF!</v>
      </c>
      <c r="N548" s="125">
        <f t="shared" si="167"/>
        <v>272554</v>
      </c>
      <c r="O548" s="125">
        <f t="shared" si="167"/>
        <v>0</v>
      </c>
      <c r="P548" s="125">
        <f t="shared" si="167"/>
        <v>0</v>
      </c>
      <c r="R548" s="402"/>
      <c r="S548" s="403">
        <f t="shared" ref="S548" si="168">S211-S542</f>
        <v>-917</v>
      </c>
      <c r="T548" s="404"/>
      <c r="AF548" s="405" t="s">
        <v>564</v>
      </c>
    </row>
    <row r="549" spans="1:35" hidden="1" x14ac:dyDescent="0.25"/>
    <row r="550" spans="1:35" x14ac:dyDescent="0.25">
      <c r="F550" s="44" t="e">
        <f>F211-F542</f>
        <v>#REF!</v>
      </c>
      <c r="M550" s="44"/>
      <c r="S550" s="44">
        <f>S250+S252+S253+S254+S258+S265+S266+S267+S268+S270+S275+S279+S282+S283+S285+S286+S288+S290+S313+S314-25</f>
        <v>73258</v>
      </c>
      <c r="T550" s="44"/>
    </row>
    <row r="551" spans="1:35" x14ac:dyDescent="0.25">
      <c r="M551" s="44"/>
      <c r="AF551" s="12" t="s">
        <v>567</v>
      </c>
      <c r="AI551" s="12" t="s">
        <v>565</v>
      </c>
    </row>
    <row r="552" spans="1:35" x14ac:dyDescent="0.25">
      <c r="AF552" s="12" t="s">
        <v>568</v>
      </c>
    </row>
  </sheetData>
  <mergeCells count="188">
    <mergeCell ref="A1:P1"/>
    <mergeCell ref="A548:C548"/>
    <mergeCell ref="A519:A521"/>
    <mergeCell ref="B519:B521"/>
    <mergeCell ref="C519:C521"/>
    <mergeCell ref="E519:E521"/>
    <mergeCell ref="G519:Q519"/>
    <mergeCell ref="G520:G521"/>
    <mergeCell ref="I520:N520"/>
    <mergeCell ref="O520:O521"/>
    <mergeCell ref="Q520:Q521"/>
    <mergeCell ref="A492:A494"/>
    <mergeCell ref="B492:B494"/>
    <mergeCell ref="C492:C494"/>
    <mergeCell ref="E492:E494"/>
    <mergeCell ref="G492:Q492"/>
    <mergeCell ref="G493:G494"/>
    <mergeCell ref="I493:N493"/>
    <mergeCell ref="O493:O494"/>
    <mergeCell ref="Q493:Q494"/>
    <mergeCell ref="A464:A466"/>
    <mergeCell ref="B464:B466"/>
    <mergeCell ref="C464:C466"/>
    <mergeCell ref="E464:E466"/>
    <mergeCell ref="G464:Q464"/>
    <mergeCell ref="G465:G466"/>
    <mergeCell ref="I465:N465"/>
    <mergeCell ref="O465:O466"/>
    <mergeCell ref="Q465:Q466"/>
    <mergeCell ref="A429:A431"/>
    <mergeCell ref="B429:B431"/>
    <mergeCell ref="C429:C431"/>
    <mergeCell ref="E429:E431"/>
    <mergeCell ref="G429:Q429"/>
    <mergeCell ref="G430:G431"/>
    <mergeCell ref="I430:N430"/>
    <mergeCell ref="O430:O431"/>
    <mergeCell ref="Q430:Q431"/>
    <mergeCell ref="A401:A403"/>
    <mergeCell ref="B401:B403"/>
    <mergeCell ref="C401:C403"/>
    <mergeCell ref="E401:E403"/>
    <mergeCell ref="G401:Q401"/>
    <mergeCell ref="G402:G403"/>
    <mergeCell ref="I402:N402"/>
    <mergeCell ref="O402:O403"/>
    <mergeCell ref="Q402:Q403"/>
    <mergeCell ref="A376:A378"/>
    <mergeCell ref="B376:B378"/>
    <mergeCell ref="C376:C378"/>
    <mergeCell ref="E376:E378"/>
    <mergeCell ref="G376:Q376"/>
    <mergeCell ref="G377:G378"/>
    <mergeCell ref="I377:N377"/>
    <mergeCell ref="O377:O378"/>
    <mergeCell ref="Q377:Q378"/>
    <mergeCell ref="A350:A352"/>
    <mergeCell ref="B350:B352"/>
    <mergeCell ref="C350:C352"/>
    <mergeCell ref="E350:E352"/>
    <mergeCell ref="G350:Q350"/>
    <mergeCell ref="G351:G352"/>
    <mergeCell ref="I351:N351"/>
    <mergeCell ref="O351:O352"/>
    <mergeCell ref="Q351:Q352"/>
    <mergeCell ref="A320:A322"/>
    <mergeCell ref="B320:B322"/>
    <mergeCell ref="C320:C322"/>
    <mergeCell ref="E320:E322"/>
    <mergeCell ref="G320:Q320"/>
    <mergeCell ref="G321:G322"/>
    <mergeCell ref="I321:N321"/>
    <mergeCell ref="O321:O322"/>
    <mergeCell ref="Q321:Q322"/>
    <mergeCell ref="A271:A273"/>
    <mergeCell ref="B271:B273"/>
    <mergeCell ref="C271:C273"/>
    <mergeCell ref="E271:E273"/>
    <mergeCell ref="G271:Q271"/>
    <mergeCell ref="G272:G273"/>
    <mergeCell ref="I272:N272"/>
    <mergeCell ref="O272:O273"/>
    <mergeCell ref="Q272:Q273"/>
    <mergeCell ref="P217:P218"/>
    <mergeCell ref="Q217:Q218"/>
    <mergeCell ref="A235:A237"/>
    <mergeCell ref="B235:B237"/>
    <mergeCell ref="C235:C237"/>
    <mergeCell ref="E235:E237"/>
    <mergeCell ref="G235:Q235"/>
    <mergeCell ref="G236:G237"/>
    <mergeCell ref="I236:N236"/>
    <mergeCell ref="O236:O237"/>
    <mergeCell ref="A216:A218"/>
    <mergeCell ref="B216:B218"/>
    <mergeCell ref="C216:C218"/>
    <mergeCell ref="D216:D218"/>
    <mergeCell ref="E216:E218"/>
    <mergeCell ref="F216:Q216"/>
    <mergeCell ref="F217:F218"/>
    <mergeCell ref="G217:G218"/>
    <mergeCell ref="H217:N217"/>
    <mergeCell ref="O217:O218"/>
    <mergeCell ref="Q236:Q237"/>
    <mergeCell ref="A204:A206"/>
    <mergeCell ref="B204:B206"/>
    <mergeCell ref="C204:C206"/>
    <mergeCell ref="E204:E206"/>
    <mergeCell ref="G204:Q204"/>
    <mergeCell ref="G205:G206"/>
    <mergeCell ref="I205:N205"/>
    <mergeCell ref="O205:O206"/>
    <mergeCell ref="Q205:Q206"/>
    <mergeCell ref="A182:A184"/>
    <mergeCell ref="B182:B184"/>
    <mergeCell ref="C182:C184"/>
    <mergeCell ref="E182:E184"/>
    <mergeCell ref="G182:Q182"/>
    <mergeCell ref="G183:G184"/>
    <mergeCell ref="I183:N183"/>
    <mergeCell ref="O183:O184"/>
    <mergeCell ref="Q183:Q184"/>
    <mergeCell ref="A156:A158"/>
    <mergeCell ref="B156:B158"/>
    <mergeCell ref="C156:C158"/>
    <mergeCell ref="E156:E158"/>
    <mergeCell ref="G156:Q156"/>
    <mergeCell ref="G157:G158"/>
    <mergeCell ref="I157:N157"/>
    <mergeCell ref="O157:O158"/>
    <mergeCell ref="Q157:Q158"/>
    <mergeCell ref="A129:A131"/>
    <mergeCell ref="B129:B131"/>
    <mergeCell ref="C129:C131"/>
    <mergeCell ref="E129:E131"/>
    <mergeCell ref="G129:Q129"/>
    <mergeCell ref="G130:G131"/>
    <mergeCell ref="I130:N130"/>
    <mergeCell ref="O130:O131"/>
    <mergeCell ref="Q130:Q131"/>
    <mergeCell ref="A101:A103"/>
    <mergeCell ref="B101:B103"/>
    <mergeCell ref="C101:C103"/>
    <mergeCell ref="E101:E103"/>
    <mergeCell ref="G101:Q101"/>
    <mergeCell ref="G102:G103"/>
    <mergeCell ref="I102:N102"/>
    <mergeCell ref="O102:O103"/>
    <mergeCell ref="Q102:Q103"/>
    <mergeCell ref="A71:A73"/>
    <mergeCell ref="B71:B73"/>
    <mergeCell ref="C71:C73"/>
    <mergeCell ref="E71:E73"/>
    <mergeCell ref="G71:Q71"/>
    <mergeCell ref="G72:G73"/>
    <mergeCell ref="I72:N72"/>
    <mergeCell ref="O72:O73"/>
    <mergeCell ref="Q72:Q73"/>
    <mergeCell ref="A44:A46"/>
    <mergeCell ref="B44:B46"/>
    <mergeCell ref="C44:C46"/>
    <mergeCell ref="E44:E46"/>
    <mergeCell ref="G44:Q44"/>
    <mergeCell ref="G45:G46"/>
    <mergeCell ref="I45:N45"/>
    <mergeCell ref="O45:O46"/>
    <mergeCell ref="Q45:Q46"/>
    <mergeCell ref="P4:P5"/>
    <mergeCell ref="Q4:Q5"/>
    <mergeCell ref="A12:A14"/>
    <mergeCell ref="B12:B14"/>
    <mergeCell ref="C12:C14"/>
    <mergeCell ref="E12:E14"/>
    <mergeCell ref="G12:Q12"/>
    <mergeCell ref="G13:G14"/>
    <mergeCell ref="I13:N13"/>
    <mergeCell ref="O13:O14"/>
    <mergeCell ref="A3:A5"/>
    <mergeCell ref="B3:B5"/>
    <mergeCell ref="C3:C5"/>
    <mergeCell ref="D3:D5"/>
    <mergeCell ref="E3:E5"/>
    <mergeCell ref="F3:Q3"/>
    <mergeCell ref="F4:F5"/>
    <mergeCell ref="G4:G5"/>
    <mergeCell ref="H4:N4"/>
    <mergeCell ref="O4:O5"/>
    <mergeCell ref="Q13:Q14"/>
  </mergeCells>
  <dataValidations count="1">
    <dataValidation type="whole" allowBlank="1" showErrorMessage="1" errorTitle="Upozorenje" error="Niste uneli korektnu vrednost!_x000a_Ponovite unos." sqref="H433:H444 E433:G463 E105:E128 G121:M122 H446:H463 E133:E155 E75:E100 F75:F155 E16:Y43 E48:Y70 E160:Y181 E186:Y203 E208:Y212 E7:Y11 G75:Y100 G123:Y128 G133:Y155 E220:Y234 E523:Y542 E405:Y428 E324:Y349 E354:Y375 E380:Y400 E468:Y491 G105:Y120 I433:Y463 S121:T122 E496:Y518 E239:S270 U239:Y270 E275:S319 U275:Y319 T239:T319">
      <formula1>0</formula1>
      <formula2>999999999</formula2>
    </dataValidation>
  </dataValidations>
  <pageMargins left="0.16" right="0.21" top="0.41" bottom="0.16" header="0.16" footer="0.2"/>
  <pageSetup paperSize="9" orientation="portrait" verticalDpi="4294967295" r:id="rId1"/>
  <headerFooter>
    <oddFooter>&amp;R&amp;P</oddFooter>
  </headerFooter>
  <drawing r:id="rId2"/>
  <legacyDrawing r:id="rId3"/>
  <oleObjects>
    <mc:AlternateContent xmlns:mc="http://schemas.openxmlformats.org/markup-compatibility/2006">
      <mc:Choice Requires="x14">
        <oleObject progId="Word.Document.12" shapeId="15361" r:id="rId4">
          <objectPr defaultSize="0" r:id="rId5">
            <anchor moveWithCells="1">
              <from>
                <xdr:col>27</xdr:col>
                <xdr:colOff>219075</xdr:colOff>
                <xdr:row>251</xdr:row>
                <xdr:rowOff>171450</xdr:rowOff>
              </from>
              <to>
                <xdr:col>36</xdr:col>
                <xdr:colOff>209550</xdr:colOff>
                <xdr:row>290</xdr:row>
                <xdr:rowOff>123825</xdr:rowOff>
              </to>
            </anchor>
          </objectPr>
        </oleObject>
      </mc:Choice>
      <mc:Fallback>
        <oleObject progId="Word.Document.12" shapeId="15361" r:id="rId4"/>
      </mc:Fallback>
    </mc:AlternateContent>
    <mc:AlternateContent xmlns:mc="http://schemas.openxmlformats.org/markup-compatibility/2006">
      <mc:Choice Requires="x14">
        <oleObject progId="Word.Document.12" shapeId="15362" r:id="rId6">
          <objectPr defaultSize="0" r:id="rId7">
            <anchor moveWithCells="1">
              <from>
                <xdr:col>27</xdr:col>
                <xdr:colOff>0</xdr:colOff>
                <xdr:row>251</xdr:row>
                <xdr:rowOff>0</xdr:rowOff>
              </from>
              <to>
                <xdr:col>35</xdr:col>
                <xdr:colOff>571500</xdr:colOff>
                <xdr:row>289</xdr:row>
                <xdr:rowOff>285750</xdr:rowOff>
              </to>
            </anchor>
          </objectPr>
        </oleObject>
      </mc:Choice>
      <mc:Fallback>
        <oleObject progId="Word.Document.12" shapeId="15362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91"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541"/>
  <sheetViews>
    <sheetView topLeftCell="A443" workbookViewId="0">
      <selection activeCell="A543" sqref="A543:XFD549"/>
    </sheetView>
  </sheetViews>
  <sheetFormatPr defaultRowHeight="15" x14ac:dyDescent="0.25"/>
  <cols>
    <col min="1" max="1" width="4.85546875" style="12" customWidth="1"/>
    <col min="2" max="2" width="9.140625" style="12" customWidth="1"/>
    <col min="3" max="3" width="33.140625" style="12" customWidth="1"/>
    <col min="4" max="4" width="3.28515625" style="12" customWidth="1"/>
    <col min="5" max="5" width="8.7109375" style="12" hidden="1" customWidth="1"/>
    <col min="6" max="6" width="9" style="12" customWidth="1"/>
    <col min="7" max="7" width="0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9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1" width="0" style="12" hidden="1" customWidth="1"/>
    <col min="22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1478963</v>
      </c>
      <c r="G6" s="19">
        <f t="shared" ref="G6:Q6" si="0">G7+G133</f>
        <v>2872894</v>
      </c>
      <c r="H6" s="19">
        <f t="shared" si="0"/>
        <v>21242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1443921</v>
      </c>
      <c r="N6" s="19">
        <f t="shared" si="0"/>
        <v>1398192</v>
      </c>
      <c r="O6" s="19">
        <f t="shared" si="0"/>
        <v>0</v>
      </c>
      <c r="P6" s="19">
        <f t="shared" si="0"/>
        <v>12800</v>
      </c>
      <c r="Q6" s="67">
        <f t="shared" si="0"/>
        <v>12669</v>
      </c>
    </row>
    <row r="7" spans="1:17" ht="26.25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1478763</v>
      </c>
      <c r="G7" s="19">
        <f>G8+G60+G74+G86+G115+G122+G126</f>
        <v>2872710</v>
      </c>
      <c r="H7" s="19">
        <f t="shared" ref="H7:Q7" si="1">H8+H60+H74+H86+H115+H122+H126</f>
        <v>21242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1443921</v>
      </c>
      <c r="N7" s="19">
        <f t="shared" si="1"/>
        <v>1398192</v>
      </c>
      <c r="O7" s="19">
        <f t="shared" si="1"/>
        <v>0</v>
      </c>
      <c r="P7" s="19">
        <f t="shared" si="1"/>
        <v>12600</v>
      </c>
      <c r="Q7" s="67">
        <f t="shared" si="1"/>
        <v>12485</v>
      </c>
    </row>
    <row r="8" spans="1:17" ht="26.25" hidden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26.25" hidden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39" hidden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idden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idden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idden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idden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idden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idden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idden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idden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idden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idden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idden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idden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26.25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26.25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26.25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64.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26.25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39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26.25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39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26.25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26.25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39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14931</v>
      </c>
      <c r="G86" s="19">
        <f t="shared" ref="G86:Q86" si="21">G87+G94+G99+G110+G113</f>
        <v>14780</v>
      </c>
      <c r="H86" s="19">
        <f>H87+H94+H99+H110+H113</f>
        <v>1200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v>1131</v>
      </c>
      <c r="N86" s="19">
        <f t="shared" si="21"/>
        <v>1130</v>
      </c>
      <c r="O86" s="19">
        <f t="shared" si="21"/>
        <v>0</v>
      </c>
      <c r="P86" s="19">
        <f>P87+P94+P99+P110+P113+P120</f>
        <v>12600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1131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1131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1131</v>
      </c>
      <c r="G91" s="37">
        <f>SUM(I91:Q91)-K91-M91-P91</f>
        <v>1130</v>
      </c>
      <c r="H91" s="37"/>
      <c r="I91" s="38"/>
      <c r="J91" s="38"/>
      <c r="K91" s="38"/>
      <c r="L91" s="38"/>
      <c r="M91" s="38">
        <v>1131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26.25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1200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12500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26.25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1200</v>
      </c>
      <c r="I97" s="36">
        <v>1165</v>
      </c>
      <c r="J97" s="36"/>
      <c r="K97" s="36"/>
      <c r="L97" s="36"/>
      <c r="M97" s="36"/>
      <c r="N97" s="36"/>
      <c r="O97" s="36"/>
      <c r="P97" s="36">
        <v>7500</v>
      </c>
      <c r="Q97" s="72">
        <v>7180</v>
      </c>
    </row>
    <row r="98" spans="1:17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26.25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26.25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17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17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17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17" ht="26.25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17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17" ht="39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17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17" s="10" customFormat="1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2839852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17" s="10" customFormat="1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17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1442790</v>
      </c>
      <c r="G122" s="19">
        <f t="shared" ref="G122:Q122" si="33">G123</f>
        <v>2839852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1442790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17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1442790</v>
      </c>
      <c r="G123" s="19">
        <f t="shared" ref="G123:Q123" si="34">G124+G125</f>
        <v>2839852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1442790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17" ht="26.25" x14ac:dyDescent="0.25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1442790</v>
      </c>
      <c r="G124" s="37">
        <f>SUM(I124:Q124)</f>
        <v>2839852</v>
      </c>
      <c r="H124" s="37"/>
      <c r="I124" s="36"/>
      <c r="J124" s="36"/>
      <c r="K124" s="36"/>
      <c r="L124" s="36"/>
      <c r="M124" s="36">
        <f>1377997+1583+12500+4800+200+7710+600+37400</f>
        <v>1442790</v>
      </c>
      <c r="N124" s="36">
        <v>1397062</v>
      </c>
      <c r="O124" s="36"/>
      <c r="P124" s="36"/>
      <c r="Q124" s="72"/>
    </row>
    <row r="125" spans="1:17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17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21042</v>
      </c>
      <c r="G126" s="19">
        <f t="shared" ref="G126:Q126" si="36">G127</f>
        <v>18078</v>
      </c>
      <c r="H126" s="19">
        <f>H127</f>
        <v>20042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17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21042</v>
      </c>
      <c r="G127" s="19">
        <f t="shared" ref="G127:Q127" si="37">G132</f>
        <v>18078</v>
      </c>
      <c r="H127" s="19">
        <f t="shared" si="37"/>
        <v>20042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17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17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17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17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17" x14ac:dyDescent="0.25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21042</v>
      </c>
      <c r="G132" s="37">
        <f>SUM(I132:Q132)-K132-M132-P132</f>
        <v>18078</v>
      </c>
      <c r="H132" s="37">
        <f>20000+42</f>
        <v>20042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</row>
    <row r="133" spans="1:17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17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 t="shared" si="39"/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17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17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17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17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17" ht="26.25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17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17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17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17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17" ht="26.25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26.25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39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26.25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26.25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26.25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26.25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39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26.25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26.25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26.25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26.25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26.25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26.25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1478963</v>
      </c>
      <c r="G210" s="42">
        <f t="shared" si="61"/>
        <v>2872894</v>
      </c>
      <c r="H210" s="42">
        <f t="shared" si="61"/>
        <v>21242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1443921</v>
      </c>
      <c r="N210" s="42">
        <f t="shared" si="61"/>
        <v>1398192</v>
      </c>
      <c r="O210" s="42">
        <f t="shared" si="61"/>
        <v>0</v>
      </c>
      <c r="P210" s="42">
        <f t="shared" si="61"/>
        <v>12800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1484242</v>
      </c>
      <c r="G219" s="19">
        <f t="shared" si="62"/>
        <v>1428216</v>
      </c>
      <c r="H219" s="19">
        <f t="shared" si="62"/>
        <v>22280</v>
      </c>
      <c r="I219" s="19">
        <f t="shared" si="62"/>
        <v>17657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1443921</v>
      </c>
      <c r="N219" s="19">
        <f t="shared" si="62"/>
        <v>1398024</v>
      </c>
      <c r="O219" s="19">
        <f t="shared" si="62"/>
        <v>0</v>
      </c>
      <c r="P219" s="19">
        <f t="shared" si="62"/>
        <v>17041</v>
      </c>
      <c r="Q219" s="19">
        <f t="shared" si="62"/>
        <v>11162</v>
      </c>
      <c r="R219" s="44">
        <f>H219+K219+M219+P219</f>
        <v>1484242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1458707</v>
      </c>
      <c r="G220" s="19">
        <f t="shared" ref="G220:Q220" si="63">G221+G247+G314+G333+G361+G374+G394+G413</f>
        <v>1411053</v>
      </c>
      <c r="H220" s="19">
        <f t="shared" si="63"/>
        <v>2238</v>
      </c>
      <c r="I220" s="19">
        <f t="shared" si="63"/>
        <v>2407</v>
      </c>
      <c r="J220" s="19">
        <f t="shared" si="63"/>
        <v>0</v>
      </c>
      <c r="K220" s="19">
        <f t="shared" si="63"/>
        <v>1000</v>
      </c>
      <c r="L220" s="19">
        <f t="shared" si="63"/>
        <v>1273</v>
      </c>
      <c r="M220" s="19">
        <f t="shared" si="63"/>
        <v>1443921</v>
      </c>
      <c r="N220" s="19">
        <f t="shared" si="63"/>
        <v>1398024</v>
      </c>
      <c r="O220" s="19">
        <f t="shared" si="63"/>
        <v>0</v>
      </c>
      <c r="P220" s="19">
        <f t="shared" si="63"/>
        <v>11548</v>
      </c>
      <c r="Q220" s="19">
        <f t="shared" si="63"/>
        <v>9349</v>
      </c>
      <c r="R220" s="44">
        <f>F220+F434</f>
        <v>1484242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1055701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1052496</v>
      </c>
      <c r="N221" s="19">
        <f t="shared" si="64"/>
        <v>1025065</v>
      </c>
      <c r="O221" s="19">
        <f t="shared" si="64"/>
        <v>0</v>
      </c>
      <c r="P221" s="19">
        <f t="shared" si="64"/>
        <v>3205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875010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872510</v>
      </c>
      <c r="N222" s="19">
        <f t="shared" si="65"/>
        <v>849796</v>
      </c>
      <c r="O222" s="19">
        <f t="shared" si="65"/>
        <v>0</v>
      </c>
      <c r="P222" s="19">
        <f t="shared" si="65"/>
        <v>2500</v>
      </c>
      <c r="Q222" s="19">
        <f t="shared" si="65"/>
        <v>1989</v>
      </c>
    </row>
    <row r="223" spans="1:18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875010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872510</v>
      </c>
      <c r="N223" s="36">
        <f>851785-1989</f>
        <v>849796</v>
      </c>
      <c r="O223" s="36"/>
      <c r="P223" s="36">
        <v>2500</v>
      </c>
      <c r="Q223" s="36">
        <v>1989</v>
      </c>
      <c r="R223" s="44">
        <f>M223+P223</f>
        <v>875010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141315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140910</v>
      </c>
      <c r="N224" s="19">
        <f t="shared" si="66"/>
        <v>141535</v>
      </c>
      <c r="O224" s="19">
        <f t="shared" si="66"/>
        <v>0</v>
      </c>
      <c r="P224" s="19">
        <f t="shared" si="66"/>
        <v>405</v>
      </c>
      <c r="Q224" s="19">
        <f t="shared" si="66"/>
        <v>331</v>
      </c>
    </row>
    <row r="225" spans="1:17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96251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95976</v>
      </c>
      <c r="N225" s="36">
        <f>97986-229</f>
        <v>97757</v>
      </c>
      <c r="O225" s="36"/>
      <c r="P225" s="36">
        <v>275</v>
      </c>
      <c r="Q225" s="36">
        <v>229</v>
      </c>
    </row>
    <row r="226" spans="1:17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45064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44934</v>
      </c>
      <c r="N226" s="36">
        <f>43880-102</f>
        <v>43778</v>
      </c>
      <c r="O226" s="36"/>
      <c r="P226" s="36">
        <v>130</v>
      </c>
      <c r="Q226" s="36">
        <v>102</v>
      </c>
    </row>
    <row r="227" spans="1:17" hidden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17" hidden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17" hidden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17" ht="26.25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5900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5600</v>
      </c>
      <c r="N230" s="19">
        <f t="shared" si="69"/>
        <v>4959</v>
      </c>
      <c r="O230" s="19">
        <f t="shared" si="69"/>
        <v>0</v>
      </c>
      <c r="P230" s="19">
        <f t="shared" si="69"/>
        <v>300</v>
      </c>
      <c r="Q230" s="19">
        <f t="shared" si="69"/>
        <v>280</v>
      </c>
    </row>
    <row r="231" spans="1:17" ht="26.25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17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17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5300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f>4800+200</f>
        <v>5000</v>
      </c>
      <c r="N233" s="36">
        <v>3654</v>
      </c>
      <c r="O233" s="36"/>
      <c r="P233" s="36">
        <v>300</v>
      </c>
      <c r="Q233" s="36">
        <v>280</v>
      </c>
    </row>
    <row r="234" spans="1:17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17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17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17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17" ht="39" x14ac:dyDescent="0.25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600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600</v>
      </c>
      <c r="N238" s="36">
        <v>1305</v>
      </c>
      <c r="O238" s="36"/>
      <c r="P238" s="36"/>
      <c r="Q238" s="36"/>
    </row>
    <row r="239" spans="1:17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20976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20976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17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20976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20976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12500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12500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12500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12500</v>
      </c>
      <c r="N242" s="36">
        <v>9143</v>
      </c>
      <c r="O242" s="36"/>
      <c r="P242" s="36"/>
      <c r="Q242" s="36"/>
    </row>
    <row r="243" spans="1:18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394480</v>
      </c>
      <c r="G247" s="19">
        <f t="shared" si="74"/>
        <v>375619</v>
      </c>
      <c r="H247" s="19">
        <f t="shared" si="74"/>
        <v>2238</v>
      </c>
      <c r="I247" s="19">
        <f t="shared" si="74"/>
        <v>2407</v>
      </c>
      <c r="J247" s="19">
        <f t="shared" si="74"/>
        <v>0</v>
      </c>
      <c r="K247" s="19">
        <f t="shared" si="74"/>
        <v>1000</v>
      </c>
      <c r="L247" s="19">
        <f t="shared" si="74"/>
        <v>1273</v>
      </c>
      <c r="M247" s="19">
        <f t="shared" si="74"/>
        <v>383715</v>
      </c>
      <c r="N247" s="19">
        <f t="shared" si="74"/>
        <v>365541</v>
      </c>
      <c r="O247" s="19">
        <f t="shared" si="74"/>
        <v>0</v>
      </c>
      <c r="P247" s="19">
        <f t="shared" si="74"/>
        <v>7527</v>
      </c>
      <c r="Q247" s="19">
        <f t="shared" si="74"/>
        <v>6398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90840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90035</v>
      </c>
      <c r="N248" s="19">
        <f t="shared" si="75"/>
        <v>80545</v>
      </c>
      <c r="O248" s="19">
        <f t="shared" si="75"/>
        <v>0</v>
      </c>
      <c r="P248" s="19">
        <f t="shared" si="75"/>
        <v>805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1513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1433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73600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f>73200+50</f>
        <v>73250</v>
      </c>
      <c r="N250" s="36">
        <v>65188</v>
      </c>
      <c r="O250" s="36"/>
      <c r="P250" s="36">
        <v>350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10627</v>
      </c>
      <c r="G251" s="37">
        <f t="shared" si="76"/>
        <v>9465</v>
      </c>
      <c r="H251" s="37"/>
      <c r="I251" s="36"/>
      <c r="J251" s="36"/>
      <c r="K251" s="36"/>
      <c r="L251" s="36"/>
      <c r="M251" s="36">
        <f>11064-400-300</f>
        <v>10364</v>
      </c>
      <c r="N251" s="36">
        <v>9410</v>
      </c>
      <c r="O251" s="36"/>
      <c r="P251" s="36">
        <f>85+178</f>
        <v>263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2208</v>
      </c>
      <c r="G252" s="37">
        <f t="shared" si="76"/>
        <v>2113</v>
      </c>
      <c r="H252" s="37"/>
      <c r="I252" s="36"/>
      <c r="J252" s="36"/>
      <c r="K252" s="36"/>
      <c r="L252" s="36"/>
      <c r="M252" s="36">
        <f>3000-1092+300</f>
        <v>2208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2892</v>
      </c>
      <c r="G253" s="37">
        <f t="shared" si="76"/>
        <v>2612</v>
      </c>
      <c r="H253" s="37"/>
      <c r="I253" s="36"/>
      <c r="J253" s="36"/>
      <c r="K253" s="36"/>
      <c r="L253" s="36"/>
      <c r="M253" s="36">
        <f>1131+2500-851</f>
        <v>2780</v>
      </c>
      <c r="N253" s="36">
        <v>2591</v>
      </c>
      <c r="O253" s="36"/>
      <c r="P253" s="36">
        <v>112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650</v>
      </c>
      <c r="G256" s="19">
        <f t="shared" si="77"/>
        <v>571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150</v>
      </c>
      <c r="N256" s="19">
        <f t="shared" si="77"/>
        <v>120</v>
      </c>
      <c r="O256" s="19">
        <f t="shared" si="77"/>
        <v>0</v>
      </c>
      <c r="P256" s="19">
        <f t="shared" si="77"/>
        <v>500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650</v>
      </c>
      <c r="G257" s="37">
        <f t="shared" ref="G257" si="78">SUM(I257:Q257)-K257-M257-P257</f>
        <v>571</v>
      </c>
      <c r="H257" s="37"/>
      <c r="I257" s="36"/>
      <c r="J257" s="36"/>
      <c r="K257" s="36"/>
      <c r="L257" s="36"/>
      <c r="M257" s="36">
        <v>150</v>
      </c>
      <c r="N257" s="36">
        <v>120</v>
      </c>
      <c r="O257" s="36"/>
      <c r="P257" s="36">
        <v>500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8511</v>
      </c>
      <c r="G262" s="19">
        <f t="shared" si="79"/>
        <v>6375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6300</v>
      </c>
      <c r="N262" s="19">
        <f t="shared" si="79"/>
        <v>4811</v>
      </c>
      <c r="O262" s="19">
        <f t="shared" si="79"/>
        <v>0</v>
      </c>
      <c r="P262" s="19">
        <f t="shared" si="79"/>
        <v>2211</v>
      </c>
      <c r="Q262" s="19">
        <f t="shared" si="79"/>
        <v>1564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3606</v>
      </c>
      <c r="G264" s="37">
        <f t="shared" ref="G264:G269" si="80">SUM(I264:Q264)-K264-M264-P264</f>
        <v>2262</v>
      </c>
      <c r="H264" s="37"/>
      <c r="I264" s="36"/>
      <c r="J264" s="36"/>
      <c r="K264" s="36"/>
      <c r="L264" s="36"/>
      <c r="M264" s="36">
        <f>3000+540</f>
        <v>3540</v>
      </c>
      <c r="N264" s="36">
        <v>2192</v>
      </c>
      <c r="O264" s="36"/>
      <c r="P264" s="36">
        <v>66</v>
      </c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3060</v>
      </c>
      <c r="G265" s="37">
        <f t="shared" si="80"/>
        <v>2522</v>
      </c>
      <c r="H265" s="37"/>
      <c r="I265" s="36"/>
      <c r="J265" s="36"/>
      <c r="K265" s="36"/>
      <c r="L265" s="36"/>
      <c r="M265" s="36">
        <v>2500</v>
      </c>
      <c r="N265" s="36">
        <v>2374</v>
      </c>
      <c r="O265" s="36"/>
      <c r="P265" s="36">
        <f>200+360</f>
        <v>560</v>
      </c>
      <c r="Q265" s="36">
        <v>148</v>
      </c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260</v>
      </c>
      <c r="G266" s="37">
        <f t="shared" si="80"/>
        <v>259</v>
      </c>
      <c r="H266" s="37"/>
      <c r="I266" s="36"/>
      <c r="J266" s="36"/>
      <c r="K266" s="36"/>
      <c r="L266" s="36"/>
      <c r="M266" s="36">
        <v>260</v>
      </c>
      <c r="N266" s="36">
        <v>245</v>
      </c>
      <c r="O266" s="36"/>
      <c r="P266" s="36"/>
      <c r="Q266" s="36">
        <v>14</v>
      </c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1125</v>
      </c>
      <c r="G267" s="37">
        <f t="shared" si="80"/>
        <v>1132</v>
      </c>
      <c r="H267" s="37"/>
      <c r="I267" s="36"/>
      <c r="J267" s="36"/>
      <c r="K267" s="36"/>
      <c r="L267" s="36"/>
      <c r="M267" s="36"/>
      <c r="N267" s="36"/>
      <c r="O267" s="36"/>
      <c r="P267" s="36">
        <v>1125</v>
      </c>
      <c r="Q267" s="36">
        <v>1132</v>
      </c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>
        <f t="shared" si="67"/>
        <v>0</v>
      </c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>
        <f t="shared" si="80"/>
        <v>114</v>
      </c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>
        <v>114</v>
      </c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 t="s">
        <v>198</v>
      </c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 t="s">
        <v>199</v>
      </c>
      <c r="H271" s="476"/>
      <c r="I271" s="544" t="s">
        <v>200</v>
      </c>
      <c r="J271" s="545"/>
      <c r="K271" s="545"/>
      <c r="L271" s="545"/>
      <c r="M271" s="545"/>
      <c r="N271" s="545"/>
      <c r="O271" s="544" t="s">
        <v>7</v>
      </c>
      <c r="P271" s="476"/>
      <c r="Q271" s="544" t="s">
        <v>8</v>
      </c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 t="s">
        <v>201</v>
      </c>
      <c r="J272" s="476" t="s">
        <v>10</v>
      </c>
      <c r="K272" s="476"/>
      <c r="L272" s="476" t="s">
        <v>11</v>
      </c>
      <c r="M272" s="476"/>
      <c r="N272" s="476" t="s">
        <v>12</v>
      </c>
      <c r="O272" s="545"/>
      <c r="P272" s="477"/>
      <c r="Q272" s="545"/>
    </row>
    <row r="273" spans="1:20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 t="s">
        <v>22</v>
      </c>
      <c r="H273" s="475"/>
      <c r="I273" s="475" t="s">
        <v>23</v>
      </c>
      <c r="J273" s="475" t="s">
        <v>24</v>
      </c>
      <c r="K273" s="475"/>
      <c r="L273" s="475" t="s">
        <v>25</v>
      </c>
      <c r="M273" s="475"/>
      <c r="N273" s="475" t="s">
        <v>26</v>
      </c>
      <c r="O273" s="475" t="s">
        <v>27</v>
      </c>
      <c r="P273" s="475"/>
      <c r="Q273" s="475" t="s">
        <v>28</v>
      </c>
    </row>
    <row r="274" spans="1:20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260</v>
      </c>
      <c r="G274" s="37">
        <f t="shared" ref="G274" si="81">SUM(I274:Q274)-K274-M274-P274</f>
        <v>86</v>
      </c>
      <c r="H274" s="37"/>
      <c r="I274" s="36"/>
      <c r="J274" s="36"/>
      <c r="K274" s="36"/>
      <c r="L274" s="36"/>
      <c r="M274" s="36"/>
      <c r="N274" s="36"/>
      <c r="O274" s="36"/>
      <c r="P274" s="36">
        <v>260</v>
      </c>
      <c r="Q274" s="36">
        <v>86</v>
      </c>
    </row>
    <row r="275" spans="1:20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2">SUM(F276:F282)</f>
        <v>3007</v>
      </c>
      <c r="G275" s="19">
        <f t="shared" si="82"/>
        <v>3707</v>
      </c>
      <c r="H275" s="19">
        <f t="shared" si="82"/>
        <v>0</v>
      </c>
      <c r="I275" s="19">
        <f t="shared" si="82"/>
        <v>2280</v>
      </c>
      <c r="J275" s="19">
        <f t="shared" si="82"/>
        <v>0</v>
      </c>
      <c r="K275" s="19">
        <f t="shared" si="82"/>
        <v>0</v>
      </c>
      <c r="L275" s="19">
        <f t="shared" si="82"/>
        <v>0</v>
      </c>
      <c r="M275" s="19">
        <f t="shared" si="82"/>
        <v>1280</v>
      </c>
      <c r="N275" s="19">
        <f t="shared" si="82"/>
        <v>977</v>
      </c>
      <c r="O275" s="19">
        <f t="shared" si="82"/>
        <v>0</v>
      </c>
      <c r="P275" s="19">
        <f t="shared" si="82"/>
        <v>1727</v>
      </c>
      <c r="Q275" s="19">
        <f t="shared" si="82"/>
        <v>450</v>
      </c>
    </row>
    <row r="276" spans="1:20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0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0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1480</v>
      </c>
      <c r="G278" s="37">
        <f t="shared" ref="G278" si="83">SUM(I278:Q278)-K278-M278-P278</f>
        <v>1086</v>
      </c>
      <c r="H278" s="37"/>
      <c r="I278" s="36"/>
      <c r="J278" s="36"/>
      <c r="K278" s="36"/>
      <c r="L278" s="36"/>
      <c r="M278" s="36">
        <f>1000+280</f>
        <v>1280</v>
      </c>
      <c r="N278" s="36">
        <v>977</v>
      </c>
      <c r="O278" s="36"/>
      <c r="P278" s="36">
        <v>200</v>
      </c>
      <c r="Q278" s="36">
        <v>109</v>
      </c>
      <c r="R278" s="47"/>
      <c r="T278" s="47"/>
    </row>
    <row r="279" spans="1:20" hidden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0" ht="26.25" hidden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0" ht="26.25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300</v>
      </c>
      <c r="G281" s="37">
        <f t="shared" ref="G281:G282" si="84">SUM(I281:Q281)-K281-M281-P281</f>
        <v>51</v>
      </c>
      <c r="H281" s="37"/>
      <c r="I281" s="36"/>
      <c r="J281" s="36"/>
      <c r="K281" s="36"/>
      <c r="L281" s="36"/>
      <c r="M281" s="36"/>
      <c r="N281" s="36"/>
      <c r="O281" s="36"/>
      <c r="P281" s="36">
        <f>150+150</f>
        <v>300</v>
      </c>
      <c r="Q281" s="36">
        <v>51</v>
      </c>
    </row>
    <row r="282" spans="1:20" x14ac:dyDescent="0.2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1227</v>
      </c>
      <c r="G282" s="37">
        <f t="shared" si="84"/>
        <v>2570</v>
      </c>
      <c r="H282" s="37"/>
      <c r="I282" s="36">
        <v>2280</v>
      </c>
      <c r="J282" s="36"/>
      <c r="K282" s="36"/>
      <c r="L282" s="36"/>
      <c r="M282" s="36"/>
      <c r="N282" s="36"/>
      <c r="O282" s="36"/>
      <c r="P282" s="36">
        <f>400-150-178+1059+96</f>
        <v>1227</v>
      </c>
      <c r="Q282" s="36">
        <v>290</v>
      </c>
      <c r="R282" s="12">
        <v>1059</v>
      </c>
      <c r="S282" s="12" t="s">
        <v>504</v>
      </c>
    </row>
    <row r="283" spans="1:20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5">F284+F285</f>
        <v>12430</v>
      </c>
      <c r="G283" s="19">
        <f t="shared" si="85"/>
        <v>8828</v>
      </c>
      <c r="H283" s="19">
        <f t="shared" si="85"/>
        <v>0</v>
      </c>
      <c r="I283" s="19">
        <f t="shared" si="85"/>
        <v>0</v>
      </c>
      <c r="J283" s="19">
        <f t="shared" si="85"/>
        <v>0</v>
      </c>
      <c r="K283" s="19">
        <f t="shared" si="85"/>
        <v>0</v>
      </c>
      <c r="L283" s="19">
        <f t="shared" si="85"/>
        <v>0</v>
      </c>
      <c r="M283" s="19">
        <f t="shared" si="85"/>
        <v>12346</v>
      </c>
      <c r="N283" s="19">
        <f t="shared" si="85"/>
        <v>8173</v>
      </c>
      <c r="O283" s="19">
        <f t="shared" si="85"/>
        <v>0</v>
      </c>
      <c r="P283" s="19">
        <f t="shared" si="85"/>
        <v>84</v>
      </c>
      <c r="Q283" s="19">
        <f t="shared" si="85"/>
        <v>655</v>
      </c>
    </row>
    <row r="284" spans="1:20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720</v>
      </c>
      <c r="G284" s="37">
        <f t="shared" ref="G284:G285" si="86">SUM(I284:Q284)-K284-M284-P284</f>
        <v>100</v>
      </c>
      <c r="H284" s="37"/>
      <c r="I284" s="36"/>
      <c r="J284" s="36"/>
      <c r="K284" s="36"/>
      <c r="L284" s="36"/>
      <c r="M284" s="36">
        <v>720</v>
      </c>
      <c r="N284" s="36">
        <v>100</v>
      </c>
      <c r="O284" s="36"/>
      <c r="P284" s="36"/>
      <c r="Q284" s="36"/>
    </row>
    <row r="285" spans="1:20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11710</v>
      </c>
      <c r="G285" s="37">
        <f t="shared" si="86"/>
        <v>8728</v>
      </c>
      <c r="H285" s="37"/>
      <c r="I285" s="36"/>
      <c r="J285" s="36"/>
      <c r="K285" s="36"/>
      <c r="L285" s="36"/>
      <c r="M285" s="36">
        <f>11147-580+1059</f>
        <v>11626</v>
      </c>
      <c r="N285" s="36">
        <f>8055+18</f>
        <v>8073</v>
      </c>
      <c r="O285" s="36"/>
      <c r="P285" s="36">
        <v>84</v>
      </c>
      <c r="Q285" s="36">
        <v>655</v>
      </c>
      <c r="R285" s="12" t="s">
        <v>505</v>
      </c>
    </row>
    <row r="286" spans="1:20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279042</v>
      </c>
      <c r="G286" s="19">
        <f>SUM(G287:G313)</f>
        <v>275140</v>
      </c>
      <c r="H286" s="19">
        <f t="shared" ref="H286:Q286" si="87">SUM(H287:H313)</f>
        <v>2238</v>
      </c>
      <c r="I286" s="19">
        <f t="shared" si="87"/>
        <v>127</v>
      </c>
      <c r="J286" s="19">
        <f t="shared" si="87"/>
        <v>0</v>
      </c>
      <c r="K286" s="19">
        <f t="shared" si="87"/>
        <v>1000</v>
      </c>
      <c r="L286" s="19">
        <f t="shared" si="87"/>
        <v>1273</v>
      </c>
      <c r="M286" s="19">
        <f>M287+M289+M290+M293+M311+M312+M313</f>
        <v>273604</v>
      </c>
      <c r="N286" s="19">
        <f t="shared" si="87"/>
        <v>270915</v>
      </c>
      <c r="O286" s="19">
        <f t="shared" si="87"/>
        <v>0</v>
      </c>
      <c r="P286" s="19">
        <f>P287+P289+P290+P293+P311+P312+P313</f>
        <v>2200</v>
      </c>
      <c r="Q286" s="19">
        <f t="shared" si="87"/>
        <v>2825</v>
      </c>
      <c r="R286" s="44">
        <f>H286+K286+M286+P286</f>
        <v>279042</v>
      </c>
    </row>
    <row r="287" spans="1:20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4200</v>
      </c>
      <c r="G287" s="37">
        <f t="shared" ref="G287" si="88">SUM(I287:Q287)-K287-M287-P287</f>
        <v>3119</v>
      </c>
      <c r="H287" s="37"/>
      <c r="I287" s="36"/>
      <c r="J287" s="36"/>
      <c r="K287" s="36"/>
      <c r="L287" s="36"/>
      <c r="M287" s="36">
        <v>4200</v>
      </c>
      <c r="N287" s="36">
        <v>3119</v>
      </c>
      <c r="O287" s="36"/>
      <c r="P287" s="36"/>
      <c r="Q287" s="36"/>
      <c r="R287" s="12" t="s">
        <v>506</v>
      </c>
    </row>
    <row r="288" spans="1:20" hidden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200</v>
      </c>
      <c r="G289" s="37">
        <f t="shared" ref="G289:G290" si="89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v>200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1950</v>
      </c>
      <c r="G290" s="37">
        <f t="shared" si="89"/>
        <v>1580</v>
      </c>
      <c r="H290" s="37"/>
      <c r="I290" s="38"/>
      <c r="J290" s="38"/>
      <c r="K290" s="38"/>
      <c r="L290" s="38"/>
      <c r="M290" s="38">
        <f>2000-50</f>
        <v>1950</v>
      </c>
      <c r="N290" s="38">
        <f>1534+39</f>
        <v>1573</v>
      </c>
      <c r="O290" s="38"/>
      <c r="P290" s="38"/>
      <c r="Q290" s="38">
        <v>7</v>
      </c>
    </row>
    <row r="291" spans="1:19" ht="26.25" hidden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90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90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250607</v>
      </c>
      <c r="G293" s="37">
        <f t="shared" ref="G293:G313" si="91">SUM(I293:Q293)-K293-M293-P293</f>
        <v>252600</v>
      </c>
      <c r="H293" s="37"/>
      <c r="I293" s="36">
        <v>127</v>
      </c>
      <c r="J293" s="36"/>
      <c r="K293" s="36"/>
      <c r="L293" s="36"/>
      <c r="M293" s="48">
        <f>94103+2685+42117+11786+25692+37400+19065+15859</f>
        <v>248707</v>
      </c>
      <c r="N293" s="36">
        <v>250683</v>
      </c>
      <c r="O293" s="36"/>
      <c r="P293" s="48">
        <v>1900</v>
      </c>
      <c r="Q293" s="36">
        <v>1790</v>
      </c>
      <c r="R293" s="44">
        <f>M294+M299+M300+M303+M309+M310</f>
        <v>248707</v>
      </c>
      <c r="S293" s="44">
        <f>R293+P293</f>
        <v>250607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113168</v>
      </c>
      <c r="G294" s="37"/>
      <c r="H294" s="37"/>
      <c r="I294" s="36"/>
      <c r="J294" s="36"/>
      <c r="K294" s="36"/>
      <c r="L294" s="36"/>
      <c r="M294" s="48">
        <f>M295+M296+M297+M298</f>
        <v>113168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69695</v>
      </c>
      <c r="G295" s="37"/>
      <c r="H295" s="37"/>
      <c r="I295" s="36"/>
      <c r="J295" s="36"/>
      <c r="K295" s="36"/>
      <c r="L295" s="36"/>
      <c r="M295" s="38">
        <f>50630+19065</f>
        <v>69695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15745</v>
      </c>
      <c r="G296" s="37"/>
      <c r="H296" s="37"/>
      <c r="I296" s="36"/>
      <c r="J296" s="36"/>
      <c r="K296" s="36"/>
      <c r="L296" s="36"/>
      <c r="M296" s="38">
        <v>15745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57976</v>
      </c>
      <c r="G300" s="54"/>
      <c r="H300" s="54"/>
      <c r="I300" s="48"/>
      <c r="J300" s="48"/>
      <c r="K300" s="48"/>
      <c r="L300" s="48"/>
      <c r="M300" s="48">
        <f>M301+M302</f>
        <v>57976</v>
      </c>
      <c r="N300" s="48"/>
      <c r="O300" s="48"/>
      <c r="P300" s="48"/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36195</v>
      </c>
      <c r="G301" s="37"/>
      <c r="H301" s="37"/>
      <c r="I301" s="36"/>
      <c r="J301" s="36"/>
      <c r="K301" s="36"/>
      <c r="L301" s="36"/>
      <c r="M301" s="38">
        <f>36195</f>
        <v>36195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21781</v>
      </c>
      <c r="G302" s="37"/>
      <c r="H302" s="37"/>
      <c r="I302" s="36"/>
      <c r="J302" s="36"/>
      <c r="K302" s="36"/>
      <c r="L302" s="36"/>
      <c r="M302" s="38">
        <f>5922+15859</f>
        <v>21781</v>
      </c>
      <c r="N302" s="36"/>
      <c r="O302" s="36"/>
      <c r="P302" s="36">
        <v>1900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37400</v>
      </c>
      <c r="G310" s="54"/>
      <c r="H310" s="54"/>
      <c r="I310" s="48"/>
      <c r="J310" s="48"/>
      <c r="K310" s="48"/>
      <c r="L310" s="48"/>
      <c r="M310" s="48">
        <v>37400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9387</v>
      </c>
      <c r="G311" s="37">
        <f t="shared" si="91"/>
        <v>9570</v>
      </c>
      <c r="H311" s="37"/>
      <c r="I311" s="36"/>
      <c r="J311" s="36"/>
      <c r="K311" s="36"/>
      <c r="L311" s="36"/>
      <c r="M311" s="36">
        <v>9387</v>
      </c>
      <c r="N311" s="36">
        <v>9570</v>
      </c>
      <c r="O311" s="36"/>
      <c r="P311" s="36"/>
      <c r="Q311" s="36"/>
    </row>
    <row r="312" spans="1:17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3900</v>
      </c>
      <c r="G312" s="37">
        <f t="shared" si="91"/>
        <v>2940</v>
      </c>
      <c r="H312" s="37"/>
      <c r="I312" s="36"/>
      <c r="J312" s="36"/>
      <c r="K312" s="36"/>
      <c r="L312" s="36"/>
      <c r="M312" s="36">
        <v>3900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6">
        <f>H313+K313+M313+P313</f>
        <v>8798</v>
      </c>
      <c r="G313" s="37">
        <f t="shared" si="91"/>
        <v>5184</v>
      </c>
      <c r="H313" s="37">
        <f>1038+1200</f>
        <v>2238</v>
      </c>
      <c r="I313" s="36"/>
      <c r="J313" s="36"/>
      <c r="K313" s="36">
        <v>1000</v>
      </c>
      <c r="L313" s="36">
        <v>1273</v>
      </c>
      <c r="M313" s="36">
        <f>4700+400+360</f>
        <v>5460</v>
      </c>
      <c r="N313" s="36">
        <f>3076-46</f>
        <v>3030</v>
      </c>
      <c r="O313" s="36"/>
      <c r="P313" s="352">
        <v>100</v>
      </c>
      <c r="Q313" s="36">
        <v>881</v>
      </c>
    </row>
    <row r="314" spans="1:17" ht="39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90"/>
        <v>0</v>
      </c>
      <c r="H314" s="19"/>
      <c r="I314" s="19">
        <f t="shared" ref="I314:Q314" si="93">I315+I323+I325+I327+I331</f>
        <v>0</v>
      </c>
      <c r="J314" s="19">
        <f t="shared" si="93"/>
        <v>0</v>
      </c>
      <c r="K314" s="19"/>
      <c r="L314" s="19">
        <f t="shared" si="93"/>
        <v>0</v>
      </c>
      <c r="M314" s="19"/>
      <c r="N314" s="19">
        <f t="shared" si="93"/>
        <v>0</v>
      </c>
      <c r="O314" s="19">
        <f t="shared" si="93"/>
        <v>0</v>
      </c>
      <c r="P314" s="19"/>
      <c r="Q314" s="19">
        <f t="shared" si="93"/>
        <v>0</v>
      </c>
    </row>
    <row r="315" spans="1:17" ht="26.25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90"/>
        <v>0</v>
      </c>
      <c r="H315" s="19"/>
      <c r="I315" s="19">
        <f t="shared" ref="I315:Q315" si="94">SUM(I316:I318)</f>
        <v>0</v>
      </c>
      <c r="J315" s="19">
        <f t="shared" si="94"/>
        <v>0</v>
      </c>
      <c r="K315" s="19"/>
      <c r="L315" s="19">
        <f t="shared" si="94"/>
        <v>0</v>
      </c>
      <c r="M315" s="19"/>
      <c r="N315" s="19">
        <f t="shared" si="94"/>
        <v>0</v>
      </c>
      <c r="O315" s="19">
        <f t="shared" si="94"/>
        <v>0</v>
      </c>
      <c r="P315" s="19"/>
      <c r="Q315" s="19">
        <f t="shared" si="94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90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90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90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26.25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90"/>
        <v>0</v>
      </c>
      <c r="H323" s="19"/>
      <c r="I323" s="19">
        <f t="shared" ref="I323:Q323" si="95">I324</f>
        <v>0</v>
      </c>
      <c r="J323" s="19">
        <f t="shared" si="95"/>
        <v>0</v>
      </c>
      <c r="K323" s="19"/>
      <c r="L323" s="19">
        <f t="shared" si="95"/>
        <v>0</v>
      </c>
      <c r="M323" s="19"/>
      <c r="N323" s="19">
        <f t="shared" si="95"/>
        <v>0</v>
      </c>
      <c r="O323" s="19">
        <f t="shared" si="95"/>
        <v>0</v>
      </c>
      <c r="P323" s="19"/>
      <c r="Q323" s="19">
        <f t="shared" si="95"/>
        <v>0</v>
      </c>
    </row>
    <row r="324" spans="1:17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90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90"/>
        <v>0</v>
      </c>
      <c r="H325" s="19"/>
      <c r="I325" s="19">
        <f t="shared" ref="I325:Q325" si="96">I326</f>
        <v>0</v>
      </c>
      <c r="J325" s="19">
        <f t="shared" si="96"/>
        <v>0</v>
      </c>
      <c r="K325" s="19"/>
      <c r="L325" s="19">
        <f t="shared" si="96"/>
        <v>0</v>
      </c>
      <c r="M325" s="19"/>
      <c r="N325" s="19">
        <f t="shared" si="96"/>
        <v>0</v>
      </c>
      <c r="O325" s="19">
        <f t="shared" si="96"/>
        <v>0</v>
      </c>
      <c r="P325" s="19"/>
      <c r="Q325" s="19">
        <f t="shared" si="96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90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90"/>
        <v>0</v>
      </c>
      <c r="H327" s="19"/>
      <c r="I327" s="19">
        <f t="shared" ref="I327:Q327" si="97">SUM(I328:I330)</f>
        <v>0</v>
      </c>
      <c r="J327" s="19">
        <f t="shared" si="97"/>
        <v>0</v>
      </c>
      <c r="K327" s="19"/>
      <c r="L327" s="19">
        <f t="shared" si="97"/>
        <v>0</v>
      </c>
      <c r="M327" s="19"/>
      <c r="N327" s="19">
        <f t="shared" si="97"/>
        <v>0</v>
      </c>
      <c r="O327" s="19">
        <f t="shared" si="97"/>
        <v>0</v>
      </c>
      <c r="P327" s="19"/>
      <c r="Q327" s="19">
        <f t="shared" si="97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90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90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90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26.25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90"/>
        <v>0</v>
      </c>
      <c r="H331" s="19"/>
      <c r="I331" s="19">
        <f t="shared" ref="I331:Q331" si="98">I332</f>
        <v>0</v>
      </c>
      <c r="J331" s="19">
        <f t="shared" si="98"/>
        <v>0</v>
      </c>
      <c r="K331" s="19"/>
      <c r="L331" s="19">
        <f t="shared" si="98"/>
        <v>0</v>
      </c>
      <c r="M331" s="19"/>
      <c r="N331" s="19">
        <f t="shared" si="98"/>
        <v>0</v>
      </c>
      <c r="O331" s="19">
        <f t="shared" si="98"/>
        <v>0</v>
      </c>
      <c r="P331" s="19"/>
      <c r="Q331" s="19">
        <f t="shared" si="98"/>
        <v>0</v>
      </c>
    </row>
    <row r="332" spans="1:17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90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39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99">F334+F344+F355+F357</f>
        <v>681</v>
      </c>
      <c r="G333" s="19">
        <f t="shared" si="99"/>
        <v>251</v>
      </c>
      <c r="H333" s="19">
        <f t="shared" si="99"/>
        <v>0</v>
      </c>
      <c r="I333" s="19">
        <f t="shared" si="99"/>
        <v>0</v>
      </c>
      <c r="J333" s="19">
        <f t="shared" si="99"/>
        <v>0</v>
      </c>
      <c r="K333" s="19">
        <f t="shared" si="99"/>
        <v>0</v>
      </c>
      <c r="L333" s="19">
        <f t="shared" si="99"/>
        <v>0</v>
      </c>
      <c r="M333" s="19">
        <f t="shared" si="99"/>
        <v>0</v>
      </c>
      <c r="N333" s="19">
        <f t="shared" si="99"/>
        <v>0</v>
      </c>
      <c r="O333" s="19">
        <f t="shared" si="99"/>
        <v>0</v>
      </c>
      <c r="P333" s="19">
        <f t="shared" si="99"/>
        <v>681</v>
      </c>
      <c r="Q333" s="19">
        <f t="shared" si="99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0">SUM(F335:F343)</f>
        <v>681</v>
      </c>
      <c r="G334" s="19">
        <f t="shared" si="100"/>
        <v>251</v>
      </c>
      <c r="H334" s="19">
        <f t="shared" si="100"/>
        <v>0</v>
      </c>
      <c r="I334" s="19">
        <f t="shared" si="100"/>
        <v>0</v>
      </c>
      <c r="J334" s="19">
        <f t="shared" si="100"/>
        <v>0</v>
      </c>
      <c r="K334" s="19">
        <f t="shared" si="100"/>
        <v>0</v>
      </c>
      <c r="L334" s="19">
        <f t="shared" si="100"/>
        <v>0</v>
      </c>
      <c r="M334" s="19">
        <f t="shared" si="100"/>
        <v>0</v>
      </c>
      <c r="N334" s="19">
        <f t="shared" si="100"/>
        <v>0</v>
      </c>
      <c r="O334" s="19">
        <f t="shared" si="100"/>
        <v>0</v>
      </c>
      <c r="P334" s="19">
        <f t="shared" si="100"/>
        <v>681</v>
      </c>
      <c r="Q334" s="19">
        <f t="shared" si="100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90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90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90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90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681</v>
      </c>
      <c r="G339" s="37">
        <f t="shared" ref="G339" si="101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681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90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90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90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90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90"/>
        <v>0</v>
      </c>
      <c r="H344" s="19"/>
      <c r="I344" s="19">
        <f t="shared" ref="I344:Q344" si="102">SUM(I345:I354)</f>
        <v>0</v>
      </c>
      <c r="J344" s="19">
        <f t="shared" si="102"/>
        <v>0</v>
      </c>
      <c r="K344" s="19"/>
      <c r="L344" s="19">
        <f t="shared" si="102"/>
        <v>0</v>
      </c>
      <c r="M344" s="19"/>
      <c r="N344" s="19">
        <f t="shared" si="102"/>
        <v>0</v>
      </c>
      <c r="O344" s="19">
        <f t="shared" si="102"/>
        <v>0</v>
      </c>
      <c r="P344" s="19"/>
      <c r="Q344" s="19">
        <f t="shared" si="102"/>
        <v>0</v>
      </c>
    </row>
    <row r="345" spans="1:17" ht="39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90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90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90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90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90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90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90"/>
        <v>0</v>
      </c>
      <c r="H355" s="19"/>
      <c r="I355" s="19">
        <f t="shared" ref="I355:Q355" si="103">I356</f>
        <v>0</v>
      </c>
      <c r="J355" s="19">
        <f t="shared" si="103"/>
        <v>0</v>
      </c>
      <c r="K355" s="19"/>
      <c r="L355" s="19">
        <f t="shared" si="103"/>
        <v>0</v>
      </c>
      <c r="M355" s="19"/>
      <c r="N355" s="19">
        <f t="shared" si="103"/>
        <v>0</v>
      </c>
      <c r="O355" s="19">
        <f t="shared" si="103"/>
        <v>0</v>
      </c>
      <c r="P355" s="19"/>
      <c r="Q355" s="19">
        <f t="shared" si="103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90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26.25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90"/>
        <v>0</v>
      </c>
      <c r="H357" s="19"/>
      <c r="I357" s="19">
        <f t="shared" ref="I357:Q357" si="104">SUM(I358:I360)</f>
        <v>0</v>
      </c>
      <c r="J357" s="19">
        <f t="shared" si="104"/>
        <v>0</v>
      </c>
      <c r="K357" s="19"/>
      <c r="L357" s="19">
        <f t="shared" si="104"/>
        <v>0</v>
      </c>
      <c r="M357" s="19"/>
      <c r="N357" s="19">
        <f t="shared" si="104"/>
        <v>0</v>
      </c>
      <c r="O357" s="19">
        <f t="shared" si="104"/>
        <v>0</v>
      </c>
      <c r="P357" s="19"/>
      <c r="Q357" s="19">
        <f t="shared" si="104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90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90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90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90"/>
        <v>0</v>
      </c>
      <c r="H361" s="19"/>
      <c r="I361" s="19">
        <f t="shared" ref="I361:Q361" si="105">I362+I365+I368+I371</f>
        <v>0</v>
      </c>
      <c r="J361" s="19">
        <f t="shared" si="105"/>
        <v>0</v>
      </c>
      <c r="K361" s="19"/>
      <c r="L361" s="19">
        <f t="shared" si="105"/>
        <v>0</v>
      </c>
      <c r="M361" s="19"/>
      <c r="N361" s="19">
        <f t="shared" si="105"/>
        <v>0</v>
      </c>
      <c r="O361" s="19">
        <f t="shared" si="105"/>
        <v>0</v>
      </c>
      <c r="P361" s="19"/>
      <c r="Q361" s="19">
        <f t="shared" si="105"/>
        <v>0</v>
      </c>
    </row>
    <row r="362" spans="1:17" ht="51.7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90"/>
        <v>0</v>
      </c>
      <c r="H362" s="19"/>
      <c r="I362" s="19">
        <f t="shared" ref="I362:Q362" si="106">I363+I364</f>
        <v>0</v>
      </c>
      <c r="J362" s="19">
        <f t="shared" si="106"/>
        <v>0</v>
      </c>
      <c r="K362" s="19"/>
      <c r="L362" s="19">
        <f t="shared" si="106"/>
        <v>0</v>
      </c>
      <c r="M362" s="19"/>
      <c r="N362" s="19">
        <f t="shared" si="106"/>
        <v>0</v>
      </c>
      <c r="O362" s="19">
        <f t="shared" si="106"/>
        <v>0</v>
      </c>
      <c r="P362" s="19"/>
      <c r="Q362" s="19">
        <f t="shared" si="106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90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90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39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90"/>
        <v>0</v>
      </c>
      <c r="H365" s="19"/>
      <c r="I365" s="19">
        <f t="shared" ref="I365:Q365" si="107">I366+I367</f>
        <v>0</v>
      </c>
      <c r="J365" s="19">
        <f t="shared" si="107"/>
        <v>0</v>
      </c>
      <c r="K365" s="19"/>
      <c r="L365" s="19">
        <f t="shared" si="107"/>
        <v>0</v>
      </c>
      <c r="M365" s="19"/>
      <c r="N365" s="19">
        <f t="shared" si="107"/>
        <v>0</v>
      </c>
      <c r="O365" s="19">
        <f t="shared" si="107"/>
        <v>0</v>
      </c>
      <c r="P365" s="19"/>
      <c r="Q365" s="19">
        <f t="shared" si="107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90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90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39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90"/>
        <v>0</v>
      </c>
      <c r="H368" s="19"/>
      <c r="I368" s="19">
        <f t="shared" ref="I368:Q368" si="108">I369+I370</f>
        <v>0</v>
      </c>
      <c r="J368" s="19">
        <f t="shared" si="108"/>
        <v>0</v>
      </c>
      <c r="K368" s="19"/>
      <c r="L368" s="19">
        <f t="shared" si="108"/>
        <v>0</v>
      </c>
      <c r="M368" s="19"/>
      <c r="N368" s="19">
        <f t="shared" si="108"/>
        <v>0</v>
      </c>
      <c r="O368" s="19">
        <f t="shared" si="108"/>
        <v>0</v>
      </c>
      <c r="P368" s="19"/>
      <c r="Q368" s="19">
        <f t="shared" si="108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90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90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90"/>
        <v>0</v>
      </c>
      <c r="H371" s="19"/>
      <c r="I371" s="19">
        <f t="shared" ref="I371:Q371" si="109">I372+I373</f>
        <v>0</v>
      </c>
      <c r="J371" s="19">
        <f t="shared" si="109"/>
        <v>0</v>
      </c>
      <c r="K371" s="19"/>
      <c r="L371" s="19">
        <f t="shared" si="109"/>
        <v>0</v>
      </c>
      <c r="M371" s="19"/>
      <c r="N371" s="19">
        <f t="shared" si="109"/>
        <v>0</v>
      </c>
      <c r="O371" s="19">
        <f t="shared" si="109"/>
        <v>0</v>
      </c>
      <c r="P371" s="19"/>
      <c r="Q371" s="19">
        <f t="shared" si="109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90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90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0">F379+F382+F385+F388+F391</f>
        <v>7710</v>
      </c>
      <c r="G374" s="19">
        <f t="shared" si="110"/>
        <v>7410</v>
      </c>
      <c r="H374" s="37">
        <f t="shared" si="110"/>
        <v>0</v>
      </c>
      <c r="I374" s="19">
        <f t="shared" si="110"/>
        <v>0</v>
      </c>
      <c r="J374" s="19">
        <f t="shared" si="110"/>
        <v>0</v>
      </c>
      <c r="K374" s="19">
        <f t="shared" si="110"/>
        <v>0</v>
      </c>
      <c r="L374" s="19">
        <f t="shared" si="110"/>
        <v>0</v>
      </c>
      <c r="M374" s="19">
        <f t="shared" si="110"/>
        <v>7710</v>
      </c>
      <c r="N374" s="19">
        <f t="shared" si="110"/>
        <v>7410</v>
      </c>
      <c r="O374" s="19">
        <f t="shared" si="110"/>
        <v>0</v>
      </c>
      <c r="P374" s="19">
        <f t="shared" si="110"/>
        <v>0</v>
      </c>
      <c r="Q374" s="19">
        <f t="shared" si="110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90"/>
        <v>0</v>
      </c>
      <c r="H379" s="19"/>
      <c r="I379" s="19">
        <f t="shared" ref="I379:Q379" si="111">I380+I381</f>
        <v>0</v>
      </c>
      <c r="J379" s="19">
        <f t="shared" si="111"/>
        <v>0</v>
      </c>
      <c r="K379" s="19"/>
      <c r="L379" s="19">
        <f t="shared" si="111"/>
        <v>0</v>
      </c>
      <c r="M379" s="19"/>
      <c r="N379" s="19">
        <f t="shared" si="111"/>
        <v>0</v>
      </c>
      <c r="O379" s="19">
        <f t="shared" si="111"/>
        <v>0</v>
      </c>
      <c r="P379" s="19"/>
      <c r="Q379" s="19">
        <f t="shared" si="111"/>
        <v>0</v>
      </c>
    </row>
    <row r="380" spans="1:17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90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90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26.25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90"/>
        <v>0</v>
      </c>
      <c r="H382" s="19"/>
      <c r="I382" s="19">
        <f t="shared" ref="I382:Q382" si="112">I383+I384</f>
        <v>0</v>
      </c>
      <c r="J382" s="19">
        <f t="shared" si="112"/>
        <v>0</v>
      </c>
      <c r="K382" s="19"/>
      <c r="L382" s="19">
        <f t="shared" si="112"/>
        <v>0</v>
      </c>
      <c r="M382" s="19"/>
      <c r="N382" s="19">
        <f t="shared" si="112"/>
        <v>0</v>
      </c>
      <c r="O382" s="19">
        <f t="shared" si="112"/>
        <v>0</v>
      </c>
      <c r="P382" s="19"/>
      <c r="Q382" s="19">
        <f t="shared" si="112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90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90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26.25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3">SUM(I385:Q385)</f>
        <v>0</v>
      </c>
      <c r="H385" s="19"/>
      <c r="I385" s="19">
        <f t="shared" ref="I385:Q385" si="114">I386+I387</f>
        <v>0</v>
      </c>
      <c r="J385" s="19">
        <f t="shared" si="114"/>
        <v>0</v>
      </c>
      <c r="K385" s="19"/>
      <c r="L385" s="19">
        <f t="shared" si="114"/>
        <v>0</v>
      </c>
      <c r="M385" s="19"/>
      <c r="N385" s="19">
        <f t="shared" si="114"/>
        <v>0</v>
      </c>
      <c r="O385" s="19">
        <f t="shared" si="114"/>
        <v>0</v>
      </c>
      <c r="P385" s="19"/>
      <c r="Q385" s="19">
        <f t="shared" si="114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3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3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39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3"/>
        <v>0</v>
      </c>
      <c r="H388" s="19"/>
      <c r="I388" s="19">
        <f t="shared" ref="I388:Q388" si="115">I389+I390</f>
        <v>0</v>
      </c>
      <c r="J388" s="19">
        <f t="shared" si="115"/>
        <v>0</v>
      </c>
      <c r="K388" s="19"/>
      <c r="L388" s="19">
        <f t="shared" si="115"/>
        <v>0</v>
      </c>
      <c r="M388" s="19"/>
      <c r="N388" s="19">
        <f t="shared" si="115"/>
        <v>0</v>
      </c>
      <c r="O388" s="19">
        <f t="shared" si="115"/>
        <v>0</v>
      </c>
      <c r="P388" s="19"/>
      <c r="Q388" s="19">
        <f t="shared" si="115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3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26.25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3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6">F392+F393</f>
        <v>7710</v>
      </c>
      <c r="G391" s="19">
        <f t="shared" si="116"/>
        <v>7410</v>
      </c>
      <c r="H391" s="19">
        <f t="shared" si="116"/>
        <v>0</v>
      </c>
      <c r="I391" s="19">
        <f t="shared" si="116"/>
        <v>0</v>
      </c>
      <c r="J391" s="19">
        <f t="shared" si="116"/>
        <v>0</v>
      </c>
      <c r="K391" s="19">
        <f t="shared" si="116"/>
        <v>0</v>
      </c>
      <c r="L391" s="19">
        <f t="shared" si="116"/>
        <v>0</v>
      </c>
      <c r="M391" s="19">
        <f t="shared" si="116"/>
        <v>7710</v>
      </c>
      <c r="N391" s="19">
        <f t="shared" si="116"/>
        <v>7410</v>
      </c>
      <c r="O391" s="19">
        <f t="shared" si="116"/>
        <v>0</v>
      </c>
      <c r="P391" s="19">
        <f t="shared" si="116"/>
        <v>0</v>
      </c>
      <c r="Q391" s="19">
        <f t="shared" si="116"/>
        <v>0</v>
      </c>
    </row>
    <row r="392" spans="1:17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7710</v>
      </c>
      <c r="G392" s="37">
        <f t="shared" ref="G392" si="117">SUM(I392:Q392)-K392-M392-P392</f>
        <v>7410</v>
      </c>
      <c r="H392" s="37"/>
      <c r="I392" s="36"/>
      <c r="J392" s="36"/>
      <c r="K392" s="36"/>
      <c r="L392" s="36"/>
      <c r="M392" s="36">
        <v>7710</v>
      </c>
      <c r="N392" s="36">
        <v>7410</v>
      </c>
      <c r="O392" s="36"/>
      <c r="P392" s="36"/>
      <c r="Q392" s="36"/>
    </row>
    <row r="393" spans="1:17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3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3"/>
        <v>0</v>
      </c>
      <c r="H394" s="19"/>
      <c r="I394" s="19">
        <f t="shared" ref="I394:Q394" si="118">I395+I399</f>
        <v>0</v>
      </c>
      <c r="J394" s="19">
        <f t="shared" si="118"/>
        <v>0</v>
      </c>
      <c r="K394" s="19"/>
      <c r="L394" s="19">
        <f t="shared" si="118"/>
        <v>0</v>
      </c>
      <c r="M394" s="19"/>
      <c r="N394" s="19">
        <f t="shared" si="118"/>
        <v>0</v>
      </c>
      <c r="O394" s="19">
        <f t="shared" si="118"/>
        <v>0</v>
      </c>
      <c r="P394" s="19"/>
      <c r="Q394" s="19">
        <f t="shared" si="118"/>
        <v>0</v>
      </c>
    </row>
    <row r="395" spans="1:17" ht="51.7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3"/>
        <v>0</v>
      </c>
      <c r="H395" s="19"/>
      <c r="I395" s="19">
        <f t="shared" ref="I395:Q395" si="119">SUM(I396:I398)</f>
        <v>0</v>
      </c>
      <c r="J395" s="19">
        <f t="shared" si="119"/>
        <v>0</v>
      </c>
      <c r="K395" s="19"/>
      <c r="L395" s="19">
        <f t="shared" si="119"/>
        <v>0</v>
      </c>
      <c r="M395" s="19"/>
      <c r="N395" s="19">
        <f t="shared" si="119"/>
        <v>0</v>
      </c>
      <c r="O395" s="19">
        <f t="shared" si="119"/>
        <v>0</v>
      </c>
      <c r="P395" s="19"/>
      <c r="Q395" s="19">
        <f t="shared" si="119"/>
        <v>0</v>
      </c>
    </row>
    <row r="396" spans="1:17" ht="26.25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3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3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39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3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3"/>
        <v>0</v>
      </c>
      <c r="H399" s="19"/>
      <c r="I399" s="19">
        <f t="shared" ref="I399:Q399" si="120">SUM(I404:I412)</f>
        <v>0</v>
      </c>
      <c r="J399" s="19">
        <f t="shared" si="120"/>
        <v>0</v>
      </c>
      <c r="K399" s="19"/>
      <c r="L399" s="19">
        <f t="shared" si="120"/>
        <v>0</v>
      </c>
      <c r="M399" s="19"/>
      <c r="N399" s="19">
        <f t="shared" si="120"/>
        <v>0</v>
      </c>
      <c r="O399" s="19">
        <f t="shared" si="120"/>
        <v>0</v>
      </c>
      <c r="P399" s="19"/>
      <c r="Q399" s="19">
        <f t="shared" si="120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3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3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3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3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3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3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3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3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3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26.25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1">F414+F417+F421+F423+F426+F432</f>
        <v>135</v>
      </c>
      <c r="G413" s="19">
        <f t="shared" si="121"/>
        <v>108</v>
      </c>
      <c r="H413" s="19">
        <f t="shared" si="121"/>
        <v>0</v>
      </c>
      <c r="I413" s="19">
        <f t="shared" si="121"/>
        <v>0</v>
      </c>
      <c r="J413" s="19">
        <f t="shared" si="121"/>
        <v>0</v>
      </c>
      <c r="K413" s="19">
        <f t="shared" si="121"/>
        <v>0</v>
      </c>
      <c r="L413" s="19">
        <f t="shared" si="121"/>
        <v>0</v>
      </c>
      <c r="M413" s="19">
        <f t="shared" si="121"/>
        <v>0</v>
      </c>
      <c r="N413" s="19">
        <f t="shared" si="121"/>
        <v>8</v>
      </c>
      <c r="O413" s="19">
        <f t="shared" si="121"/>
        <v>0</v>
      </c>
      <c r="P413" s="19">
        <f t="shared" si="121"/>
        <v>135</v>
      </c>
      <c r="Q413" s="19">
        <f t="shared" si="121"/>
        <v>100</v>
      </c>
    </row>
    <row r="414" spans="1:17" ht="26.25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2">F415+F416</f>
        <v>35</v>
      </c>
      <c r="G414" s="19">
        <f t="shared" si="122"/>
        <v>35</v>
      </c>
      <c r="H414" s="19">
        <f t="shared" si="122"/>
        <v>0</v>
      </c>
      <c r="I414" s="19">
        <f t="shared" si="122"/>
        <v>0</v>
      </c>
      <c r="J414" s="19">
        <f t="shared" si="122"/>
        <v>0</v>
      </c>
      <c r="K414" s="19">
        <f t="shared" si="122"/>
        <v>0</v>
      </c>
      <c r="L414" s="19">
        <f t="shared" si="122"/>
        <v>0</v>
      </c>
      <c r="M414" s="19">
        <f t="shared" si="122"/>
        <v>0</v>
      </c>
      <c r="N414" s="19">
        <f t="shared" si="122"/>
        <v>0</v>
      </c>
      <c r="O414" s="19">
        <f t="shared" si="122"/>
        <v>0</v>
      </c>
      <c r="P414" s="19">
        <f t="shared" si="122"/>
        <v>35</v>
      </c>
      <c r="Q414" s="19">
        <f t="shared" si="122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3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3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17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4">SUM(F418:F420)</f>
        <v>80</v>
      </c>
      <c r="G417" s="19">
        <f t="shared" si="124"/>
        <v>58</v>
      </c>
      <c r="H417" s="19">
        <f t="shared" si="124"/>
        <v>0</v>
      </c>
      <c r="I417" s="19">
        <f t="shared" si="124"/>
        <v>0</v>
      </c>
      <c r="J417" s="19">
        <f t="shared" si="124"/>
        <v>0</v>
      </c>
      <c r="K417" s="19">
        <f t="shared" si="124"/>
        <v>0</v>
      </c>
      <c r="L417" s="19">
        <f t="shared" si="124"/>
        <v>0</v>
      </c>
      <c r="M417" s="19">
        <f t="shared" si="124"/>
        <v>0</v>
      </c>
      <c r="N417" s="19">
        <f t="shared" si="124"/>
        <v>8</v>
      </c>
      <c r="O417" s="19">
        <f t="shared" si="124"/>
        <v>0</v>
      </c>
      <c r="P417" s="19">
        <f t="shared" si="124"/>
        <v>80</v>
      </c>
      <c r="Q417" s="19">
        <f t="shared" si="124"/>
        <v>50</v>
      </c>
    </row>
    <row r="418" spans="1:17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20</v>
      </c>
      <c r="G418" s="37">
        <f t="shared" ref="G418:G419" si="125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20</v>
      </c>
      <c r="Q418" s="36">
        <v>9</v>
      </c>
    </row>
    <row r="419" spans="1:17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60</v>
      </c>
      <c r="G419" s="37">
        <f t="shared" si="125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60</v>
      </c>
      <c r="Q419" s="36">
        <v>41</v>
      </c>
    </row>
    <row r="420" spans="1:17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0</v>
      </c>
      <c r="G420" s="37">
        <f t="shared" si="113"/>
        <v>0</v>
      </c>
      <c r="H420" s="37"/>
      <c r="I420" s="36"/>
      <c r="J420" s="36"/>
      <c r="K420" s="36"/>
      <c r="L420" s="36"/>
      <c r="M420" s="36"/>
      <c r="N420" s="36"/>
      <c r="O420" s="36"/>
      <c r="P420" s="36"/>
      <c r="Q420" s="36"/>
    </row>
    <row r="421" spans="1:17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6">F422</f>
        <v>20</v>
      </c>
      <c r="G421" s="19">
        <f t="shared" si="126"/>
        <v>15</v>
      </c>
      <c r="H421" s="19">
        <f t="shared" si="126"/>
        <v>0</v>
      </c>
      <c r="I421" s="19">
        <f t="shared" si="126"/>
        <v>0</v>
      </c>
      <c r="J421" s="19">
        <f t="shared" si="126"/>
        <v>0</v>
      </c>
      <c r="K421" s="19">
        <f t="shared" si="126"/>
        <v>0</v>
      </c>
      <c r="L421" s="19">
        <f t="shared" si="126"/>
        <v>0</v>
      </c>
      <c r="M421" s="19">
        <f t="shared" si="126"/>
        <v>0</v>
      </c>
      <c r="N421" s="19">
        <f t="shared" si="126"/>
        <v>0</v>
      </c>
      <c r="O421" s="19">
        <f t="shared" si="126"/>
        <v>0</v>
      </c>
      <c r="P421" s="19">
        <f t="shared" si="126"/>
        <v>20</v>
      </c>
      <c r="Q421" s="19">
        <f t="shared" si="126"/>
        <v>15</v>
      </c>
    </row>
    <row r="422" spans="1:17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</v>
      </c>
      <c r="G422" s="37">
        <f t="shared" ref="G422" si="127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</v>
      </c>
      <c r="Q422" s="36">
        <v>15</v>
      </c>
    </row>
    <row r="423" spans="1:17" ht="64.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3"/>
        <v>0</v>
      </c>
      <c r="H423" s="19"/>
      <c r="I423" s="19">
        <f t="shared" ref="I423:Q423" si="128">I424+I425</f>
        <v>0</v>
      </c>
      <c r="J423" s="19">
        <f t="shared" si="128"/>
        <v>0</v>
      </c>
      <c r="K423" s="19"/>
      <c r="L423" s="19">
        <f t="shared" si="128"/>
        <v>0</v>
      </c>
      <c r="M423" s="19"/>
      <c r="N423" s="19">
        <f t="shared" si="128"/>
        <v>0</v>
      </c>
      <c r="O423" s="19">
        <f t="shared" si="128"/>
        <v>0</v>
      </c>
      <c r="P423" s="19"/>
      <c r="Q423" s="19">
        <f t="shared" si="128"/>
        <v>0</v>
      </c>
    </row>
    <row r="424" spans="1:17" ht="26.25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3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17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3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17" ht="39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3"/>
        <v>0</v>
      </c>
      <c r="H426" s="19"/>
      <c r="I426" s="19">
        <f t="shared" ref="I426:Q426" si="129">I427</f>
        <v>0</v>
      </c>
      <c r="J426" s="19">
        <f t="shared" si="129"/>
        <v>0</v>
      </c>
      <c r="K426" s="19"/>
      <c r="L426" s="19">
        <f t="shared" si="129"/>
        <v>0</v>
      </c>
      <c r="M426" s="19"/>
      <c r="N426" s="19">
        <f t="shared" si="129"/>
        <v>0</v>
      </c>
      <c r="O426" s="19">
        <f t="shared" si="129"/>
        <v>0</v>
      </c>
      <c r="P426" s="19"/>
      <c r="Q426" s="19">
        <f t="shared" si="129"/>
        <v>0</v>
      </c>
    </row>
    <row r="427" spans="1:17" ht="26.25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3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17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17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17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17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17" ht="51.75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3"/>
        <v>0</v>
      </c>
      <c r="H432" s="19"/>
      <c r="I432" s="19">
        <f t="shared" ref="I432:Q432" si="130">I433</f>
        <v>0</v>
      </c>
      <c r="J432" s="19">
        <f t="shared" si="130"/>
        <v>0</v>
      </c>
      <c r="K432" s="19"/>
      <c r="L432" s="19">
        <f t="shared" si="130"/>
        <v>0</v>
      </c>
      <c r="M432" s="19"/>
      <c r="N432" s="19">
        <f t="shared" si="130"/>
        <v>0</v>
      </c>
      <c r="O432" s="19">
        <f t="shared" si="130"/>
        <v>0</v>
      </c>
      <c r="P432" s="19"/>
      <c r="Q432" s="19">
        <f t="shared" si="130"/>
        <v>0</v>
      </c>
    </row>
    <row r="433" spans="1:22" ht="39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3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39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1">F435+F458+F471+F474+F482</f>
        <v>25535</v>
      </c>
      <c r="G434" s="19">
        <f t="shared" si="131"/>
        <v>17163</v>
      </c>
      <c r="H434" s="19">
        <f t="shared" si="131"/>
        <v>20042</v>
      </c>
      <c r="I434" s="19">
        <f t="shared" si="131"/>
        <v>15250</v>
      </c>
      <c r="J434" s="19">
        <f t="shared" si="131"/>
        <v>0</v>
      </c>
      <c r="K434" s="19">
        <f t="shared" si="131"/>
        <v>0</v>
      </c>
      <c r="L434" s="19">
        <f t="shared" si="131"/>
        <v>0</v>
      </c>
      <c r="M434" s="19">
        <f t="shared" si="131"/>
        <v>0</v>
      </c>
      <c r="N434" s="19">
        <f t="shared" si="131"/>
        <v>0</v>
      </c>
      <c r="O434" s="19">
        <f t="shared" si="131"/>
        <v>0</v>
      </c>
      <c r="P434" s="19">
        <f t="shared" si="131"/>
        <v>5493</v>
      </c>
      <c r="Q434" s="19">
        <f t="shared" si="131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2">F436+F441+F452+F454+F456</f>
        <v>25535</v>
      </c>
      <c r="G435" s="19">
        <f t="shared" si="132"/>
        <v>17163</v>
      </c>
      <c r="H435" s="19">
        <f t="shared" si="132"/>
        <v>20042</v>
      </c>
      <c r="I435" s="19">
        <f t="shared" si="132"/>
        <v>15250</v>
      </c>
      <c r="J435" s="19">
        <f t="shared" si="132"/>
        <v>0</v>
      </c>
      <c r="K435" s="19">
        <f t="shared" si="132"/>
        <v>0</v>
      </c>
      <c r="L435" s="19">
        <f t="shared" si="132"/>
        <v>0</v>
      </c>
      <c r="M435" s="19">
        <f t="shared" si="132"/>
        <v>0</v>
      </c>
      <c r="N435" s="19">
        <f t="shared" si="132"/>
        <v>0</v>
      </c>
      <c r="O435" s="19">
        <f t="shared" si="132"/>
        <v>0</v>
      </c>
      <c r="P435" s="19">
        <f t="shared" si="132"/>
        <v>5493</v>
      </c>
      <c r="Q435" s="19">
        <f t="shared" si="132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3">SUM(F437:F440)</f>
        <v>2124</v>
      </c>
      <c r="G436" s="19">
        <f t="shared" si="133"/>
        <v>1450</v>
      </c>
      <c r="H436" s="19">
        <f t="shared" si="133"/>
        <v>2000</v>
      </c>
      <c r="I436" s="19">
        <f t="shared" si="133"/>
        <v>1450</v>
      </c>
      <c r="J436" s="19">
        <f t="shared" si="133"/>
        <v>0</v>
      </c>
      <c r="K436" s="19">
        <f t="shared" si="133"/>
        <v>0</v>
      </c>
      <c r="L436" s="19">
        <f t="shared" si="133"/>
        <v>0</v>
      </c>
      <c r="M436" s="19">
        <f t="shared" si="133"/>
        <v>0</v>
      </c>
      <c r="N436" s="19">
        <f t="shared" si="133"/>
        <v>0</v>
      </c>
      <c r="O436" s="19">
        <f t="shared" si="133"/>
        <v>0</v>
      </c>
      <c r="P436" s="19">
        <f t="shared" si="133"/>
        <v>124</v>
      </c>
      <c r="Q436" s="19">
        <f t="shared" si="133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3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3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6.25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2124</v>
      </c>
      <c r="G439" s="37">
        <f t="shared" ref="G439" si="134">SUM(I439:Q439)-K439-M439-P439</f>
        <v>1450</v>
      </c>
      <c r="H439" s="37">
        <v>2000</v>
      </c>
      <c r="I439" s="36">
        <v>1450</v>
      </c>
      <c r="J439" s="36"/>
      <c r="K439" s="36"/>
      <c r="L439" s="36"/>
      <c r="M439" s="36"/>
      <c r="N439" s="36"/>
      <c r="O439" s="36"/>
      <c r="P439" s="36">
        <v>124</v>
      </c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3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5">SUM(F442:F451)</f>
        <v>23311</v>
      </c>
      <c r="G441" s="19">
        <f t="shared" si="135"/>
        <v>15613</v>
      </c>
      <c r="H441" s="19">
        <f t="shared" si="135"/>
        <v>18042</v>
      </c>
      <c r="I441" s="19">
        <f t="shared" si="135"/>
        <v>13800</v>
      </c>
      <c r="J441" s="19">
        <f t="shared" si="135"/>
        <v>0</v>
      </c>
      <c r="K441" s="19">
        <f t="shared" si="135"/>
        <v>0</v>
      </c>
      <c r="L441" s="19">
        <f t="shared" si="135"/>
        <v>0</v>
      </c>
      <c r="M441" s="19">
        <f t="shared" si="135"/>
        <v>0</v>
      </c>
      <c r="N441" s="19">
        <f t="shared" si="135"/>
        <v>0</v>
      </c>
      <c r="O441" s="19">
        <f t="shared" si="135"/>
        <v>0</v>
      </c>
      <c r="P441" s="19">
        <f t="shared" si="135"/>
        <v>5269</v>
      </c>
      <c r="Q441" s="19">
        <f t="shared" si="135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3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3848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>
        <f>3960-112</f>
        <v>3848</v>
      </c>
      <c r="Q443" s="36"/>
    </row>
    <row r="444" spans="1:22" x14ac:dyDescent="0.2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1166</v>
      </c>
      <c r="G444" s="37">
        <f t="shared" ref="G444" si="136">SUM(I444:Q444)-K444-M444-P444</f>
        <v>1258</v>
      </c>
      <c r="H444" s="37">
        <v>42</v>
      </c>
      <c r="I444" s="36"/>
      <c r="J444" s="36"/>
      <c r="K444" s="36"/>
      <c r="L444" s="36"/>
      <c r="M444" s="36"/>
      <c r="N444" s="36"/>
      <c r="O444" s="36"/>
      <c r="P444" s="36">
        <f>2000-221-559-96</f>
        <v>1124</v>
      </c>
      <c r="Q444" s="36">
        <v>1258</v>
      </c>
      <c r="R444" s="12">
        <v>809</v>
      </c>
      <c r="S444" s="12">
        <v>1124</v>
      </c>
      <c r="T444" s="12">
        <f>S444-R444</f>
        <v>315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3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3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18297</v>
      </c>
      <c r="G447" s="37">
        <f t="shared" ref="G447" si="137">SUM(I447:Q447)-K447-M447-P447</f>
        <v>14355</v>
      </c>
      <c r="H447" s="37">
        <f>20000-2000</f>
        <v>18000</v>
      </c>
      <c r="I447" s="36">
        <v>13800</v>
      </c>
      <c r="J447" s="36"/>
      <c r="K447" s="36"/>
      <c r="L447" s="36"/>
      <c r="M447" s="36"/>
      <c r="N447" s="36"/>
      <c r="O447" s="36"/>
      <c r="P447" s="38">
        <f>1000-500-360+157</f>
        <v>297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3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3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3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3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3"/>
        <v>0</v>
      </c>
      <c r="H452" s="19"/>
      <c r="I452" s="19">
        <f t="shared" ref="I452:Q452" si="138">I453</f>
        <v>0</v>
      </c>
      <c r="J452" s="19">
        <f t="shared" si="138"/>
        <v>0</v>
      </c>
      <c r="K452" s="19"/>
      <c r="L452" s="19">
        <f t="shared" si="138"/>
        <v>0</v>
      </c>
      <c r="M452" s="19"/>
      <c r="N452" s="19">
        <f t="shared" si="138"/>
        <v>0</v>
      </c>
      <c r="O452" s="19">
        <f t="shared" si="138"/>
        <v>0</v>
      </c>
      <c r="P452" s="19"/>
      <c r="Q452" s="19">
        <f t="shared" si="138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3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3"/>
        <v>0</v>
      </c>
      <c r="H454" s="19"/>
      <c r="I454" s="19">
        <f t="shared" ref="I454:Q454" si="139">I455</f>
        <v>0</v>
      </c>
      <c r="J454" s="19">
        <f t="shared" si="139"/>
        <v>0</v>
      </c>
      <c r="K454" s="19"/>
      <c r="L454" s="19">
        <f t="shared" si="139"/>
        <v>0</v>
      </c>
      <c r="M454" s="19"/>
      <c r="N454" s="19">
        <f t="shared" si="139"/>
        <v>0</v>
      </c>
      <c r="O454" s="19">
        <f t="shared" si="139"/>
        <v>0</v>
      </c>
      <c r="P454" s="19"/>
      <c r="Q454" s="19">
        <f t="shared" si="139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3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0">F457</f>
        <v>100</v>
      </c>
      <c r="G456" s="19">
        <f t="shared" si="140"/>
        <v>100</v>
      </c>
      <c r="H456" s="19">
        <f t="shared" si="140"/>
        <v>0</v>
      </c>
      <c r="I456" s="19">
        <f t="shared" si="140"/>
        <v>0</v>
      </c>
      <c r="J456" s="19">
        <f t="shared" si="140"/>
        <v>0</v>
      </c>
      <c r="K456" s="19">
        <f t="shared" si="140"/>
        <v>0</v>
      </c>
      <c r="L456" s="19">
        <f t="shared" si="140"/>
        <v>0</v>
      </c>
      <c r="M456" s="19">
        <f t="shared" si="140"/>
        <v>0</v>
      </c>
      <c r="N456" s="19">
        <f t="shared" si="140"/>
        <v>0</v>
      </c>
      <c r="O456" s="19">
        <f t="shared" si="140"/>
        <v>0</v>
      </c>
      <c r="P456" s="19">
        <f t="shared" si="140"/>
        <v>100</v>
      </c>
      <c r="Q456" s="19">
        <f t="shared" si="140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100</v>
      </c>
      <c r="G457" s="37">
        <f t="shared" si="113"/>
        <v>100</v>
      </c>
      <c r="H457" s="37"/>
      <c r="I457" s="36"/>
      <c r="J457" s="36"/>
      <c r="K457" s="36"/>
      <c r="L457" s="36"/>
      <c r="M457" s="36"/>
      <c r="N457" s="36"/>
      <c r="O457" s="36"/>
      <c r="P457" s="36">
        <v>100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1">SUM(I458:Q458)</f>
        <v>0</v>
      </c>
      <c r="H458" s="19"/>
      <c r="I458" s="19">
        <f t="shared" ref="I458:Q458" si="142">I459+I461+I469</f>
        <v>0</v>
      </c>
      <c r="J458" s="19">
        <f t="shared" si="142"/>
        <v>0</v>
      </c>
      <c r="K458" s="19"/>
      <c r="L458" s="19">
        <f t="shared" si="142"/>
        <v>0</v>
      </c>
      <c r="M458" s="19"/>
      <c r="N458" s="19">
        <f t="shared" si="142"/>
        <v>0</v>
      </c>
      <c r="O458" s="19">
        <f t="shared" si="142"/>
        <v>0</v>
      </c>
      <c r="P458" s="19"/>
      <c r="Q458" s="19">
        <f t="shared" si="142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1"/>
        <v>0</v>
      </c>
      <c r="H459" s="19"/>
      <c r="I459" s="19">
        <f t="shared" ref="I459:Q459" si="143">I460</f>
        <v>0</v>
      </c>
      <c r="J459" s="19">
        <f t="shared" si="143"/>
        <v>0</v>
      </c>
      <c r="K459" s="19"/>
      <c r="L459" s="19">
        <f t="shared" si="143"/>
        <v>0</v>
      </c>
      <c r="M459" s="19"/>
      <c r="N459" s="19">
        <f t="shared" si="143"/>
        <v>0</v>
      </c>
      <c r="O459" s="19">
        <f t="shared" si="143"/>
        <v>0</v>
      </c>
      <c r="P459" s="19"/>
      <c r="Q459" s="19">
        <f t="shared" si="143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1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1"/>
        <v>0</v>
      </c>
      <c r="H461" s="19"/>
      <c r="I461" s="19">
        <f t="shared" ref="I461:Q461" si="144">SUM(I462:I468)</f>
        <v>0</v>
      </c>
      <c r="J461" s="19">
        <f t="shared" si="144"/>
        <v>0</v>
      </c>
      <c r="K461" s="19"/>
      <c r="L461" s="19">
        <f t="shared" si="144"/>
        <v>0</v>
      </c>
      <c r="M461" s="19"/>
      <c r="N461" s="19">
        <f t="shared" si="144"/>
        <v>0</v>
      </c>
      <c r="O461" s="19">
        <f t="shared" si="144"/>
        <v>0</v>
      </c>
      <c r="P461" s="19"/>
      <c r="Q461" s="19">
        <f t="shared" si="144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1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1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1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1"/>
        <v>0</v>
      </c>
      <c r="H469" s="19"/>
      <c r="I469" s="19">
        <f t="shared" ref="I469:Q469" si="145">I470</f>
        <v>0</v>
      </c>
      <c r="J469" s="19">
        <f t="shared" si="145"/>
        <v>0</v>
      </c>
      <c r="K469" s="19"/>
      <c r="L469" s="19">
        <f t="shared" si="145"/>
        <v>0</v>
      </c>
      <c r="M469" s="19"/>
      <c r="N469" s="19">
        <f t="shared" si="145"/>
        <v>0</v>
      </c>
      <c r="O469" s="19">
        <f t="shared" si="145"/>
        <v>0</v>
      </c>
      <c r="P469" s="19"/>
      <c r="Q469" s="19">
        <f t="shared" si="145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1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1"/>
        <v>0</v>
      </c>
      <c r="H471" s="19"/>
      <c r="I471" s="19">
        <f t="shared" ref="I471:Q472" si="146">I472</f>
        <v>0</v>
      </c>
      <c r="J471" s="19">
        <f t="shared" si="146"/>
        <v>0</v>
      </c>
      <c r="K471" s="19"/>
      <c r="L471" s="19">
        <f t="shared" si="146"/>
        <v>0</v>
      </c>
      <c r="M471" s="19"/>
      <c r="N471" s="19">
        <f t="shared" si="146"/>
        <v>0</v>
      </c>
      <c r="O471" s="19">
        <f t="shared" si="146"/>
        <v>0</v>
      </c>
      <c r="P471" s="19"/>
      <c r="Q471" s="19">
        <f t="shared" si="146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1"/>
        <v>0</v>
      </c>
      <c r="H472" s="19"/>
      <c r="I472" s="19">
        <f t="shared" si="146"/>
        <v>0</v>
      </c>
      <c r="J472" s="19">
        <f t="shared" si="146"/>
        <v>0</v>
      </c>
      <c r="K472" s="19"/>
      <c r="L472" s="19">
        <f t="shared" si="146"/>
        <v>0</v>
      </c>
      <c r="M472" s="19"/>
      <c r="N472" s="19">
        <f t="shared" si="146"/>
        <v>0</v>
      </c>
      <c r="O472" s="19">
        <f t="shared" si="146"/>
        <v>0</v>
      </c>
      <c r="P472" s="19"/>
      <c r="Q472" s="19">
        <f t="shared" si="146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1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1"/>
        <v>0</v>
      </c>
      <c r="H474" s="19"/>
      <c r="I474" s="19">
        <f t="shared" ref="I474:Q474" si="147">I475+I477+I479</f>
        <v>0</v>
      </c>
      <c r="J474" s="19">
        <f t="shared" si="147"/>
        <v>0</v>
      </c>
      <c r="K474" s="19"/>
      <c r="L474" s="19">
        <f t="shared" si="147"/>
        <v>0</v>
      </c>
      <c r="M474" s="19"/>
      <c r="N474" s="19">
        <f t="shared" si="147"/>
        <v>0</v>
      </c>
      <c r="O474" s="19">
        <f t="shared" si="147"/>
        <v>0</v>
      </c>
      <c r="P474" s="19"/>
      <c r="Q474" s="19">
        <f t="shared" si="147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1"/>
        <v>0</v>
      </c>
      <c r="H475" s="19"/>
      <c r="I475" s="19">
        <f t="shared" ref="I475:Q475" si="148">I476</f>
        <v>0</v>
      </c>
      <c r="J475" s="19">
        <f t="shared" si="148"/>
        <v>0</v>
      </c>
      <c r="K475" s="19"/>
      <c r="L475" s="19">
        <f t="shared" si="148"/>
        <v>0</v>
      </c>
      <c r="M475" s="19"/>
      <c r="N475" s="19">
        <f t="shared" si="148"/>
        <v>0</v>
      </c>
      <c r="O475" s="19">
        <f t="shared" si="148"/>
        <v>0</v>
      </c>
      <c r="P475" s="19"/>
      <c r="Q475" s="19">
        <f t="shared" si="148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1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1"/>
        <v>0</v>
      </c>
      <c r="H477" s="19"/>
      <c r="I477" s="19">
        <f t="shared" ref="I477:Q477" si="149">I478</f>
        <v>0</v>
      </c>
      <c r="J477" s="19">
        <f t="shared" si="149"/>
        <v>0</v>
      </c>
      <c r="K477" s="19"/>
      <c r="L477" s="19">
        <f t="shared" si="149"/>
        <v>0</v>
      </c>
      <c r="M477" s="19"/>
      <c r="N477" s="19">
        <f t="shared" si="149"/>
        <v>0</v>
      </c>
      <c r="O477" s="19">
        <f t="shared" si="149"/>
        <v>0</v>
      </c>
      <c r="P477" s="19"/>
      <c r="Q477" s="19">
        <f t="shared" si="149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1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1"/>
        <v>0</v>
      </c>
      <c r="H479" s="19"/>
      <c r="I479" s="19">
        <f t="shared" ref="I479:Q479" si="150">I480+I481</f>
        <v>0</v>
      </c>
      <c r="J479" s="19">
        <f t="shared" si="150"/>
        <v>0</v>
      </c>
      <c r="K479" s="19"/>
      <c r="L479" s="19">
        <f t="shared" si="150"/>
        <v>0</v>
      </c>
      <c r="M479" s="19"/>
      <c r="N479" s="19">
        <f t="shared" si="150"/>
        <v>0</v>
      </c>
      <c r="O479" s="19">
        <f t="shared" si="150"/>
        <v>0</v>
      </c>
      <c r="P479" s="19"/>
      <c r="Q479" s="19">
        <f t="shared" si="150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1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1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64.5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1"/>
        <v>0</v>
      </c>
      <c r="H482" s="19"/>
      <c r="I482" s="19">
        <f t="shared" ref="I482:Q483" si="151">I483</f>
        <v>0</v>
      </c>
      <c r="J482" s="19">
        <f t="shared" si="151"/>
        <v>0</v>
      </c>
      <c r="K482" s="19"/>
      <c r="L482" s="19">
        <f t="shared" si="151"/>
        <v>0</v>
      </c>
      <c r="M482" s="19"/>
      <c r="N482" s="19">
        <f t="shared" si="151"/>
        <v>0</v>
      </c>
      <c r="O482" s="19">
        <f t="shared" si="151"/>
        <v>0</v>
      </c>
      <c r="P482" s="19"/>
      <c r="Q482" s="19">
        <f t="shared" si="151"/>
        <v>0</v>
      </c>
    </row>
    <row r="483" spans="1:17" ht="64.5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1"/>
        <v>0</v>
      </c>
      <c r="H483" s="19"/>
      <c r="I483" s="19">
        <f t="shared" si="151"/>
        <v>0</v>
      </c>
      <c r="J483" s="19">
        <f t="shared" si="151"/>
        <v>0</v>
      </c>
      <c r="K483" s="19"/>
      <c r="L483" s="19">
        <f t="shared" si="151"/>
        <v>0</v>
      </c>
      <c r="M483" s="19"/>
      <c r="N483" s="19">
        <f t="shared" si="151"/>
        <v>0</v>
      </c>
      <c r="O483" s="19">
        <f t="shared" si="151"/>
        <v>0</v>
      </c>
      <c r="P483" s="19"/>
      <c r="Q483" s="19">
        <f t="shared" si="151"/>
        <v>0</v>
      </c>
    </row>
    <row r="484" spans="1:17" ht="39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1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39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1"/>
        <v>0</v>
      </c>
      <c r="H485" s="19"/>
      <c r="I485" s="19">
        <f t="shared" ref="I485:Q485" si="152">I486+I515</f>
        <v>0</v>
      </c>
      <c r="J485" s="19">
        <f t="shared" si="152"/>
        <v>0</v>
      </c>
      <c r="K485" s="19"/>
      <c r="L485" s="19">
        <f t="shared" si="152"/>
        <v>0</v>
      </c>
      <c r="M485" s="19"/>
      <c r="N485" s="19">
        <f t="shared" si="152"/>
        <v>0</v>
      </c>
      <c r="O485" s="19">
        <f t="shared" si="152"/>
        <v>0</v>
      </c>
      <c r="P485" s="19"/>
      <c r="Q485" s="19">
        <f t="shared" si="152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1"/>
        <v>0</v>
      </c>
      <c r="H486" s="19"/>
      <c r="I486" s="19">
        <f t="shared" ref="I486:Q486" si="153">I487+I501+I509+I511+I513</f>
        <v>0</v>
      </c>
      <c r="J486" s="19">
        <f t="shared" si="153"/>
        <v>0</v>
      </c>
      <c r="K486" s="19"/>
      <c r="L486" s="19">
        <f t="shared" si="153"/>
        <v>0</v>
      </c>
      <c r="M486" s="19"/>
      <c r="N486" s="19">
        <f t="shared" si="153"/>
        <v>0</v>
      </c>
      <c r="O486" s="19">
        <f t="shared" si="153"/>
        <v>0</v>
      </c>
      <c r="P486" s="19"/>
      <c r="Q486" s="19">
        <f t="shared" si="153"/>
        <v>0</v>
      </c>
    </row>
    <row r="487" spans="1:17" ht="26.25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1"/>
        <v>0</v>
      </c>
      <c r="H487" s="19"/>
      <c r="I487" s="19">
        <f t="shared" ref="I487:Q487" si="154">SUM(I488:I500)</f>
        <v>0</v>
      </c>
      <c r="J487" s="19">
        <f t="shared" si="154"/>
        <v>0</v>
      </c>
      <c r="K487" s="19"/>
      <c r="L487" s="19">
        <f t="shared" si="154"/>
        <v>0</v>
      </c>
      <c r="M487" s="19"/>
      <c r="N487" s="19">
        <f t="shared" si="154"/>
        <v>0</v>
      </c>
      <c r="O487" s="19">
        <f t="shared" si="154"/>
        <v>0</v>
      </c>
      <c r="P487" s="19"/>
      <c r="Q487" s="19">
        <f t="shared" si="154"/>
        <v>0</v>
      </c>
    </row>
    <row r="488" spans="1:17" ht="26.25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1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1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26.25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1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1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1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1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1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1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1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26.25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1"/>
        <v>0</v>
      </c>
      <c r="H501" s="19"/>
      <c r="I501" s="19">
        <f t="shared" ref="I501:Q501" si="155">SUM(I502:I508)</f>
        <v>0</v>
      </c>
      <c r="J501" s="19">
        <f t="shared" si="155"/>
        <v>0</v>
      </c>
      <c r="K501" s="19"/>
      <c r="L501" s="19">
        <f t="shared" si="155"/>
        <v>0</v>
      </c>
      <c r="M501" s="19"/>
      <c r="N501" s="19">
        <f t="shared" si="155"/>
        <v>0</v>
      </c>
      <c r="O501" s="19">
        <f t="shared" si="155"/>
        <v>0</v>
      </c>
      <c r="P501" s="19"/>
      <c r="Q501" s="19">
        <f t="shared" si="155"/>
        <v>0</v>
      </c>
    </row>
    <row r="502" spans="1:17" ht="39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1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1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1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1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1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1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1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1"/>
        <v>0</v>
      </c>
      <c r="H509" s="19"/>
      <c r="I509" s="19">
        <f t="shared" ref="I509:Q509" si="156">I510</f>
        <v>0</v>
      </c>
      <c r="J509" s="19">
        <f t="shared" si="156"/>
        <v>0</v>
      </c>
      <c r="K509" s="19"/>
      <c r="L509" s="19">
        <f t="shared" si="156"/>
        <v>0</v>
      </c>
      <c r="M509" s="19"/>
      <c r="N509" s="19">
        <f t="shared" si="156"/>
        <v>0</v>
      </c>
      <c r="O509" s="19">
        <f t="shared" si="156"/>
        <v>0</v>
      </c>
      <c r="P509" s="19"/>
      <c r="Q509" s="19">
        <f t="shared" si="156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1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26.25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1"/>
        <v>0</v>
      </c>
      <c r="H511" s="19"/>
      <c r="I511" s="19">
        <f t="shared" ref="I511:Q513" si="157">I512</f>
        <v>0</v>
      </c>
      <c r="J511" s="19">
        <f t="shared" si="157"/>
        <v>0</v>
      </c>
      <c r="K511" s="19"/>
      <c r="L511" s="19">
        <f t="shared" si="157"/>
        <v>0</v>
      </c>
      <c r="M511" s="19"/>
      <c r="N511" s="19">
        <f t="shared" si="157"/>
        <v>0</v>
      </c>
      <c r="O511" s="19">
        <f t="shared" si="157"/>
        <v>0</v>
      </c>
      <c r="P511" s="19"/>
      <c r="Q511" s="19">
        <f t="shared" si="157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1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1"/>
        <v>0</v>
      </c>
      <c r="H513" s="19"/>
      <c r="I513" s="19">
        <f t="shared" si="157"/>
        <v>0</v>
      </c>
      <c r="J513" s="19">
        <f t="shared" si="157"/>
        <v>0</v>
      </c>
      <c r="K513" s="19"/>
      <c r="L513" s="19">
        <f t="shared" si="157"/>
        <v>0</v>
      </c>
      <c r="M513" s="19"/>
      <c r="N513" s="19">
        <f t="shared" si="157"/>
        <v>0</v>
      </c>
      <c r="O513" s="19">
        <f t="shared" si="157"/>
        <v>0</v>
      </c>
      <c r="P513" s="19"/>
      <c r="Q513" s="19">
        <f t="shared" si="157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1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1"/>
        <v>0</v>
      </c>
      <c r="H515" s="19"/>
      <c r="I515" s="19">
        <f t="shared" ref="I515:Q515" si="158">I516+I530+I539</f>
        <v>0</v>
      </c>
      <c r="J515" s="19">
        <f t="shared" si="158"/>
        <v>0</v>
      </c>
      <c r="K515" s="19"/>
      <c r="L515" s="19">
        <f t="shared" si="158"/>
        <v>0</v>
      </c>
      <c r="M515" s="19"/>
      <c r="N515" s="19">
        <f t="shared" si="158"/>
        <v>0</v>
      </c>
      <c r="O515" s="19">
        <f t="shared" si="158"/>
        <v>0</v>
      </c>
      <c r="P515" s="19"/>
      <c r="Q515" s="19">
        <f t="shared" si="158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1"/>
        <v>0</v>
      </c>
      <c r="H516" s="19"/>
      <c r="I516" s="19">
        <f t="shared" ref="I516:Q516" si="159">SUM(I517:I529)</f>
        <v>0</v>
      </c>
      <c r="J516" s="19">
        <f t="shared" si="159"/>
        <v>0</v>
      </c>
      <c r="K516" s="19"/>
      <c r="L516" s="19">
        <f t="shared" si="159"/>
        <v>0</v>
      </c>
      <c r="M516" s="19"/>
      <c r="N516" s="19">
        <f t="shared" si="159"/>
        <v>0</v>
      </c>
      <c r="O516" s="19">
        <f t="shared" si="159"/>
        <v>0</v>
      </c>
      <c r="P516" s="19"/>
      <c r="Q516" s="19">
        <f t="shared" si="159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1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1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1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1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26.25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1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1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1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26.25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1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1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26.25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1"/>
        <v>0</v>
      </c>
      <c r="H530" s="19"/>
      <c r="I530" s="19">
        <f t="shared" ref="I530:Q530" si="160">SUM(I531:I538)</f>
        <v>0</v>
      </c>
      <c r="J530" s="19">
        <f t="shared" si="160"/>
        <v>0</v>
      </c>
      <c r="K530" s="19"/>
      <c r="L530" s="19">
        <f t="shared" si="160"/>
        <v>0</v>
      </c>
      <c r="M530" s="19"/>
      <c r="N530" s="19">
        <f t="shared" si="160"/>
        <v>0</v>
      </c>
      <c r="O530" s="19">
        <f t="shared" si="160"/>
        <v>0</v>
      </c>
      <c r="P530" s="19"/>
      <c r="Q530" s="19">
        <f t="shared" si="160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1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1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1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1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1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1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1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1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64.5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1"/>
        <v>0</v>
      </c>
      <c r="H539" s="19"/>
      <c r="I539" s="19">
        <f t="shared" ref="I539:Q539" si="162">I540</f>
        <v>0</v>
      </c>
      <c r="J539" s="19">
        <f t="shared" si="162"/>
        <v>0</v>
      </c>
      <c r="K539" s="19"/>
      <c r="L539" s="19">
        <f t="shared" si="162"/>
        <v>0</v>
      </c>
      <c r="M539" s="19"/>
      <c r="N539" s="19">
        <f t="shared" si="162"/>
        <v>0</v>
      </c>
      <c r="O539" s="19">
        <f t="shared" si="162"/>
        <v>0</v>
      </c>
      <c r="P539" s="19"/>
      <c r="Q539" s="19">
        <f t="shared" si="162"/>
        <v>0</v>
      </c>
    </row>
    <row r="540" spans="1:17" ht="39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1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3">E219+E485</f>
        <v>1500538</v>
      </c>
      <c r="F541" s="19">
        <f t="shared" si="163"/>
        <v>1484242</v>
      </c>
      <c r="G541" s="19">
        <f t="shared" si="163"/>
        <v>1428216</v>
      </c>
      <c r="H541" s="19">
        <f t="shared" si="163"/>
        <v>22280</v>
      </c>
      <c r="I541" s="19">
        <f t="shared" si="163"/>
        <v>17657</v>
      </c>
      <c r="J541" s="19">
        <f t="shared" si="163"/>
        <v>0</v>
      </c>
      <c r="K541" s="19">
        <f t="shared" si="163"/>
        <v>1000</v>
      </c>
      <c r="L541" s="19">
        <f t="shared" si="163"/>
        <v>1273</v>
      </c>
      <c r="M541" s="19">
        <f t="shared" si="163"/>
        <v>1443921</v>
      </c>
      <c r="N541" s="19">
        <f t="shared" si="163"/>
        <v>1398024</v>
      </c>
      <c r="O541" s="19">
        <f t="shared" si="163"/>
        <v>0</v>
      </c>
      <c r="P541" s="19">
        <f t="shared" si="163"/>
        <v>17041</v>
      </c>
      <c r="Q541" s="19">
        <f t="shared" si="163"/>
        <v>11162</v>
      </c>
    </row>
  </sheetData>
  <mergeCells count="186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F74:F154 E104:E127 G120:M121 G104:Q119 E467:Q490 E379:Q399 E353:Q374 E323:Q348 E404:Q427 E522:Q541 E219:Q233 E238:Q269 E274:Q318 E132:E154 G132:Q154 G122:Q127 G74:Q99 E74:E99 E6:Q10 E207:Q211 E185:Q202 E159:Q180 E47:Q69 E15:Q42 E432:Q462">
      <formula1>0</formula1>
      <formula2>999999999</formula2>
    </dataValidation>
  </dataValidations>
  <pageMargins left="0.16" right="0.21" top="0.72" bottom="0.75" header="0.24" footer="0.56999999999999995"/>
  <pageSetup paperSize="9" orientation="portrait" verticalDpi="4294967295" r:id="rId1"/>
  <headerFooter>
    <oddHeader>&amp;CФИНАНСИЈСКИ ПЛАН ОПШТЕ БОЛНИЦЕ ПИРОТ ЗА 2022. ГОДИНУ</oddHead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1"/>
  <sheetViews>
    <sheetView topLeftCell="A251" workbookViewId="0">
      <selection activeCell="D295" sqref="D295"/>
    </sheetView>
  </sheetViews>
  <sheetFormatPr defaultRowHeight="12.75" customHeight="1" x14ac:dyDescent="0.25"/>
  <cols>
    <col min="1" max="1" width="5.85546875" style="80" customWidth="1"/>
    <col min="2" max="2" width="6.85546875" style="80" customWidth="1"/>
    <col min="3" max="3" width="64.28515625" style="80" customWidth="1"/>
    <col min="4" max="4" width="10.28515625" style="80" customWidth="1"/>
    <col min="5" max="5" width="10.5703125" style="80" customWidth="1"/>
    <col min="6" max="6" width="8.5703125" style="80" customWidth="1"/>
    <col min="7" max="7" width="8.7109375" style="80" hidden="1" customWidth="1"/>
    <col min="8" max="9" width="9.140625" style="80"/>
    <col min="10" max="10" width="0" style="80" hidden="1" customWidth="1"/>
    <col min="11" max="11" width="9.140625" style="80"/>
    <col min="12" max="12" width="9.85546875" style="115" customWidth="1"/>
    <col min="13" max="16384" width="9.140625" style="80"/>
  </cols>
  <sheetData>
    <row r="1" spans="1:12" ht="12.75" customHeight="1" x14ac:dyDescent="0.25">
      <c r="A1" s="78" t="s">
        <v>513</v>
      </c>
      <c r="B1" s="78"/>
      <c r="C1" s="78"/>
      <c r="D1" s="78"/>
      <c r="E1" s="78"/>
    </row>
    <row r="2" spans="1:12" ht="12.75" customHeight="1" x14ac:dyDescent="0.25">
      <c r="A2" s="116" t="s">
        <v>537</v>
      </c>
      <c r="B2" s="79"/>
      <c r="C2" s="79"/>
      <c r="D2" s="79"/>
      <c r="E2" s="79"/>
    </row>
    <row r="3" spans="1:12" ht="12.75" customHeight="1" x14ac:dyDescent="0.25">
      <c r="A3" s="92" t="s">
        <v>514</v>
      </c>
    </row>
    <row r="4" spans="1:12" ht="12.75" customHeight="1" thickBot="1" x14ac:dyDescent="0.3">
      <c r="A4" s="117"/>
      <c r="K4" s="118" t="s">
        <v>196</v>
      </c>
    </row>
    <row r="5" spans="1:12" ht="12.75" customHeight="1" x14ac:dyDescent="0.25">
      <c r="A5" s="572" t="s">
        <v>0</v>
      </c>
      <c r="B5" s="574" t="s">
        <v>1</v>
      </c>
      <c r="C5" s="574" t="s">
        <v>2</v>
      </c>
      <c r="D5" s="574" t="s">
        <v>3</v>
      </c>
      <c r="E5" s="574" t="s">
        <v>4</v>
      </c>
      <c r="F5" s="574"/>
      <c r="G5" s="574"/>
      <c r="H5" s="574"/>
      <c r="I5" s="574"/>
      <c r="J5" s="574"/>
      <c r="K5" s="577"/>
      <c r="L5" s="578" t="s">
        <v>530</v>
      </c>
    </row>
    <row r="6" spans="1:12" ht="12.75" customHeight="1" x14ac:dyDescent="0.25">
      <c r="A6" s="573"/>
      <c r="B6" s="575"/>
      <c r="C6" s="576"/>
      <c r="D6" s="575"/>
      <c r="E6" s="581" t="s">
        <v>5</v>
      </c>
      <c r="F6" s="575" t="s">
        <v>6</v>
      </c>
      <c r="G6" s="575"/>
      <c r="H6" s="575"/>
      <c r="I6" s="575"/>
      <c r="J6" s="575" t="s">
        <v>7</v>
      </c>
      <c r="K6" s="582" t="s">
        <v>8</v>
      </c>
      <c r="L6" s="579"/>
    </row>
    <row r="7" spans="1:12" ht="12.75" customHeight="1" x14ac:dyDescent="0.25">
      <c r="A7" s="573"/>
      <c r="B7" s="575"/>
      <c r="C7" s="576"/>
      <c r="D7" s="575"/>
      <c r="E7" s="581"/>
      <c r="F7" s="131" t="s">
        <v>9</v>
      </c>
      <c r="G7" s="131" t="s">
        <v>10</v>
      </c>
      <c r="H7" s="131" t="s">
        <v>11</v>
      </c>
      <c r="I7" s="131" t="s">
        <v>12</v>
      </c>
      <c r="J7" s="575"/>
      <c r="K7" s="582"/>
      <c r="L7" s="580"/>
    </row>
    <row r="8" spans="1:12" ht="12.75" customHeight="1" x14ac:dyDescent="0.25">
      <c r="A8" s="130">
        <v>1</v>
      </c>
      <c r="B8" s="131">
        <v>2</v>
      </c>
      <c r="C8" s="131">
        <v>3</v>
      </c>
      <c r="D8" s="131">
        <v>4</v>
      </c>
      <c r="E8" s="131">
        <v>5</v>
      </c>
      <c r="F8" s="131">
        <v>6</v>
      </c>
      <c r="G8" s="131">
        <v>7</v>
      </c>
      <c r="H8" s="131">
        <v>8</v>
      </c>
      <c r="I8" s="131">
        <v>9</v>
      </c>
      <c r="J8" s="131">
        <v>10</v>
      </c>
      <c r="K8" s="132">
        <v>11</v>
      </c>
      <c r="L8" s="135" t="s">
        <v>531</v>
      </c>
    </row>
    <row r="9" spans="1:12" ht="12.75" customHeight="1" x14ac:dyDescent="0.25">
      <c r="A9" s="81">
        <v>5001</v>
      </c>
      <c r="B9" s="131"/>
      <c r="C9" s="82" t="s">
        <v>13</v>
      </c>
      <c r="D9" s="100">
        <f>D10+D134</f>
        <v>1487035</v>
      </c>
      <c r="E9" s="100">
        <f t="shared" ref="E9:E72" si="0">SUM(F9:K9)</f>
        <v>398163</v>
      </c>
      <c r="F9" s="100">
        <f t="shared" ref="F9:K9" si="1">F10+F134</f>
        <v>2998</v>
      </c>
      <c r="G9" s="100">
        <f t="shared" si="1"/>
        <v>0</v>
      </c>
      <c r="H9" s="100">
        <f t="shared" si="1"/>
        <v>0</v>
      </c>
      <c r="I9" s="100">
        <f t="shared" si="1"/>
        <v>392276</v>
      </c>
      <c r="J9" s="100">
        <f t="shared" si="1"/>
        <v>0</v>
      </c>
      <c r="K9" s="101">
        <f t="shared" si="1"/>
        <v>2889</v>
      </c>
      <c r="L9" s="137">
        <f>E9/D9</f>
        <v>0.26775630701362108</v>
      </c>
    </row>
    <row r="10" spans="1:12" ht="12.75" customHeight="1" x14ac:dyDescent="0.25">
      <c r="A10" s="81">
        <v>5002</v>
      </c>
      <c r="B10" s="131">
        <v>700000</v>
      </c>
      <c r="C10" s="82" t="s">
        <v>532</v>
      </c>
      <c r="D10" s="100">
        <f>D11+D63+D77+D89+D118+D123+D127</f>
        <v>1486835</v>
      </c>
      <c r="E10" s="100">
        <f t="shared" si="0"/>
        <v>398103</v>
      </c>
      <c r="F10" s="100">
        <f t="shared" ref="F10:K10" si="2">F11+F63+F77+F89+F118+F123+F127</f>
        <v>2998</v>
      </c>
      <c r="G10" s="100">
        <f t="shared" si="2"/>
        <v>0</v>
      </c>
      <c r="H10" s="100">
        <f t="shared" si="2"/>
        <v>0</v>
      </c>
      <c r="I10" s="100">
        <f t="shared" si="2"/>
        <v>392276</v>
      </c>
      <c r="J10" s="100">
        <f t="shared" si="2"/>
        <v>0</v>
      </c>
      <c r="K10" s="101">
        <f t="shared" si="2"/>
        <v>2829</v>
      </c>
      <c r="L10" s="137">
        <f t="shared" ref="L10:L73" si="3">E10/D10</f>
        <v>0.26775196978817423</v>
      </c>
    </row>
    <row r="11" spans="1:12" ht="16.5" hidden="1" customHeight="1" x14ac:dyDescent="0.25">
      <c r="A11" s="130">
        <v>5003</v>
      </c>
      <c r="B11" s="131">
        <v>710000</v>
      </c>
      <c r="C11" s="82" t="s">
        <v>15</v>
      </c>
      <c r="D11" s="102">
        <f>D12+D20+D22+D29+D35+D42+D45+D56</f>
        <v>0</v>
      </c>
      <c r="E11" s="102">
        <f t="shared" si="0"/>
        <v>0</v>
      </c>
      <c r="F11" s="102">
        <f t="shared" ref="F11:K11" si="4">F12+F20+F22+F29+F35+F42+F45+F56</f>
        <v>0</v>
      </c>
      <c r="G11" s="102">
        <f t="shared" si="4"/>
        <v>0</v>
      </c>
      <c r="H11" s="102">
        <f t="shared" si="4"/>
        <v>0</v>
      </c>
      <c r="I11" s="102">
        <f t="shared" si="4"/>
        <v>0</v>
      </c>
      <c r="J11" s="102">
        <f t="shared" si="4"/>
        <v>0</v>
      </c>
      <c r="K11" s="103">
        <f t="shared" si="4"/>
        <v>0</v>
      </c>
      <c r="L11" s="137" t="e">
        <f t="shared" si="3"/>
        <v>#DIV/0!</v>
      </c>
    </row>
    <row r="12" spans="1:12" ht="16.5" hidden="1" customHeight="1" x14ac:dyDescent="0.25">
      <c r="A12" s="130">
        <v>5004</v>
      </c>
      <c r="B12" s="131">
        <v>711000</v>
      </c>
      <c r="C12" s="82" t="s">
        <v>16</v>
      </c>
      <c r="D12" s="102">
        <f>SUM(D13:D19)</f>
        <v>0</v>
      </c>
      <c r="E12" s="102">
        <f t="shared" si="0"/>
        <v>0</v>
      </c>
      <c r="F12" s="102">
        <f t="shared" ref="F12:K12" si="5">SUM(F13:F19)</f>
        <v>0</v>
      </c>
      <c r="G12" s="102">
        <f t="shared" si="5"/>
        <v>0</v>
      </c>
      <c r="H12" s="102">
        <f t="shared" si="5"/>
        <v>0</v>
      </c>
      <c r="I12" s="102">
        <f t="shared" si="5"/>
        <v>0</v>
      </c>
      <c r="J12" s="102">
        <f t="shared" si="5"/>
        <v>0</v>
      </c>
      <c r="K12" s="103">
        <f t="shared" si="5"/>
        <v>0</v>
      </c>
      <c r="L12" s="137" t="e">
        <f t="shared" si="3"/>
        <v>#DIV/0!</v>
      </c>
    </row>
    <row r="13" spans="1:12" ht="16.5" hidden="1" customHeight="1" x14ac:dyDescent="0.25">
      <c r="A13" s="83">
        <v>5005</v>
      </c>
      <c r="B13" s="136">
        <v>711100</v>
      </c>
      <c r="C13" s="84" t="s">
        <v>17</v>
      </c>
      <c r="D13" s="104"/>
      <c r="E13" s="104">
        <f t="shared" si="0"/>
        <v>0</v>
      </c>
      <c r="F13" s="104"/>
      <c r="G13" s="104"/>
      <c r="H13" s="104"/>
      <c r="I13" s="104"/>
      <c r="J13" s="104"/>
      <c r="K13" s="105"/>
      <c r="L13" s="137" t="e">
        <f t="shared" si="3"/>
        <v>#DIV/0!</v>
      </c>
    </row>
    <row r="14" spans="1:12" ht="16.5" hidden="1" customHeight="1" x14ac:dyDescent="0.25">
      <c r="A14" s="583" t="s">
        <v>0</v>
      </c>
      <c r="B14" s="584" t="s">
        <v>1</v>
      </c>
      <c r="C14" s="585" t="s">
        <v>2</v>
      </c>
      <c r="D14" s="575" t="s">
        <v>3</v>
      </c>
      <c r="E14" s="575" t="s">
        <v>4</v>
      </c>
      <c r="F14" s="575"/>
      <c r="G14" s="575"/>
      <c r="H14" s="575"/>
      <c r="I14" s="575"/>
      <c r="J14" s="575"/>
      <c r="K14" s="582"/>
      <c r="L14" s="137" t="e">
        <f t="shared" si="3"/>
        <v>#VALUE!</v>
      </c>
    </row>
    <row r="15" spans="1:12" ht="16.5" hidden="1" customHeight="1" x14ac:dyDescent="0.25">
      <c r="A15" s="583"/>
      <c r="B15" s="584"/>
      <c r="C15" s="585"/>
      <c r="D15" s="575"/>
      <c r="E15" s="581" t="s">
        <v>5</v>
      </c>
      <c r="F15" s="575" t="s">
        <v>6</v>
      </c>
      <c r="G15" s="575"/>
      <c r="H15" s="575"/>
      <c r="I15" s="575"/>
      <c r="J15" s="575" t="s">
        <v>7</v>
      </c>
      <c r="K15" s="582" t="s">
        <v>8</v>
      </c>
      <c r="L15" s="137" t="e">
        <f t="shared" si="3"/>
        <v>#VALUE!</v>
      </c>
    </row>
    <row r="16" spans="1:12" ht="16.5" hidden="1" customHeight="1" x14ac:dyDescent="0.25">
      <c r="A16" s="583"/>
      <c r="B16" s="584"/>
      <c r="C16" s="585"/>
      <c r="D16" s="575"/>
      <c r="E16" s="581"/>
      <c r="F16" s="131" t="s">
        <v>9</v>
      </c>
      <c r="G16" s="131" t="s">
        <v>10</v>
      </c>
      <c r="H16" s="131" t="s">
        <v>11</v>
      </c>
      <c r="I16" s="131" t="s">
        <v>12</v>
      </c>
      <c r="J16" s="575"/>
      <c r="K16" s="582"/>
      <c r="L16" s="137" t="e">
        <f t="shared" si="3"/>
        <v>#DIV/0!</v>
      </c>
    </row>
    <row r="17" spans="1:12" ht="16.5" hidden="1" customHeight="1" x14ac:dyDescent="0.25">
      <c r="A17" s="85" t="s">
        <v>18</v>
      </c>
      <c r="B17" s="133" t="s">
        <v>19</v>
      </c>
      <c r="C17" s="133" t="s">
        <v>20</v>
      </c>
      <c r="D17" s="86" t="s">
        <v>21</v>
      </c>
      <c r="E17" s="86" t="s">
        <v>22</v>
      </c>
      <c r="F17" s="86" t="s">
        <v>23</v>
      </c>
      <c r="G17" s="86" t="s">
        <v>24</v>
      </c>
      <c r="H17" s="86" t="s">
        <v>25</v>
      </c>
      <c r="I17" s="86" t="s">
        <v>26</v>
      </c>
      <c r="J17" s="86" t="s">
        <v>27</v>
      </c>
      <c r="K17" s="98" t="s">
        <v>28</v>
      </c>
      <c r="L17" s="137">
        <f t="shared" si="3"/>
        <v>1.25</v>
      </c>
    </row>
    <row r="18" spans="1:12" ht="16.5" hidden="1" customHeight="1" x14ac:dyDescent="0.25">
      <c r="A18" s="83">
        <v>5006</v>
      </c>
      <c r="B18" s="136">
        <v>711200</v>
      </c>
      <c r="C18" s="84" t="s">
        <v>29</v>
      </c>
      <c r="D18" s="106"/>
      <c r="E18" s="106">
        <f t="shared" si="0"/>
        <v>0</v>
      </c>
      <c r="F18" s="106"/>
      <c r="G18" s="106"/>
      <c r="H18" s="106"/>
      <c r="I18" s="106"/>
      <c r="J18" s="106"/>
      <c r="K18" s="107"/>
      <c r="L18" s="137" t="e">
        <f t="shared" si="3"/>
        <v>#DIV/0!</v>
      </c>
    </row>
    <row r="19" spans="1:12" ht="16.5" hidden="1" customHeight="1" x14ac:dyDescent="0.25">
      <c r="A19" s="83">
        <v>5007</v>
      </c>
      <c r="B19" s="136">
        <v>711300</v>
      </c>
      <c r="C19" s="84" t="s">
        <v>30</v>
      </c>
      <c r="D19" s="106"/>
      <c r="E19" s="106">
        <f t="shared" si="0"/>
        <v>0</v>
      </c>
      <c r="F19" s="106"/>
      <c r="G19" s="106"/>
      <c r="H19" s="106"/>
      <c r="I19" s="106"/>
      <c r="J19" s="106"/>
      <c r="K19" s="107"/>
      <c r="L19" s="137" t="e">
        <f t="shared" si="3"/>
        <v>#DIV/0!</v>
      </c>
    </row>
    <row r="20" spans="1:12" ht="16.5" hidden="1" customHeight="1" x14ac:dyDescent="0.25">
      <c r="A20" s="130">
        <v>5008</v>
      </c>
      <c r="B20" s="131">
        <v>712000</v>
      </c>
      <c r="C20" s="82" t="s">
        <v>31</v>
      </c>
      <c r="D20" s="102">
        <f>D21</f>
        <v>0</v>
      </c>
      <c r="E20" s="102">
        <f t="shared" si="0"/>
        <v>0</v>
      </c>
      <c r="F20" s="102">
        <f t="shared" ref="F20:K20" si="6">F21</f>
        <v>0</v>
      </c>
      <c r="G20" s="102">
        <f t="shared" si="6"/>
        <v>0</v>
      </c>
      <c r="H20" s="102">
        <f t="shared" si="6"/>
        <v>0</v>
      </c>
      <c r="I20" s="102">
        <f t="shared" si="6"/>
        <v>0</v>
      </c>
      <c r="J20" s="102">
        <f t="shared" si="6"/>
        <v>0</v>
      </c>
      <c r="K20" s="103">
        <f t="shared" si="6"/>
        <v>0</v>
      </c>
      <c r="L20" s="137" t="e">
        <f t="shared" si="3"/>
        <v>#DIV/0!</v>
      </c>
    </row>
    <row r="21" spans="1:12" ht="16.5" hidden="1" customHeight="1" x14ac:dyDescent="0.25">
      <c r="A21" s="83">
        <v>5009</v>
      </c>
      <c r="B21" s="136">
        <v>712100</v>
      </c>
      <c r="C21" s="84" t="s">
        <v>32</v>
      </c>
      <c r="D21" s="106"/>
      <c r="E21" s="106">
        <f t="shared" si="0"/>
        <v>0</v>
      </c>
      <c r="F21" s="106"/>
      <c r="G21" s="106"/>
      <c r="H21" s="106"/>
      <c r="I21" s="106"/>
      <c r="J21" s="106"/>
      <c r="K21" s="107"/>
      <c r="L21" s="137" t="e">
        <f t="shared" si="3"/>
        <v>#DIV/0!</v>
      </c>
    </row>
    <row r="22" spans="1:12" ht="16.5" hidden="1" customHeight="1" x14ac:dyDescent="0.25">
      <c r="A22" s="130">
        <v>5010</v>
      </c>
      <c r="B22" s="131">
        <v>713000</v>
      </c>
      <c r="C22" s="82" t="s">
        <v>33</v>
      </c>
      <c r="D22" s="102">
        <f>SUM(D23:D28)</f>
        <v>0</v>
      </c>
      <c r="E22" s="102">
        <f t="shared" si="0"/>
        <v>0</v>
      </c>
      <c r="F22" s="102">
        <f t="shared" ref="F22:K22" si="7">SUM(F23:F28)</f>
        <v>0</v>
      </c>
      <c r="G22" s="102">
        <f t="shared" si="7"/>
        <v>0</v>
      </c>
      <c r="H22" s="102">
        <f t="shared" si="7"/>
        <v>0</v>
      </c>
      <c r="I22" s="102">
        <f t="shared" si="7"/>
        <v>0</v>
      </c>
      <c r="J22" s="102">
        <f t="shared" si="7"/>
        <v>0</v>
      </c>
      <c r="K22" s="103">
        <f t="shared" si="7"/>
        <v>0</v>
      </c>
      <c r="L22" s="137" t="e">
        <f t="shared" si="3"/>
        <v>#DIV/0!</v>
      </c>
    </row>
    <row r="23" spans="1:12" ht="16.5" hidden="1" customHeight="1" x14ac:dyDescent="0.25">
      <c r="A23" s="83">
        <v>5011</v>
      </c>
      <c r="B23" s="136">
        <v>713100</v>
      </c>
      <c r="C23" s="84" t="s">
        <v>34</v>
      </c>
      <c r="D23" s="106"/>
      <c r="E23" s="106">
        <f t="shared" si="0"/>
        <v>0</v>
      </c>
      <c r="F23" s="106"/>
      <c r="G23" s="106"/>
      <c r="H23" s="106"/>
      <c r="I23" s="106"/>
      <c r="J23" s="106"/>
      <c r="K23" s="107"/>
      <c r="L23" s="137" t="e">
        <f t="shared" si="3"/>
        <v>#DIV/0!</v>
      </c>
    </row>
    <row r="24" spans="1:12" ht="16.5" hidden="1" customHeight="1" x14ac:dyDescent="0.25">
      <c r="A24" s="83">
        <v>5012</v>
      </c>
      <c r="B24" s="136">
        <v>713200</v>
      </c>
      <c r="C24" s="84" t="s">
        <v>35</v>
      </c>
      <c r="D24" s="106"/>
      <c r="E24" s="106">
        <f t="shared" si="0"/>
        <v>0</v>
      </c>
      <c r="F24" s="106"/>
      <c r="G24" s="106"/>
      <c r="H24" s="106"/>
      <c r="I24" s="106"/>
      <c r="J24" s="106"/>
      <c r="K24" s="107"/>
      <c r="L24" s="137" t="e">
        <f t="shared" si="3"/>
        <v>#DIV/0!</v>
      </c>
    </row>
    <row r="25" spans="1:12" ht="16.5" hidden="1" customHeight="1" x14ac:dyDescent="0.25">
      <c r="A25" s="83">
        <v>5013</v>
      </c>
      <c r="B25" s="136">
        <v>713300</v>
      </c>
      <c r="C25" s="84" t="s">
        <v>36</v>
      </c>
      <c r="D25" s="106"/>
      <c r="E25" s="106">
        <f t="shared" si="0"/>
        <v>0</v>
      </c>
      <c r="F25" s="106"/>
      <c r="G25" s="106"/>
      <c r="H25" s="106"/>
      <c r="I25" s="106"/>
      <c r="J25" s="106"/>
      <c r="K25" s="107"/>
      <c r="L25" s="137" t="e">
        <f t="shared" si="3"/>
        <v>#DIV/0!</v>
      </c>
    </row>
    <row r="26" spans="1:12" ht="16.5" hidden="1" customHeight="1" x14ac:dyDescent="0.25">
      <c r="A26" s="83">
        <v>5014</v>
      </c>
      <c r="B26" s="136">
        <v>713400</v>
      </c>
      <c r="C26" s="84" t="s">
        <v>37</v>
      </c>
      <c r="D26" s="106"/>
      <c r="E26" s="106">
        <f t="shared" si="0"/>
        <v>0</v>
      </c>
      <c r="F26" s="106"/>
      <c r="G26" s="106"/>
      <c r="H26" s="106"/>
      <c r="I26" s="106"/>
      <c r="J26" s="106"/>
      <c r="K26" s="107"/>
      <c r="L26" s="137" t="e">
        <f t="shared" si="3"/>
        <v>#DIV/0!</v>
      </c>
    </row>
    <row r="27" spans="1:12" ht="16.5" hidden="1" customHeight="1" x14ac:dyDescent="0.25">
      <c r="A27" s="83">
        <v>5015</v>
      </c>
      <c r="B27" s="136">
        <v>713500</v>
      </c>
      <c r="C27" s="84" t="s">
        <v>38</v>
      </c>
      <c r="D27" s="106"/>
      <c r="E27" s="106">
        <f t="shared" si="0"/>
        <v>0</v>
      </c>
      <c r="F27" s="106"/>
      <c r="G27" s="106"/>
      <c r="H27" s="106"/>
      <c r="I27" s="106"/>
      <c r="J27" s="106"/>
      <c r="K27" s="107"/>
      <c r="L27" s="137" t="e">
        <f t="shared" si="3"/>
        <v>#DIV/0!</v>
      </c>
    </row>
    <row r="28" spans="1:12" ht="16.5" hidden="1" customHeight="1" x14ac:dyDescent="0.25">
      <c r="A28" s="83">
        <v>5016</v>
      </c>
      <c r="B28" s="136">
        <v>713600</v>
      </c>
      <c r="C28" s="84" t="s">
        <v>39</v>
      </c>
      <c r="D28" s="102"/>
      <c r="E28" s="106">
        <f t="shared" si="0"/>
        <v>0</v>
      </c>
      <c r="F28" s="102"/>
      <c r="G28" s="102"/>
      <c r="H28" s="102"/>
      <c r="I28" s="102"/>
      <c r="J28" s="102"/>
      <c r="K28" s="103"/>
      <c r="L28" s="137" t="e">
        <f t="shared" si="3"/>
        <v>#DIV/0!</v>
      </c>
    </row>
    <row r="29" spans="1:12" ht="16.5" hidden="1" customHeight="1" x14ac:dyDescent="0.25">
      <c r="A29" s="130">
        <v>5017</v>
      </c>
      <c r="B29" s="131">
        <v>714000</v>
      </c>
      <c r="C29" s="82" t="s">
        <v>40</v>
      </c>
      <c r="D29" s="102">
        <f>SUM(D30:D34)</f>
        <v>0</v>
      </c>
      <c r="E29" s="102">
        <f t="shared" si="0"/>
        <v>0</v>
      </c>
      <c r="F29" s="102">
        <f t="shared" ref="F29:K29" si="8">SUM(F30:F34)</f>
        <v>0</v>
      </c>
      <c r="G29" s="102">
        <f t="shared" si="8"/>
        <v>0</v>
      </c>
      <c r="H29" s="102">
        <f t="shared" si="8"/>
        <v>0</v>
      </c>
      <c r="I29" s="102">
        <f t="shared" si="8"/>
        <v>0</v>
      </c>
      <c r="J29" s="102">
        <f t="shared" si="8"/>
        <v>0</v>
      </c>
      <c r="K29" s="103">
        <f t="shared" si="8"/>
        <v>0</v>
      </c>
      <c r="L29" s="137" t="e">
        <f t="shared" si="3"/>
        <v>#DIV/0!</v>
      </c>
    </row>
    <row r="30" spans="1:12" ht="16.5" hidden="1" customHeight="1" x14ac:dyDescent="0.25">
      <c r="A30" s="83">
        <v>5018</v>
      </c>
      <c r="B30" s="136">
        <v>714100</v>
      </c>
      <c r="C30" s="84" t="s">
        <v>41</v>
      </c>
      <c r="D30" s="106"/>
      <c r="E30" s="106">
        <f t="shared" si="0"/>
        <v>0</v>
      </c>
      <c r="F30" s="106"/>
      <c r="G30" s="106"/>
      <c r="H30" s="106"/>
      <c r="I30" s="106"/>
      <c r="J30" s="106"/>
      <c r="K30" s="107"/>
      <c r="L30" s="137" t="e">
        <f t="shared" si="3"/>
        <v>#DIV/0!</v>
      </c>
    </row>
    <row r="31" spans="1:12" ht="16.5" hidden="1" customHeight="1" x14ac:dyDescent="0.25">
      <c r="A31" s="83">
        <v>5019</v>
      </c>
      <c r="B31" s="136">
        <v>714300</v>
      </c>
      <c r="C31" s="84" t="s">
        <v>42</v>
      </c>
      <c r="D31" s="106"/>
      <c r="E31" s="106">
        <f t="shared" si="0"/>
        <v>0</v>
      </c>
      <c r="F31" s="106"/>
      <c r="G31" s="106"/>
      <c r="H31" s="106"/>
      <c r="I31" s="106"/>
      <c r="J31" s="106"/>
      <c r="K31" s="107"/>
      <c r="L31" s="137" t="e">
        <f t="shared" si="3"/>
        <v>#DIV/0!</v>
      </c>
    </row>
    <row r="32" spans="1:12" ht="16.5" hidden="1" customHeight="1" x14ac:dyDescent="0.25">
      <c r="A32" s="83">
        <v>5020</v>
      </c>
      <c r="B32" s="136">
        <v>714400</v>
      </c>
      <c r="C32" s="84" t="s">
        <v>43</v>
      </c>
      <c r="D32" s="106"/>
      <c r="E32" s="106">
        <f t="shared" si="0"/>
        <v>0</v>
      </c>
      <c r="F32" s="106"/>
      <c r="G32" s="106"/>
      <c r="H32" s="106"/>
      <c r="I32" s="106"/>
      <c r="J32" s="106"/>
      <c r="K32" s="107"/>
      <c r="L32" s="137" t="e">
        <f t="shared" si="3"/>
        <v>#DIV/0!</v>
      </c>
    </row>
    <row r="33" spans="1:12" ht="16.5" hidden="1" customHeight="1" x14ac:dyDescent="0.25">
      <c r="A33" s="83">
        <v>5021</v>
      </c>
      <c r="B33" s="136">
        <v>714500</v>
      </c>
      <c r="C33" s="84" t="s">
        <v>44</v>
      </c>
      <c r="D33" s="106"/>
      <c r="E33" s="106">
        <f t="shared" si="0"/>
        <v>0</v>
      </c>
      <c r="F33" s="106"/>
      <c r="G33" s="106"/>
      <c r="H33" s="106"/>
      <c r="I33" s="106"/>
      <c r="J33" s="106"/>
      <c r="K33" s="107"/>
      <c r="L33" s="137" t="e">
        <f t="shared" si="3"/>
        <v>#DIV/0!</v>
      </c>
    </row>
    <row r="34" spans="1:12" ht="16.5" hidden="1" customHeight="1" x14ac:dyDescent="0.25">
      <c r="A34" s="83">
        <v>5022</v>
      </c>
      <c r="B34" s="136">
        <v>714600</v>
      </c>
      <c r="C34" s="84" t="s">
        <v>45</v>
      </c>
      <c r="D34" s="106"/>
      <c r="E34" s="106">
        <f t="shared" si="0"/>
        <v>0</v>
      </c>
      <c r="F34" s="106"/>
      <c r="G34" s="106"/>
      <c r="H34" s="106"/>
      <c r="I34" s="106"/>
      <c r="J34" s="106"/>
      <c r="K34" s="107"/>
      <c r="L34" s="137" t="e">
        <f t="shared" si="3"/>
        <v>#DIV/0!</v>
      </c>
    </row>
    <row r="35" spans="1:12" ht="16.5" hidden="1" customHeight="1" x14ac:dyDescent="0.25">
      <c r="A35" s="130">
        <v>5023</v>
      </c>
      <c r="B35" s="131">
        <v>715000</v>
      </c>
      <c r="C35" s="82" t="s">
        <v>46</v>
      </c>
      <c r="D35" s="102">
        <f>SUM(D36:D41)</f>
        <v>0</v>
      </c>
      <c r="E35" s="102">
        <f t="shared" si="0"/>
        <v>0</v>
      </c>
      <c r="F35" s="102">
        <f t="shared" ref="F35:K35" si="9">SUM(F36:F41)</f>
        <v>0</v>
      </c>
      <c r="G35" s="102">
        <f t="shared" si="9"/>
        <v>0</v>
      </c>
      <c r="H35" s="102">
        <f t="shared" si="9"/>
        <v>0</v>
      </c>
      <c r="I35" s="102">
        <f t="shared" si="9"/>
        <v>0</v>
      </c>
      <c r="J35" s="102">
        <f t="shared" si="9"/>
        <v>0</v>
      </c>
      <c r="K35" s="103">
        <f t="shared" si="9"/>
        <v>0</v>
      </c>
      <c r="L35" s="137" t="e">
        <f t="shared" si="3"/>
        <v>#DIV/0!</v>
      </c>
    </row>
    <row r="36" spans="1:12" ht="16.5" hidden="1" customHeight="1" x14ac:dyDescent="0.25">
      <c r="A36" s="83">
        <v>5024</v>
      </c>
      <c r="B36" s="136">
        <v>715100</v>
      </c>
      <c r="C36" s="84" t="s">
        <v>47</v>
      </c>
      <c r="D36" s="106"/>
      <c r="E36" s="106">
        <f t="shared" si="0"/>
        <v>0</v>
      </c>
      <c r="F36" s="106"/>
      <c r="G36" s="106"/>
      <c r="H36" s="106"/>
      <c r="I36" s="106"/>
      <c r="J36" s="106"/>
      <c r="K36" s="107"/>
      <c r="L36" s="137" t="e">
        <f t="shared" si="3"/>
        <v>#DIV/0!</v>
      </c>
    </row>
    <row r="37" spans="1:12" ht="16.5" hidden="1" customHeight="1" x14ac:dyDescent="0.25">
      <c r="A37" s="83">
        <v>5025</v>
      </c>
      <c r="B37" s="136">
        <v>715200</v>
      </c>
      <c r="C37" s="84" t="s">
        <v>48</v>
      </c>
      <c r="D37" s="106"/>
      <c r="E37" s="106">
        <f t="shared" si="0"/>
        <v>0</v>
      </c>
      <c r="F37" s="106"/>
      <c r="G37" s="106"/>
      <c r="H37" s="106"/>
      <c r="I37" s="106"/>
      <c r="J37" s="106"/>
      <c r="K37" s="107"/>
      <c r="L37" s="137" t="e">
        <f t="shared" si="3"/>
        <v>#DIV/0!</v>
      </c>
    </row>
    <row r="38" spans="1:12" ht="16.5" hidden="1" customHeight="1" x14ac:dyDescent="0.25">
      <c r="A38" s="83">
        <v>5026</v>
      </c>
      <c r="B38" s="136">
        <v>715300</v>
      </c>
      <c r="C38" s="84" t="s">
        <v>49</v>
      </c>
      <c r="D38" s="106"/>
      <c r="E38" s="106">
        <f t="shared" si="0"/>
        <v>0</v>
      </c>
      <c r="F38" s="106"/>
      <c r="G38" s="106"/>
      <c r="H38" s="106"/>
      <c r="I38" s="106"/>
      <c r="J38" s="106"/>
      <c r="K38" s="107"/>
      <c r="L38" s="137" t="e">
        <f t="shared" si="3"/>
        <v>#DIV/0!</v>
      </c>
    </row>
    <row r="39" spans="1:12" ht="16.5" hidden="1" customHeight="1" x14ac:dyDescent="0.25">
      <c r="A39" s="83">
        <v>5027</v>
      </c>
      <c r="B39" s="136">
        <v>715400</v>
      </c>
      <c r="C39" s="84" t="s">
        <v>50</v>
      </c>
      <c r="D39" s="106"/>
      <c r="E39" s="106">
        <f t="shared" si="0"/>
        <v>0</v>
      </c>
      <c r="F39" s="106"/>
      <c r="G39" s="106"/>
      <c r="H39" s="106"/>
      <c r="I39" s="106"/>
      <c r="J39" s="106"/>
      <c r="K39" s="107"/>
      <c r="L39" s="137" t="e">
        <f t="shared" si="3"/>
        <v>#DIV/0!</v>
      </c>
    </row>
    <row r="40" spans="1:12" ht="16.5" hidden="1" customHeight="1" x14ac:dyDescent="0.25">
      <c r="A40" s="83">
        <v>5028</v>
      </c>
      <c r="B40" s="136">
        <v>715500</v>
      </c>
      <c r="C40" s="84" t="s">
        <v>51</v>
      </c>
      <c r="D40" s="106"/>
      <c r="E40" s="106">
        <f t="shared" si="0"/>
        <v>0</v>
      </c>
      <c r="F40" s="106"/>
      <c r="G40" s="106"/>
      <c r="H40" s="106"/>
      <c r="I40" s="106"/>
      <c r="J40" s="106"/>
      <c r="K40" s="107"/>
      <c r="L40" s="137" t="e">
        <f t="shared" si="3"/>
        <v>#DIV/0!</v>
      </c>
    </row>
    <row r="41" spans="1:12" ht="16.5" hidden="1" customHeight="1" x14ac:dyDescent="0.25">
      <c r="A41" s="83">
        <v>5029</v>
      </c>
      <c r="B41" s="136">
        <v>715600</v>
      </c>
      <c r="C41" s="84" t="s">
        <v>52</v>
      </c>
      <c r="D41" s="106"/>
      <c r="E41" s="106">
        <f t="shared" si="0"/>
        <v>0</v>
      </c>
      <c r="F41" s="106"/>
      <c r="G41" s="106"/>
      <c r="H41" s="106"/>
      <c r="I41" s="106"/>
      <c r="J41" s="106"/>
      <c r="K41" s="107"/>
      <c r="L41" s="137" t="e">
        <f t="shared" si="3"/>
        <v>#DIV/0!</v>
      </c>
    </row>
    <row r="42" spans="1:12" ht="16.5" hidden="1" customHeight="1" x14ac:dyDescent="0.25">
      <c r="A42" s="130">
        <v>5030</v>
      </c>
      <c r="B42" s="131">
        <v>716000</v>
      </c>
      <c r="C42" s="82" t="s">
        <v>53</v>
      </c>
      <c r="D42" s="102">
        <f>D43+D44</f>
        <v>0</v>
      </c>
      <c r="E42" s="102">
        <f t="shared" si="0"/>
        <v>0</v>
      </c>
      <c r="F42" s="102">
        <f t="shared" ref="F42:K42" si="10">F43+F44</f>
        <v>0</v>
      </c>
      <c r="G42" s="102">
        <f t="shared" si="10"/>
        <v>0</v>
      </c>
      <c r="H42" s="102">
        <f t="shared" si="10"/>
        <v>0</v>
      </c>
      <c r="I42" s="102">
        <f t="shared" si="10"/>
        <v>0</v>
      </c>
      <c r="J42" s="102">
        <f t="shared" si="10"/>
        <v>0</v>
      </c>
      <c r="K42" s="103">
        <f t="shared" si="10"/>
        <v>0</v>
      </c>
      <c r="L42" s="137" t="e">
        <f t="shared" si="3"/>
        <v>#DIV/0!</v>
      </c>
    </row>
    <row r="43" spans="1:12" ht="16.5" hidden="1" customHeight="1" x14ac:dyDescent="0.25">
      <c r="A43" s="83">
        <v>5031</v>
      </c>
      <c r="B43" s="136">
        <v>716100</v>
      </c>
      <c r="C43" s="84" t="s">
        <v>54</v>
      </c>
      <c r="D43" s="106"/>
      <c r="E43" s="106">
        <f t="shared" si="0"/>
        <v>0</v>
      </c>
      <c r="F43" s="106"/>
      <c r="G43" s="106"/>
      <c r="H43" s="106"/>
      <c r="I43" s="106"/>
      <c r="J43" s="106"/>
      <c r="K43" s="107"/>
      <c r="L43" s="137" t="e">
        <f t="shared" si="3"/>
        <v>#DIV/0!</v>
      </c>
    </row>
    <row r="44" spans="1:12" ht="16.5" hidden="1" customHeight="1" x14ac:dyDescent="0.25">
      <c r="A44" s="83">
        <v>5032</v>
      </c>
      <c r="B44" s="136">
        <v>716200</v>
      </c>
      <c r="C44" s="84" t="s">
        <v>55</v>
      </c>
      <c r="D44" s="106"/>
      <c r="E44" s="106">
        <f t="shared" si="0"/>
        <v>0</v>
      </c>
      <c r="F44" s="106"/>
      <c r="G44" s="106"/>
      <c r="H44" s="106"/>
      <c r="I44" s="106"/>
      <c r="J44" s="106"/>
      <c r="K44" s="107"/>
      <c r="L44" s="137" t="e">
        <f t="shared" si="3"/>
        <v>#DIV/0!</v>
      </c>
    </row>
    <row r="45" spans="1:12" ht="16.5" hidden="1" customHeight="1" x14ac:dyDescent="0.25">
      <c r="A45" s="130">
        <v>5033</v>
      </c>
      <c r="B45" s="131">
        <v>717000</v>
      </c>
      <c r="C45" s="82" t="s">
        <v>56</v>
      </c>
      <c r="D45" s="102">
        <f>SUM(D50:D55)</f>
        <v>0</v>
      </c>
      <c r="E45" s="102">
        <f t="shared" si="0"/>
        <v>0</v>
      </c>
      <c r="F45" s="102">
        <f t="shared" ref="F45:K45" si="11">SUM(F50:F55)</f>
        <v>0</v>
      </c>
      <c r="G45" s="102">
        <f t="shared" si="11"/>
        <v>0</v>
      </c>
      <c r="H45" s="102">
        <f t="shared" si="11"/>
        <v>0</v>
      </c>
      <c r="I45" s="102">
        <f t="shared" si="11"/>
        <v>0</v>
      </c>
      <c r="J45" s="102">
        <f t="shared" si="11"/>
        <v>0</v>
      </c>
      <c r="K45" s="103">
        <f t="shared" si="11"/>
        <v>0</v>
      </c>
      <c r="L45" s="137" t="e">
        <f t="shared" si="3"/>
        <v>#DIV/0!</v>
      </c>
    </row>
    <row r="46" spans="1:12" ht="16.5" hidden="1" customHeight="1" x14ac:dyDescent="0.25">
      <c r="A46" s="583" t="s">
        <v>0</v>
      </c>
      <c r="B46" s="584" t="s">
        <v>1</v>
      </c>
      <c r="C46" s="585" t="s">
        <v>2</v>
      </c>
      <c r="D46" s="586" t="s">
        <v>3</v>
      </c>
      <c r="E46" s="586" t="s">
        <v>4</v>
      </c>
      <c r="F46" s="586"/>
      <c r="G46" s="586"/>
      <c r="H46" s="586"/>
      <c r="I46" s="586"/>
      <c r="J46" s="586"/>
      <c r="K46" s="587"/>
      <c r="L46" s="137" t="e">
        <f t="shared" si="3"/>
        <v>#VALUE!</v>
      </c>
    </row>
    <row r="47" spans="1:12" ht="16.5" hidden="1" customHeight="1" x14ac:dyDescent="0.25">
      <c r="A47" s="583"/>
      <c r="B47" s="584"/>
      <c r="C47" s="585"/>
      <c r="D47" s="586"/>
      <c r="E47" s="585" t="s">
        <v>5</v>
      </c>
      <c r="F47" s="586" t="s">
        <v>6</v>
      </c>
      <c r="G47" s="586"/>
      <c r="H47" s="586"/>
      <c r="I47" s="586"/>
      <c r="J47" s="586" t="s">
        <v>7</v>
      </c>
      <c r="K47" s="587" t="s">
        <v>8</v>
      </c>
      <c r="L47" s="137" t="e">
        <f t="shared" si="3"/>
        <v>#VALUE!</v>
      </c>
    </row>
    <row r="48" spans="1:12" ht="16.5" hidden="1" customHeight="1" x14ac:dyDescent="0.25">
      <c r="A48" s="583"/>
      <c r="B48" s="584"/>
      <c r="C48" s="585"/>
      <c r="D48" s="586"/>
      <c r="E48" s="585"/>
      <c r="F48" s="134" t="s">
        <v>9</v>
      </c>
      <c r="G48" s="134" t="s">
        <v>10</v>
      </c>
      <c r="H48" s="134" t="s">
        <v>11</v>
      </c>
      <c r="I48" s="134" t="s">
        <v>12</v>
      </c>
      <c r="J48" s="586"/>
      <c r="K48" s="587"/>
      <c r="L48" s="137" t="e">
        <f t="shared" si="3"/>
        <v>#DIV/0!</v>
      </c>
    </row>
    <row r="49" spans="1:12" ht="16.5" hidden="1" customHeight="1" x14ac:dyDescent="0.25">
      <c r="A49" s="85" t="s">
        <v>18</v>
      </c>
      <c r="B49" s="133" t="s">
        <v>19</v>
      </c>
      <c r="C49" s="133" t="s">
        <v>20</v>
      </c>
      <c r="D49" s="133" t="s">
        <v>21</v>
      </c>
      <c r="E49" s="133" t="s">
        <v>22</v>
      </c>
      <c r="F49" s="133" t="s">
        <v>23</v>
      </c>
      <c r="G49" s="133" t="s">
        <v>24</v>
      </c>
      <c r="H49" s="133" t="s">
        <v>25</v>
      </c>
      <c r="I49" s="133" t="s">
        <v>26</v>
      </c>
      <c r="J49" s="133" t="s">
        <v>27</v>
      </c>
      <c r="K49" s="99" t="s">
        <v>28</v>
      </c>
      <c r="L49" s="137">
        <f t="shared" si="3"/>
        <v>1.25</v>
      </c>
    </row>
    <row r="50" spans="1:12" ht="16.5" hidden="1" customHeight="1" x14ac:dyDescent="0.25">
      <c r="A50" s="83">
        <v>5034</v>
      </c>
      <c r="B50" s="136">
        <v>717100</v>
      </c>
      <c r="C50" s="84" t="s">
        <v>57</v>
      </c>
      <c r="D50" s="106"/>
      <c r="E50" s="106">
        <f t="shared" si="0"/>
        <v>0</v>
      </c>
      <c r="F50" s="106"/>
      <c r="G50" s="106"/>
      <c r="H50" s="106"/>
      <c r="I50" s="106"/>
      <c r="J50" s="106"/>
      <c r="K50" s="107"/>
      <c r="L50" s="137" t="e">
        <f t="shared" si="3"/>
        <v>#DIV/0!</v>
      </c>
    </row>
    <row r="51" spans="1:12" ht="16.5" hidden="1" customHeight="1" x14ac:dyDescent="0.25">
      <c r="A51" s="83">
        <v>5035</v>
      </c>
      <c r="B51" s="136">
        <v>717200</v>
      </c>
      <c r="C51" s="84" t="s">
        <v>58</v>
      </c>
      <c r="D51" s="106"/>
      <c r="E51" s="106">
        <f t="shared" si="0"/>
        <v>0</v>
      </c>
      <c r="F51" s="106"/>
      <c r="G51" s="106"/>
      <c r="H51" s="106"/>
      <c r="I51" s="106"/>
      <c r="J51" s="106"/>
      <c r="K51" s="107"/>
      <c r="L51" s="137" t="e">
        <f t="shared" si="3"/>
        <v>#DIV/0!</v>
      </c>
    </row>
    <row r="52" spans="1:12" ht="16.5" hidden="1" customHeight="1" x14ac:dyDescent="0.25">
      <c r="A52" s="83">
        <v>5036</v>
      </c>
      <c r="B52" s="136">
        <v>717300</v>
      </c>
      <c r="C52" s="84" t="s">
        <v>59</v>
      </c>
      <c r="D52" s="106"/>
      <c r="E52" s="106">
        <f t="shared" si="0"/>
        <v>0</v>
      </c>
      <c r="F52" s="106"/>
      <c r="G52" s="106"/>
      <c r="H52" s="106"/>
      <c r="I52" s="106"/>
      <c r="J52" s="106"/>
      <c r="K52" s="107"/>
      <c r="L52" s="137" t="e">
        <f t="shared" si="3"/>
        <v>#DIV/0!</v>
      </c>
    </row>
    <row r="53" spans="1:12" ht="16.5" hidden="1" customHeight="1" x14ac:dyDescent="0.25">
      <c r="A53" s="83">
        <v>5037</v>
      </c>
      <c r="B53" s="136">
        <v>717400</v>
      </c>
      <c r="C53" s="84" t="s">
        <v>60</v>
      </c>
      <c r="D53" s="106"/>
      <c r="E53" s="106">
        <f t="shared" si="0"/>
        <v>0</v>
      </c>
      <c r="F53" s="106"/>
      <c r="G53" s="106"/>
      <c r="H53" s="106"/>
      <c r="I53" s="106"/>
      <c r="J53" s="106"/>
      <c r="K53" s="107"/>
      <c r="L53" s="137" t="e">
        <f t="shared" si="3"/>
        <v>#DIV/0!</v>
      </c>
    </row>
    <row r="54" spans="1:12" ht="16.5" hidden="1" customHeight="1" x14ac:dyDescent="0.25">
      <c r="A54" s="83">
        <v>5038</v>
      </c>
      <c r="B54" s="136">
        <v>717500</v>
      </c>
      <c r="C54" s="84" t="s">
        <v>61</v>
      </c>
      <c r="D54" s="106"/>
      <c r="E54" s="106">
        <f t="shared" si="0"/>
        <v>0</v>
      </c>
      <c r="F54" s="106"/>
      <c r="G54" s="106"/>
      <c r="H54" s="106"/>
      <c r="I54" s="106"/>
      <c r="J54" s="106"/>
      <c r="K54" s="107"/>
      <c r="L54" s="137" t="e">
        <f t="shared" si="3"/>
        <v>#DIV/0!</v>
      </c>
    </row>
    <row r="55" spans="1:12" ht="16.5" hidden="1" customHeight="1" x14ac:dyDescent="0.25">
      <c r="A55" s="83">
        <v>5039</v>
      </c>
      <c r="B55" s="136">
        <v>717600</v>
      </c>
      <c r="C55" s="84" t="s">
        <v>62</v>
      </c>
      <c r="D55" s="106"/>
      <c r="E55" s="106">
        <f t="shared" si="0"/>
        <v>0</v>
      </c>
      <c r="F55" s="106"/>
      <c r="G55" s="106"/>
      <c r="H55" s="106"/>
      <c r="I55" s="106"/>
      <c r="J55" s="106"/>
      <c r="K55" s="107"/>
      <c r="L55" s="137" t="e">
        <f t="shared" si="3"/>
        <v>#DIV/0!</v>
      </c>
    </row>
    <row r="56" spans="1:12" ht="16.5" hidden="1" customHeight="1" x14ac:dyDescent="0.25">
      <c r="A56" s="130">
        <v>5040</v>
      </c>
      <c r="B56" s="131">
        <v>719000</v>
      </c>
      <c r="C56" s="82" t="s">
        <v>63</v>
      </c>
      <c r="D56" s="102">
        <f>SUM(D57:D62)</f>
        <v>0</v>
      </c>
      <c r="E56" s="102">
        <f t="shared" si="0"/>
        <v>0</v>
      </c>
      <c r="F56" s="102">
        <f t="shared" ref="F56:K56" si="12">SUM(F57:F62)</f>
        <v>0</v>
      </c>
      <c r="G56" s="102">
        <f t="shared" si="12"/>
        <v>0</v>
      </c>
      <c r="H56" s="102">
        <f t="shared" si="12"/>
        <v>0</v>
      </c>
      <c r="I56" s="102">
        <f t="shared" si="12"/>
        <v>0</v>
      </c>
      <c r="J56" s="102">
        <f t="shared" si="12"/>
        <v>0</v>
      </c>
      <c r="K56" s="103">
        <f t="shared" si="12"/>
        <v>0</v>
      </c>
      <c r="L56" s="137" t="e">
        <f t="shared" si="3"/>
        <v>#DIV/0!</v>
      </c>
    </row>
    <row r="57" spans="1:12" ht="16.5" hidden="1" customHeight="1" x14ac:dyDescent="0.25">
      <c r="A57" s="83">
        <v>5041</v>
      </c>
      <c r="B57" s="136">
        <v>719100</v>
      </c>
      <c r="C57" s="84" t="s">
        <v>64</v>
      </c>
      <c r="D57" s="106"/>
      <c r="E57" s="106">
        <f t="shared" si="0"/>
        <v>0</v>
      </c>
      <c r="F57" s="106"/>
      <c r="G57" s="106"/>
      <c r="H57" s="106"/>
      <c r="I57" s="106"/>
      <c r="J57" s="106"/>
      <c r="K57" s="107"/>
      <c r="L57" s="137" t="e">
        <f t="shared" si="3"/>
        <v>#DIV/0!</v>
      </c>
    </row>
    <row r="58" spans="1:12" ht="16.5" hidden="1" customHeight="1" x14ac:dyDescent="0.25">
      <c r="A58" s="83">
        <v>5042</v>
      </c>
      <c r="B58" s="136">
        <v>719200</v>
      </c>
      <c r="C58" s="84" t="s">
        <v>65</v>
      </c>
      <c r="D58" s="106"/>
      <c r="E58" s="106">
        <f t="shared" si="0"/>
        <v>0</v>
      </c>
      <c r="F58" s="106"/>
      <c r="G58" s="106"/>
      <c r="H58" s="106"/>
      <c r="I58" s="106"/>
      <c r="J58" s="106"/>
      <c r="K58" s="107"/>
      <c r="L58" s="137" t="e">
        <f t="shared" si="3"/>
        <v>#DIV/0!</v>
      </c>
    </row>
    <row r="59" spans="1:12" ht="16.5" hidden="1" customHeight="1" x14ac:dyDescent="0.25">
      <c r="A59" s="83">
        <v>5043</v>
      </c>
      <c r="B59" s="136">
        <v>719300</v>
      </c>
      <c r="C59" s="84" t="s">
        <v>66</v>
      </c>
      <c r="D59" s="106"/>
      <c r="E59" s="106">
        <f t="shared" si="0"/>
        <v>0</v>
      </c>
      <c r="F59" s="106"/>
      <c r="G59" s="106"/>
      <c r="H59" s="106"/>
      <c r="I59" s="106"/>
      <c r="J59" s="106"/>
      <c r="K59" s="107"/>
      <c r="L59" s="137" t="e">
        <f t="shared" si="3"/>
        <v>#DIV/0!</v>
      </c>
    </row>
    <row r="60" spans="1:12" ht="16.5" hidden="1" customHeight="1" x14ac:dyDescent="0.25">
      <c r="A60" s="83">
        <v>5044</v>
      </c>
      <c r="B60" s="136">
        <v>719400</v>
      </c>
      <c r="C60" s="84" t="s">
        <v>67</v>
      </c>
      <c r="D60" s="106"/>
      <c r="E60" s="106">
        <f t="shared" si="0"/>
        <v>0</v>
      </c>
      <c r="F60" s="106"/>
      <c r="G60" s="106"/>
      <c r="H60" s="106"/>
      <c r="I60" s="106"/>
      <c r="J60" s="106"/>
      <c r="K60" s="107"/>
      <c r="L60" s="137" t="e">
        <f t="shared" si="3"/>
        <v>#DIV/0!</v>
      </c>
    </row>
    <row r="61" spans="1:12" ht="16.5" hidden="1" customHeight="1" x14ac:dyDescent="0.25">
      <c r="A61" s="83">
        <v>5045</v>
      </c>
      <c r="B61" s="136">
        <v>719500</v>
      </c>
      <c r="C61" s="84" t="s">
        <v>68</v>
      </c>
      <c r="D61" s="106"/>
      <c r="E61" s="106">
        <f t="shared" si="0"/>
        <v>0</v>
      </c>
      <c r="F61" s="106"/>
      <c r="G61" s="106"/>
      <c r="H61" s="106"/>
      <c r="I61" s="106"/>
      <c r="J61" s="106"/>
      <c r="K61" s="107"/>
      <c r="L61" s="137" t="e">
        <f t="shared" si="3"/>
        <v>#DIV/0!</v>
      </c>
    </row>
    <row r="62" spans="1:12" ht="16.5" hidden="1" customHeight="1" x14ac:dyDescent="0.25">
      <c r="A62" s="83">
        <v>5046</v>
      </c>
      <c r="B62" s="136">
        <v>719600</v>
      </c>
      <c r="C62" s="84" t="s">
        <v>69</v>
      </c>
      <c r="D62" s="106"/>
      <c r="E62" s="106">
        <f t="shared" si="0"/>
        <v>0</v>
      </c>
      <c r="F62" s="106"/>
      <c r="G62" s="106"/>
      <c r="H62" s="106"/>
      <c r="I62" s="106"/>
      <c r="J62" s="106"/>
      <c r="K62" s="107"/>
      <c r="L62" s="137" t="e">
        <f t="shared" si="3"/>
        <v>#DIV/0!</v>
      </c>
    </row>
    <row r="63" spans="1:12" ht="16.5" hidden="1" customHeight="1" x14ac:dyDescent="0.25">
      <c r="A63" s="130">
        <v>5047</v>
      </c>
      <c r="B63" s="131">
        <v>720000</v>
      </c>
      <c r="C63" s="82" t="s">
        <v>70</v>
      </c>
      <c r="D63" s="100">
        <f>D64+D69</f>
        <v>0</v>
      </c>
      <c r="E63" s="100">
        <f t="shared" si="0"/>
        <v>0</v>
      </c>
      <c r="F63" s="100">
        <f t="shared" ref="F63:K63" si="13">F64+F69</f>
        <v>0</v>
      </c>
      <c r="G63" s="100">
        <f t="shared" si="13"/>
        <v>0</v>
      </c>
      <c r="H63" s="100">
        <f t="shared" si="13"/>
        <v>0</v>
      </c>
      <c r="I63" s="100">
        <f t="shared" si="13"/>
        <v>0</v>
      </c>
      <c r="J63" s="100">
        <f t="shared" si="13"/>
        <v>0</v>
      </c>
      <c r="K63" s="101">
        <f t="shared" si="13"/>
        <v>0</v>
      </c>
      <c r="L63" s="137" t="e">
        <f t="shared" si="3"/>
        <v>#DIV/0!</v>
      </c>
    </row>
    <row r="64" spans="1:12" ht="16.5" hidden="1" customHeight="1" x14ac:dyDescent="0.25">
      <c r="A64" s="130">
        <v>5048</v>
      </c>
      <c r="B64" s="131">
        <v>721000</v>
      </c>
      <c r="C64" s="82" t="s">
        <v>71</v>
      </c>
      <c r="D64" s="100">
        <f>SUM(D65:D68)</f>
        <v>0</v>
      </c>
      <c r="E64" s="100">
        <f t="shared" si="0"/>
        <v>0</v>
      </c>
      <c r="F64" s="100">
        <f t="shared" ref="F64:K64" si="14">SUM(F65:F68)</f>
        <v>0</v>
      </c>
      <c r="G64" s="100">
        <f t="shared" si="14"/>
        <v>0</v>
      </c>
      <c r="H64" s="100">
        <f t="shared" si="14"/>
        <v>0</v>
      </c>
      <c r="I64" s="100">
        <f t="shared" si="14"/>
        <v>0</v>
      </c>
      <c r="J64" s="100">
        <f t="shared" si="14"/>
        <v>0</v>
      </c>
      <c r="K64" s="101">
        <f t="shared" si="14"/>
        <v>0</v>
      </c>
      <c r="L64" s="137" t="e">
        <f t="shared" si="3"/>
        <v>#DIV/0!</v>
      </c>
    </row>
    <row r="65" spans="1:12" ht="16.5" hidden="1" customHeight="1" x14ac:dyDescent="0.25">
      <c r="A65" s="83">
        <v>5049</v>
      </c>
      <c r="B65" s="136">
        <v>721100</v>
      </c>
      <c r="C65" s="84" t="s">
        <v>72</v>
      </c>
      <c r="D65" s="108"/>
      <c r="E65" s="109">
        <f t="shared" si="0"/>
        <v>0</v>
      </c>
      <c r="F65" s="108"/>
      <c r="G65" s="108"/>
      <c r="H65" s="108"/>
      <c r="I65" s="108"/>
      <c r="J65" s="108"/>
      <c r="K65" s="110"/>
      <c r="L65" s="137" t="e">
        <f t="shared" si="3"/>
        <v>#DIV/0!</v>
      </c>
    </row>
    <row r="66" spans="1:12" ht="16.5" hidden="1" customHeight="1" x14ac:dyDescent="0.25">
      <c r="A66" s="83">
        <v>5050</v>
      </c>
      <c r="B66" s="136">
        <v>721200</v>
      </c>
      <c r="C66" s="84" t="s">
        <v>73</v>
      </c>
      <c r="D66" s="108"/>
      <c r="E66" s="109">
        <f t="shared" si="0"/>
        <v>0</v>
      </c>
      <c r="F66" s="108"/>
      <c r="G66" s="108"/>
      <c r="H66" s="108"/>
      <c r="I66" s="108"/>
      <c r="J66" s="108"/>
      <c r="K66" s="110"/>
      <c r="L66" s="137" t="e">
        <f t="shared" si="3"/>
        <v>#DIV/0!</v>
      </c>
    </row>
    <row r="67" spans="1:12" ht="16.5" hidden="1" customHeight="1" x14ac:dyDescent="0.25">
      <c r="A67" s="83">
        <v>5051</v>
      </c>
      <c r="B67" s="136">
        <v>721300</v>
      </c>
      <c r="C67" s="84" t="s">
        <v>74</v>
      </c>
      <c r="D67" s="108"/>
      <c r="E67" s="109">
        <f t="shared" si="0"/>
        <v>0</v>
      </c>
      <c r="F67" s="108"/>
      <c r="G67" s="108"/>
      <c r="H67" s="108"/>
      <c r="I67" s="108"/>
      <c r="J67" s="108"/>
      <c r="K67" s="110"/>
      <c r="L67" s="137" t="e">
        <f t="shared" si="3"/>
        <v>#DIV/0!</v>
      </c>
    </row>
    <row r="68" spans="1:12" ht="16.5" hidden="1" customHeight="1" x14ac:dyDescent="0.25">
      <c r="A68" s="83">
        <v>5052</v>
      </c>
      <c r="B68" s="136">
        <v>721400</v>
      </c>
      <c r="C68" s="84" t="s">
        <v>75</v>
      </c>
      <c r="D68" s="108"/>
      <c r="E68" s="109">
        <f t="shared" si="0"/>
        <v>0</v>
      </c>
      <c r="F68" s="108"/>
      <c r="G68" s="108"/>
      <c r="H68" s="108"/>
      <c r="I68" s="108"/>
      <c r="J68" s="108"/>
      <c r="K68" s="110"/>
      <c r="L68" s="137" t="e">
        <f t="shared" si="3"/>
        <v>#DIV/0!</v>
      </c>
    </row>
    <row r="69" spans="1:12" ht="16.5" hidden="1" customHeight="1" x14ac:dyDescent="0.25">
      <c r="A69" s="130">
        <v>5053</v>
      </c>
      <c r="B69" s="131">
        <v>722000</v>
      </c>
      <c r="C69" s="82" t="s">
        <v>76</v>
      </c>
      <c r="D69" s="100">
        <f>SUM(D70:D72)</f>
        <v>0</v>
      </c>
      <c r="E69" s="100">
        <f t="shared" si="0"/>
        <v>0</v>
      </c>
      <c r="F69" s="100">
        <f t="shared" ref="F69:K69" si="15">SUM(F70:F72)</f>
        <v>0</v>
      </c>
      <c r="G69" s="100">
        <f t="shared" si="15"/>
        <v>0</v>
      </c>
      <c r="H69" s="100">
        <f t="shared" si="15"/>
        <v>0</v>
      </c>
      <c r="I69" s="100">
        <f t="shared" si="15"/>
        <v>0</v>
      </c>
      <c r="J69" s="100">
        <f t="shared" si="15"/>
        <v>0</v>
      </c>
      <c r="K69" s="101">
        <f t="shared" si="15"/>
        <v>0</v>
      </c>
      <c r="L69" s="137" t="e">
        <f t="shared" si="3"/>
        <v>#DIV/0!</v>
      </c>
    </row>
    <row r="70" spans="1:12" ht="16.5" hidden="1" customHeight="1" x14ac:dyDescent="0.25">
      <c r="A70" s="83">
        <v>5054</v>
      </c>
      <c r="B70" s="136">
        <v>722100</v>
      </c>
      <c r="C70" s="84" t="s">
        <v>77</v>
      </c>
      <c r="D70" s="108"/>
      <c r="E70" s="109">
        <f t="shared" si="0"/>
        <v>0</v>
      </c>
      <c r="F70" s="108"/>
      <c r="G70" s="108"/>
      <c r="H70" s="108"/>
      <c r="I70" s="108"/>
      <c r="J70" s="108"/>
      <c r="K70" s="110"/>
      <c r="L70" s="137" t="e">
        <f t="shared" si="3"/>
        <v>#DIV/0!</v>
      </c>
    </row>
    <row r="71" spans="1:12" ht="16.5" hidden="1" customHeight="1" x14ac:dyDescent="0.25">
      <c r="A71" s="83">
        <v>5055</v>
      </c>
      <c r="B71" s="136">
        <v>722200</v>
      </c>
      <c r="C71" s="84" t="s">
        <v>78</v>
      </c>
      <c r="D71" s="108"/>
      <c r="E71" s="109">
        <f t="shared" si="0"/>
        <v>0</v>
      </c>
      <c r="F71" s="108"/>
      <c r="G71" s="108"/>
      <c r="H71" s="108"/>
      <c r="I71" s="108"/>
      <c r="J71" s="108"/>
      <c r="K71" s="110"/>
      <c r="L71" s="137" t="e">
        <f t="shared" si="3"/>
        <v>#DIV/0!</v>
      </c>
    </row>
    <row r="72" spans="1:12" ht="16.5" hidden="1" customHeight="1" x14ac:dyDescent="0.25">
      <c r="A72" s="83">
        <v>5056</v>
      </c>
      <c r="B72" s="136">
        <v>722300</v>
      </c>
      <c r="C72" s="84" t="s">
        <v>79</v>
      </c>
      <c r="D72" s="108"/>
      <c r="E72" s="109">
        <f t="shared" si="0"/>
        <v>0</v>
      </c>
      <c r="F72" s="108"/>
      <c r="G72" s="108"/>
      <c r="H72" s="108"/>
      <c r="I72" s="108"/>
      <c r="J72" s="108"/>
      <c r="K72" s="110"/>
      <c r="L72" s="137" t="e">
        <f t="shared" si="3"/>
        <v>#DIV/0!</v>
      </c>
    </row>
    <row r="73" spans="1:12" ht="16.5" hidden="1" customHeight="1" x14ac:dyDescent="0.25">
      <c r="A73" s="583" t="s">
        <v>0</v>
      </c>
      <c r="B73" s="584" t="s">
        <v>1</v>
      </c>
      <c r="C73" s="585" t="s">
        <v>2</v>
      </c>
      <c r="D73" s="575" t="s">
        <v>3</v>
      </c>
      <c r="E73" s="575" t="s">
        <v>4</v>
      </c>
      <c r="F73" s="575"/>
      <c r="G73" s="575"/>
      <c r="H73" s="575"/>
      <c r="I73" s="575"/>
      <c r="J73" s="575"/>
      <c r="K73" s="582"/>
      <c r="L73" s="137" t="e">
        <f t="shared" si="3"/>
        <v>#VALUE!</v>
      </c>
    </row>
    <row r="74" spans="1:12" ht="16.5" hidden="1" customHeight="1" x14ac:dyDescent="0.25">
      <c r="A74" s="583"/>
      <c r="B74" s="584"/>
      <c r="C74" s="585"/>
      <c r="D74" s="575"/>
      <c r="E74" s="581" t="s">
        <v>5</v>
      </c>
      <c r="F74" s="575" t="s">
        <v>6</v>
      </c>
      <c r="G74" s="575"/>
      <c r="H74" s="575"/>
      <c r="I74" s="575"/>
      <c r="J74" s="575" t="s">
        <v>7</v>
      </c>
      <c r="K74" s="582" t="s">
        <v>8</v>
      </c>
      <c r="L74" s="137" t="e">
        <f t="shared" ref="L74:L137" si="16">E74/D74</f>
        <v>#VALUE!</v>
      </c>
    </row>
    <row r="75" spans="1:12" ht="16.5" hidden="1" customHeight="1" x14ac:dyDescent="0.25">
      <c r="A75" s="583"/>
      <c r="B75" s="584"/>
      <c r="C75" s="585"/>
      <c r="D75" s="575"/>
      <c r="E75" s="581"/>
      <c r="F75" s="131" t="s">
        <v>9</v>
      </c>
      <c r="G75" s="131" t="s">
        <v>10</v>
      </c>
      <c r="H75" s="131" t="s">
        <v>11</v>
      </c>
      <c r="I75" s="131" t="s">
        <v>12</v>
      </c>
      <c r="J75" s="575"/>
      <c r="K75" s="582"/>
      <c r="L75" s="137" t="e">
        <f t="shared" si="16"/>
        <v>#DIV/0!</v>
      </c>
    </row>
    <row r="76" spans="1:12" ht="16.5" hidden="1" customHeight="1" x14ac:dyDescent="0.25">
      <c r="A76" s="85" t="s">
        <v>18</v>
      </c>
      <c r="B76" s="133" t="s">
        <v>19</v>
      </c>
      <c r="C76" s="133" t="s">
        <v>20</v>
      </c>
      <c r="D76" s="86" t="s">
        <v>21</v>
      </c>
      <c r="E76" s="86" t="s">
        <v>22</v>
      </c>
      <c r="F76" s="86" t="s">
        <v>23</v>
      </c>
      <c r="G76" s="86" t="s">
        <v>24</v>
      </c>
      <c r="H76" s="86" t="s">
        <v>25</v>
      </c>
      <c r="I76" s="86" t="s">
        <v>26</v>
      </c>
      <c r="J76" s="86" t="s">
        <v>27</v>
      </c>
      <c r="K76" s="98" t="s">
        <v>28</v>
      </c>
      <c r="L76" s="137">
        <f t="shared" si="16"/>
        <v>1.25</v>
      </c>
    </row>
    <row r="77" spans="1:12" ht="16.5" hidden="1" customHeight="1" x14ac:dyDescent="0.25">
      <c r="A77" s="130">
        <v>5057</v>
      </c>
      <c r="B77" s="131">
        <v>730000</v>
      </c>
      <c r="C77" s="82" t="s">
        <v>80</v>
      </c>
      <c r="D77" s="100">
        <f>D78+D81+D86</f>
        <v>0</v>
      </c>
      <c r="E77" s="100">
        <f t="shared" ref="E77:E86" si="17">SUM(F77:K77)</f>
        <v>0</v>
      </c>
      <c r="F77" s="100">
        <f t="shared" ref="F77:K77" si="18">F78+F81+F86</f>
        <v>0</v>
      </c>
      <c r="G77" s="100">
        <f t="shared" si="18"/>
        <v>0</v>
      </c>
      <c r="H77" s="100">
        <f t="shared" si="18"/>
        <v>0</v>
      </c>
      <c r="I77" s="100">
        <f t="shared" si="18"/>
        <v>0</v>
      </c>
      <c r="J77" s="100">
        <f t="shared" si="18"/>
        <v>0</v>
      </c>
      <c r="K77" s="101">
        <f t="shared" si="18"/>
        <v>0</v>
      </c>
      <c r="L77" s="137" t="e">
        <f t="shared" si="16"/>
        <v>#DIV/0!</v>
      </c>
    </row>
    <row r="78" spans="1:12" ht="16.5" hidden="1" customHeight="1" x14ac:dyDescent="0.25">
      <c r="A78" s="130">
        <v>5058</v>
      </c>
      <c r="B78" s="131">
        <v>731000</v>
      </c>
      <c r="C78" s="82" t="s">
        <v>81</v>
      </c>
      <c r="D78" s="100">
        <f>D79+D80</f>
        <v>0</v>
      </c>
      <c r="E78" s="100">
        <f t="shared" si="17"/>
        <v>0</v>
      </c>
      <c r="F78" s="100">
        <f t="shared" ref="F78:K78" si="19">F79+F80</f>
        <v>0</v>
      </c>
      <c r="G78" s="100">
        <f t="shared" si="19"/>
        <v>0</v>
      </c>
      <c r="H78" s="100">
        <f t="shared" si="19"/>
        <v>0</v>
      </c>
      <c r="I78" s="100">
        <f t="shared" si="19"/>
        <v>0</v>
      </c>
      <c r="J78" s="100">
        <f t="shared" si="19"/>
        <v>0</v>
      </c>
      <c r="K78" s="101">
        <f t="shared" si="19"/>
        <v>0</v>
      </c>
      <c r="L78" s="137" t="e">
        <f t="shared" si="16"/>
        <v>#DIV/0!</v>
      </c>
    </row>
    <row r="79" spans="1:12" ht="16.5" hidden="1" customHeight="1" x14ac:dyDescent="0.25">
      <c r="A79" s="83">
        <v>5059</v>
      </c>
      <c r="B79" s="136">
        <v>731100</v>
      </c>
      <c r="C79" s="84" t="s">
        <v>82</v>
      </c>
      <c r="D79" s="108"/>
      <c r="E79" s="109">
        <f t="shared" si="17"/>
        <v>0</v>
      </c>
      <c r="F79" s="108"/>
      <c r="G79" s="108"/>
      <c r="H79" s="108"/>
      <c r="I79" s="108"/>
      <c r="J79" s="108"/>
      <c r="K79" s="110"/>
      <c r="L79" s="137" t="e">
        <f t="shared" si="16"/>
        <v>#DIV/0!</v>
      </c>
    </row>
    <row r="80" spans="1:12" ht="16.5" hidden="1" customHeight="1" x14ac:dyDescent="0.25">
      <c r="A80" s="83">
        <v>5060</v>
      </c>
      <c r="B80" s="136">
        <v>731200</v>
      </c>
      <c r="C80" s="84" t="s">
        <v>83</v>
      </c>
      <c r="D80" s="108"/>
      <c r="E80" s="109">
        <f t="shared" si="17"/>
        <v>0</v>
      </c>
      <c r="F80" s="108"/>
      <c r="G80" s="108"/>
      <c r="H80" s="108"/>
      <c r="I80" s="108"/>
      <c r="J80" s="108"/>
      <c r="K80" s="110"/>
      <c r="L80" s="137" t="e">
        <f t="shared" si="16"/>
        <v>#DIV/0!</v>
      </c>
    </row>
    <row r="81" spans="1:12" ht="16.5" hidden="1" customHeight="1" x14ac:dyDescent="0.25">
      <c r="A81" s="130">
        <v>5061</v>
      </c>
      <c r="B81" s="131">
        <v>732000</v>
      </c>
      <c r="C81" s="82" t="s">
        <v>84</v>
      </c>
      <c r="D81" s="100">
        <f>D82+D83+D84+D85</f>
        <v>0</v>
      </c>
      <c r="E81" s="100">
        <f t="shared" si="17"/>
        <v>0</v>
      </c>
      <c r="F81" s="100">
        <f t="shared" ref="F81:K81" si="20">F82+F83+F84+F85</f>
        <v>0</v>
      </c>
      <c r="G81" s="100">
        <f t="shared" si="20"/>
        <v>0</v>
      </c>
      <c r="H81" s="100">
        <f t="shared" si="20"/>
        <v>0</v>
      </c>
      <c r="I81" s="100">
        <f t="shared" si="20"/>
        <v>0</v>
      </c>
      <c r="J81" s="100">
        <f t="shared" si="20"/>
        <v>0</v>
      </c>
      <c r="K81" s="101">
        <f t="shared" si="20"/>
        <v>0</v>
      </c>
      <c r="L81" s="137" t="e">
        <f t="shared" si="16"/>
        <v>#DIV/0!</v>
      </c>
    </row>
    <row r="82" spans="1:12" ht="16.5" hidden="1" customHeight="1" x14ac:dyDescent="0.25">
      <c r="A82" s="83">
        <v>5062</v>
      </c>
      <c r="B82" s="136">
        <v>732100</v>
      </c>
      <c r="C82" s="84" t="s">
        <v>85</v>
      </c>
      <c r="D82" s="108"/>
      <c r="E82" s="109">
        <f t="shared" si="17"/>
        <v>0</v>
      </c>
      <c r="F82" s="108"/>
      <c r="G82" s="108"/>
      <c r="H82" s="108"/>
      <c r="I82" s="108"/>
      <c r="J82" s="108"/>
      <c r="K82" s="110"/>
      <c r="L82" s="137" t="e">
        <f t="shared" si="16"/>
        <v>#DIV/0!</v>
      </c>
    </row>
    <row r="83" spans="1:12" ht="16.5" hidden="1" customHeight="1" x14ac:dyDescent="0.25">
      <c r="A83" s="83">
        <v>5063</v>
      </c>
      <c r="B83" s="136">
        <v>732200</v>
      </c>
      <c r="C83" s="84" t="s">
        <v>86</v>
      </c>
      <c r="D83" s="108"/>
      <c r="E83" s="109">
        <f t="shared" si="17"/>
        <v>0</v>
      </c>
      <c r="F83" s="108"/>
      <c r="G83" s="108"/>
      <c r="H83" s="108"/>
      <c r="I83" s="108"/>
      <c r="J83" s="108"/>
      <c r="K83" s="110"/>
      <c r="L83" s="137" t="e">
        <f t="shared" si="16"/>
        <v>#DIV/0!</v>
      </c>
    </row>
    <row r="84" spans="1:12" ht="16.5" hidden="1" customHeight="1" x14ac:dyDescent="0.25">
      <c r="A84" s="83">
        <v>5064</v>
      </c>
      <c r="B84" s="136">
        <v>732300</v>
      </c>
      <c r="C84" s="84" t="s">
        <v>87</v>
      </c>
      <c r="D84" s="108"/>
      <c r="E84" s="109">
        <f t="shared" si="17"/>
        <v>0</v>
      </c>
      <c r="F84" s="108"/>
      <c r="G84" s="108"/>
      <c r="H84" s="108"/>
      <c r="I84" s="108"/>
      <c r="J84" s="108"/>
      <c r="K84" s="110"/>
      <c r="L84" s="137" t="e">
        <f t="shared" si="16"/>
        <v>#DIV/0!</v>
      </c>
    </row>
    <row r="85" spans="1:12" ht="16.5" hidden="1" customHeight="1" x14ac:dyDescent="0.25">
      <c r="A85" s="83">
        <v>5065</v>
      </c>
      <c r="B85" s="136">
        <v>732400</v>
      </c>
      <c r="C85" s="84" t="s">
        <v>88</v>
      </c>
      <c r="D85" s="108"/>
      <c r="E85" s="109">
        <f t="shared" si="17"/>
        <v>0</v>
      </c>
      <c r="F85" s="108"/>
      <c r="G85" s="108"/>
      <c r="H85" s="108"/>
      <c r="I85" s="108"/>
      <c r="J85" s="108"/>
      <c r="K85" s="110"/>
      <c r="L85" s="137" t="e">
        <f t="shared" si="16"/>
        <v>#DIV/0!</v>
      </c>
    </row>
    <row r="86" spans="1:12" ht="16.5" hidden="1" customHeight="1" x14ac:dyDescent="0.25">
      <c r="A86" s="130">
        <v>5066</v>
      </c>
      <c r="B86" s="131">
        <v>733000</v>
      </c>
      <c r="C86" s="82" t="s">
        <v>89</v>
      </c>
      <c r="D86" s="100">
        <f>D87+D88</f>
        <v>0</v>
      </c>
      <c r="E86" s="100">
        <f t="shared" si="17"/>
        <v>0</v>
      </c>
      <c r="F86" s="100">
        <f t="shared" ref="F86:K86" si="21">F87+F88</f>
        <v>0</v>
      </c>
      <c r="G86" s="100">
        <f t="shared" si="21"/>
        <v>0</v>
      </c>
      <c r="H86" s="100">
        <f t="shared" si="21"/>
        <v>0</v>
      </c>
      <c r="I86" s="100">
        <f t="shared" si="21"/>
        <v>0</v>
      </c>
      <c r="J86" s="100">
        <f t="shared" si="21"/>
        <v>0</v>
      </c>
      <c r="K86" s="101">
        <f t="shared" si="21"/>
        <v>0</v>
      </c>
      <c r="L86" s="137" t="e">
        <f t="shared" si="16"/>
        <v>#DIV/0!</v>
      </c>
    </row>
    <row r="87" spans="1:12" ht="16.5" hidden="1" customHeight="1" x14ac:dyDescent="0.25">
      <c r="A87" s="83">
        <v>5067</v>
      </c>
      <c r="B87" s="136">
        <v>733100</v>
      </c>
      <c r="C87" s="84" t="s">
        <v>90</v>
      </c>
      <c r="D87" s="108"/>
      <c r="E87" s="109">
        <f t="shared" ref="E87:E122" si="22">SUM(F87:K87)</f>
        <v>0</v>
      </c>
      <c r="F87" s="108"/>
      <c r="G87" s="108"/>
      <c r="H87" s="108"/>
      <c r="I87" s="108"/>
      <c r="J87" s="108"/>
      <c r="K87" s="110"/>
      <c r="L87" s="137" t="e">
        <f t="shared" si="16"/>
        <v>#DIV/0!</v>
      </c>
    </row>
    <row r="88" spans="1:12" ht="16.5" hidden="1" customHeight="1" x14ac:dyDescent="0.25">
      <c r="A88" s="83">
        <v>5068</v>
      </c>
      <c r="B88" s="136">
        <v>733200</v>
      </c>
      <c r="C88" s="84" t="s">
        <v>91</v>
      </c>
      <c r="D88" s="108"/>
      <c r="E88" s="109">
        <f t="shared" si="22"/>
        <v>0</v>
      </c>
      <c r="F88" s="108"/>
      <c r="G88" s="108"/>
      <c r="H88" s="108"/>
      <c r="I88" s="108"/>
      <c r="J88" s="108"/>
      <c r="K88" s="110"/>
      <c r="L88" s="137" t="e">
        <f t="shared" si="16"/>
        <v>#DIV/0!</v>
      </c>
    </row>
    <row r="89" spans="1:12" ht="12.75" customHeight="1" x14ac:dyDescent="0.25">
      <c r="A89" s="130">
        <v>5069</v>
      </c>
      <c r="B89" s="131">
        <v>740000</v>
      </c>
      <c r="C89" s="82" t="s">
        <v>92</v>
      </c>
      <c r="D89" s="100">
        <f>D90+D97+D102+D113+D116</f>
        <v>14931</v>
      </c>
      <c r="E89" s="100">
        <f t="shared" si="22"/>
        <v>2829</v>
      </c>
      <c r="F89" s="100">
        <f t="shared" ref="F89:K89" si="23">F90+F97+F102+F113+F116</f>
        <v>0</v>
      </c>
      <c r="G89" s="100">
        <f t="shared" si="23"/>
        <v>0</v>
      </c>
      <c r="H89" s="100">
        <f t="shared" si="23"/>
        <v>0</v>
      </c>
      <c r="I89" s="100">
        <f t="shared" si="23"/>
        <v>0</v>
      </c>
      <c r="J89" s="100">
        <f t="shared" si="23"/>
        <v>0</v>
      </c>
      <c r="K89" s="101">
        <f t="shared" si="23"/>
        <v>2829</v>
      </c>
      <c r="L89" s="137">
        <f t="shared" si="16"/>
        <v>0.18947156921840466</v>
      </c>
    </row>
    <row r="90" spans="1:12" ht="12.75" customHeight="1" x14ac:dyDescent="0.25">
      <c r="A90" s="130">
        <v>5070</v>
      </c>
      <c r="B90" s="131">
        <v>741000</v>
      </c>
      <c r="C90" s="82" t="s">
        <v>93</v>
      </c>
      <c r="D90" s="100">
        <f>SUM(D91:D96)</f>
        <v>1131</v>
      </c>
      <c r="E90" s="100">
        <f t="shared" si="22"/>
        <v>0</v>
      </c>
      <c r="F90" s="100">
        <f t="shared" ref="F90:K90" si="24">SUM(F91:F96)</f>
        <v>0</v>
      </c>
      <c r="G90" s="100">
        <f t="shared" si="24"/>
        <v>0</v>
      </c>
      <c r="H90" s="100">
        <f t="shared" si="24"/>
        <v>0</v>
      </c>
      <c r="I90" s="100">
        <f t="shared" si="24"/>
        <v>0</v>
      </c>
      <c r="J90" s="100">
        <f t="shared" si="24"/>
        <v>0</v>
      </c>
      <c r="K90" s="101">
        <f t="shared" si="24"/>
        <v>0</v>
      </c>
      <c r="L90" s="137">
        <f t="shared" si="16"/>
        <v>0</v>
      </c>
    </row>
    <row r="91" spans="1:12" ht="16.5" hidden="1" customHeight="1" x14ac:dyDescent="0.25">
      <c r="A91" s="83">
        <v>5071</v>
      </c>
      <c r="B91" s="136">
        <v>741100</v>
      </c>
      <c r="C91" s="84" t="s">
        <v>94</v>
      </c>
      <c r="D91" s="108"/>
      <c r="E91" s="109">
        <f t="shared" si="22"/>
        <v>0</v>
      </c>
      <c r="F91" s="108"/>
      <c r="G91" s="108"/>
      <c r="H91" s="108"/>
      <c r="I91" s="108"/>
      <c r="J91" s="108"/>
      <c r="K91" s="110"/>
      <c r="L91" s="137" t="e">
        <f t="shared" si="16"/>
        <v>#DIV/0!</v>
      </c>
    </row>
    <row r="92" spans="1:12" ht="16.5" hidden="1" customHeight="1" x14ac:dyDescent="0.25">
      <c r="A92" s="83">
        <v>5072</v>
      </c>
      <c r="B92" s="136">
        <v>741200</v>
      </c>
      <c r="C92" s="84" t="s">
        <v>95</v>
      </c>
      <c r="D92" s="108"/>
      <c r="E92" s="109">
        <f t="shared" si="22"/>
        <v>0</v>
      </c>
      <c r="F92" s="108"/>
      <c r="G92" s="108"/>
      <c r="H92" s="108"/>
      <c r="I92" s="108"/>
      <c r="J92" s="108"/>
      <c r="K92" s="110"/>
      <c r="L92" s="137" t="e">
        <f t="shared" si="16"/>
        <v>#DIV/0!</v>
      </c>
    </row>
    <row r="93" spans="1:12" ht="16.5" hidden="1" customHeight="1" x14ac:dyDescent="0.25">
      <c r="A93" s="83">
        <v>5073</v>
      </c>
      <c r="B93" s="136">
        <v>741300</v>
      </c>
      <c r="C93" s="84" t="s">
        <v>96</v>
      </c>
      <c r="D93" s="108"/>
      <c r="E93" s="109">
        <f t="shared" si="22"/>
        <v>0</v>
      </c>
      <c r="F93" s="108"/>
      <c r="G93" s="108"/>
      <c r="H93" s="108"/>
      <c r="I93" s="108"/>
      <c r="J93" s="108"/>
      <c r="K93" s="110"/>
      <c r="L93" s="137" t="e">
        <f t="shared" si="16"/>
        <v>#DIV/0!</v>
      </c>
    </row>
    <row r="94" spans="1:12" ht="12.75" customHeight="1" x14ac:dyDescent="0.25">
      <c r="A94" s="83">
        <v>5074</v>
      </c>
      <c r="B94" s="136">
        <v>741400</v>
      </c>
      <c r="C94" s="84" t="s">
        <v>97</v>
      </c>
      <c r="D94" s="111">
        <v>1131</v>
      </c>
      <c r="E94" s="109">
        <f t="shared" si="22"/>
        <v>0</v>
      </c>
      <c r="F94" s="111"/>
      <c r="G94" s="111"/>
      <c r="H94" s="111"/>
      <c r="I94" s="111"/>
      <c r="J94" s="111"/>
      <c r="K94" s="112"/>
      <c r="L94" s="137">
        <f t="shared" si="16"/>
        <v>0</v>
      </c>
    </row>
    <row r="95" spans="1:12" ht="16.5" hidden="1" customHeight="1" x14ac:dyDescent="0.25">
      <c r="A95" s="83">
        <v>5075</v>
      </c>
      <c r="B95" s="136">
        <v>741500</v>
      </c>
      <c r="C95" s="84" t="s">
        <v>98</v>
      </c>
      <c r="D95" s="108"/>
      <c r="E95" s="109">
        <f t="shared" si="22"/>
        <v>0</v>
      </c>
      <c r="F95" s="108"/>
      <c r="G95" s="108"/>
      <c r="H95" s="108"/>
      <c r="I95" s="108"/>
      <c r="J95" s="108"/>
      <c r="K95" s="110"/>
      <c r="L95" s="137" t="e">
        <f t="shared" si="16"/>
        <v>#DIV/0!</v>
      </c>
    </row>
    <row r="96" spans="1:12" ht="16.5" hidden="1" customHeight="1" x14ac:dyDescent="0.25">
      <c r="A96" s="83">
        <v>5076</v>
      </c>
      <c r="B96" s="136">
        <v>741600</v>
      </c>
      <c r="C96" s="84" t="s">
        <v>99</v>
      </c>
      <c r="D96" s="108"/>
      <c r="E96" s="109">
        <f t="shared" si="22"/>
        <v>0</v>
      </c>
      <c r="F96" s="108"/>
      <c r="G96" s="108"/>
      <c r="H96" s="108"/>
      <c r="I96" s="108"/>
      <c r="J96" s="108"/>
      <c r="K96" s="110"/>
      <c r="L96" s="137" t="e">
        <f t="shared" si="16"/>
        <v>#DIV/0!</v>
      </c>
    </row>
    <row r="97" spans="1:12" ht="12.75" customHeight="1" x14ac:dyDescent="0.25">
      <c r="A97" s="130">
        <v>5077</v>
      </c>
      <c r="B97" s="131">
        <v>742000</v>
      </c>
      <c r="C97" s="82" t="s">
        <v>100</v>
      </c>
      <c r="D97" s="100">
        <f>SUM(D98:D101)</f>
        <v>13700</v>
      </c>
      <c r="E97" s="100">
        <f t="shared" si="22"/>
        <v>2729</v>
      </c>
      <c r="F97" s="100">
        <f t="shared" ref="F97:K97" si="25">SUM(F98:F101)</f>
        <v>0</v>
      </c>
      <c r="G97" s="100">
        <f t="shared" si="25"/>
        <v>0</v>
      </c>
      <c r="H97" s="100">
        <f t="shared" si="25"/>
        <v>0</v>
      </c>
      <c r="I97" s="100">
        <f t="shared" si="25"/>
        <v>0</v>
      </c>
      <c r="J97" s="100">
        <f t="shared" si="25"/>
        <v>0</v>
      </c>
      <c r="K97" s="101">
        <f t="shared" si="25"/>
        <v>2729</v>
      </c>
      <c r="L97" s="137">
        <f t="shared" si="16"/>
        <v>0.19919708029197081</v>
      </c>
    </row>
    <row r="98" spans="1:12" ht="12.75" customHeight="1" x14ac:dyDescent="0.25">
      <c r="A98" s="83">
        <v>5078</v>
      </c>
      <c r="B98" s="136">
        <v>742100</v>
      </c>
      <c r="C98" s="84" t="s">
        <v>101</v>
      </c>
      <c r="D98" s="108">
        <v>5000</v>
      </c>
      <c r="E98" s="109">
        <f t="shared" si="22"/>
        <v>1243</v>
      </c>
      <c r="F98" s="108"/>
      <c r="G98" s="108"/>
      <c r="H98" s="108"/>
      <c r="I98" s="108"/>
      <c r="J98" s="108"/>
      <c r="K98" s="110">
        <v>1243</v>
      </c>
      <c r="L98" s="137">
        <f t="shared" si="16"/>
        <v>0.24859999999999999</v>
      </c>
    </row>
    <row r="99" spans="1:12" ht="16.5" hidden="1" customHeight="1" x14ac:dyDescent="0.25">
      <c r="A99" s="83">
        <v>5079</v>
      </c>
      <c r="B99" s="136">
        <v>742200</v>
      </c>
      <c r="C99" s="84" t="s">
        <v>102</v>
      </c>
      <c r="D99" s="108"/>
      <c r="E99" s="109">
        <f t="shared" si="22"/>
        <v>0</v>
      </c>
      <c r="F99" s="108"/>
      <c r="G99" s="108"/>
      <c r="H99" s="108"/>
      <c r="I99" s="108"/>
      <c r="J99" s="108"/>
      <c r="K99" s="110"/>
      <c r="L99" s="137" t="e">
        <f t="shared" si="16"/>
        <v>#DIV/0!</v>
      </c>
    </row>
    <row r="100" spans="1:12" ht="15.75" customHeight="1" x14ac:dyDescent="0.25">
      <c r="A100" s="83">
        <v>5080</v>
      </c>
      <c r="B100" s="136">
        <v>742300</v>
      </c>
      <c r="C100" s="84" t="s">
        <v>103</v>
      </c>
      <c r="D100" s="108">
        <v>8700</v>
      </c>
      <c r="E100" s="109">
        <f t="shared" si="22"/>
        <v>1486</v>
      </c>
      <c r="F100" s="108"/>
      <c r="G100" s="108"/>
      <c r="H100" s="108"/>
      <c r="I100" s="108"/>
      <c r="J100" s="108"/>
      <c r="K100" s="110">
        <v>1486</v>
      </c>
      <c r="L100" s="137">
        <f t="shared" si="16"/>
        <v>0.17080459770114942</v>
      </c>
    </row>
    <row r="101" spans="1:12" ht="16.5" hidden="1" customHeight="1" x14ac:dyDescent="0.25">
      <c r="A101" s="83">
        <v>5081</v>
      </c>
      <c r="B101" s="136">
        <v>742400</v>
      </c>
      <c r="C101" s="84" t="s">
        <v>104</v>
      </c>
      <c r="D101" s="108"/>
      <c r="E101" s="109">
        <f t="shared" si="22"/>
        <v>0</v>
      </c>
      <c r="F101" s="108"/>
      <c r="G101" s="108"/>
      <c r="H101" s="108"/>
      <c r="I101" s="108"/>
      <c r="J101" s="108"/>
      <c r="K101" s="110"/>
      <c r="L101" s="137" t="e">
        <f t="shared" si="16"/>
        <v>#DIV/0!</v>
      </c>
    </row>
    <row r="102" spans="1:12" ht="16.5" hidden="1" customHeight="1" x14ac:dyDescent="0.25">
      <c r="A102" s="130">
        <v>5082</v>
      </c>
      <c r="B102" s="131">
        <v>743000</v>
      </c>
      <c r="C102" s="82" t="s">
        <v>105</v>
      </c>
      <c r="D102" s="100">
        <f>SUM(D107:D112)</f>
        <v>0</v>
      </c>
      <c r="E102" s="100">
        <f t="shared" si="22"/>
        <v>0</v>
      </c>
      <c r="F102" s="100">
        <f t="shared" ref="F102:K102" si="26">SUM(F107:F112)</f>
        <v>0</v>
      </c>
      <c r="G102" s="100">
        <f t="shared" si="26"/>
        <v>0</v>
      </c>
      <c r="H102" s="100">
        <f t="shared" si="26"/>
        <v>0</v>
      </c>
      <c r="I102" s="100">
        <f t="shared" si="26"/>
        <v>0</v>
      </c>
      <c r="J102" s="100">
        <f t="shared" si="26"/>
        <v>0</v>
      </c>
      <c r="K102" s="101">
        <f t="shared" si="26"/>
        <v>0</v>
      </c>
      <c r="L102" s="137" t="e">
        <f t="shared" si="16"/>
        <v>#DIV/0!</v>
      </c>
    </row>
    <row r="103" spans="1:12" ht="16.5" hidden="1" customHeight="1" x14ac:dyDescent="0.25">
      <c r="A103" s="583" t="s">
        <v>0</v>
      </c>
      <c r="B103" s="584" t="s">
        <v>1</v>
      </c>
      <c r="C103" s="585" t="s">
        <v>2</v>
      </c>
      <c r="D103" s="575" t="s">
        <v>3</v>
      </c>
      <c r="E103" s="575" t="s">
        <v>4</v>
      </c>
      <c r="F103" s="575"/>
      <c r="G103" s="575"/>
      <c r="H103" s="575"/>
      <c r="I103" s="575"/>
      <c r="J103" s="575"/>
      <c r="K103" s="582"/>
      <c r="L103" s="137" t="e">
        <f t="shared" si="16"/>
        <v>#VALUE!</v>
      </c>
    </row>
    <row r="104" spans="1:12" ht="16.5" hidden="1" customHeight="1" x14ac:dyDescent="0.25">
      <c r="A104" s="583"/>
      <c r="B104" s="584"/>
      <c r="C104" s="585"/>
      <c r="D104" s="575"/>
      <c r="E104" s="581" t="s">
        <v>5</v>
      </c>
      <c r="F104" s="575" t="s">
        <v>6</v>
      </c>
      <c r="G104" s="575"/>
      <c r="H104" s="575"/>
      <c r="I104" s="575"/>
      <c r="J104" s="575" t="s">
        <v>7</v>
      </c>
      <c r="K104" s="582" t="s">
        <v>8</v>
      </c>
      <c r="L104" s="137" t="e">
        <f t="shared" si="16"/>
        <v>#VALUE!</v>
      </c>
    </row>
    <row r="105" spans="1:12" ht="16.5" hidden="1" customHeight="1" x14ac:dyDescent="0.25">
      <c r="A105" s="583"/>
      <c r="B105" s="584"/>
      <c r="C105" s="585"/>
      <c r="D105" s="575"/>
      <c r="E105" s="581"/>
      <c r="F105" s="131" t="s">
        <v>9</v>
      </c>
      <c r="G105" s="131" t="s">
        <v>10</v>
      </c>
      <c r="H105" s="131" t="s">
        <v>11</v>
      </c>
      <c r="I105" s="131" t="s">
        <v>12</v>
      </c>
      <c r="J105" s="575"/>
      <c r="K105" s="582"/>
      <c r="L105" s="137" t="e">
        <f t="shared" si="16"/>
        <v>#DIV/0!</v>
      </c>
    </row>
    <row r="106" spans="1:12" ht="16.5" hidden="1" customHeight="1" x14ac:dyDescent="0.25">
      <c r="A106" s="85" t="s">
        <v>18</v>
      </c>
      <c r="B106" s="133" t="s">
        <v>19</v>
      </c>
      <c r="C106" s="133" t="s">
        <v>20</v>
      </c>
      <c r="D106" s="86" t="s">
        <v>21</v>
      </c>
      <c r="E106" s="86" t="s">
        <v>22</v>
      </c>
      <c r="F106" s="86" t="s">
        <v>23</v>
      </c>
      <c r="G106" s="86" t="s">
        <v>24</v>
      </c>
      <c r="H106" s="86" t="s">
        <v>25</v>
      </c>
      <c r="I106" s="86" t="s">
        <v>26</v>
      </c>
      <c r="J106" s="86" t="s">
        <v>27</v>
      </c>
      <c r="K106" s="98" t="s">
        <v>28</v>
      </c>
      <c r="L106" s="137">
        <f t="shared" si="16"/>
        <v>1.25</v>
      </c>
    </row>
    <row r="107" spans="1:12" ht="16.5" hidden="1" customHeight="1" x14ac:dyDescent="0.25">
      <c r="A107" s="83">
        <v>5083</v>
      </c>
      <c r="B107" s="136">
        <v>743100</v>
      </c>
      <c r="C107" s="84" t="s">
        <v>106</v>
      </c>
      <c r="D107" s="108"/>
      <c r="E107" s="109">
        <f t="shared" si="22"/>
        <v>0</v>
      </c>
      <c r="F107" s="108"/>
      <c r="G107" s="108"/>
      <c r="H107" s="108"/>
      <c r="I107" s="108"/>
      <c r="J107" s="108"/>
      <c r="K107" s="110"/>
      <c r="L107" s="137" t="e">
        <f t="shared" si="16"/>
        <v>#DIV/0!</v>
      </c>
    </row>
    <row r="108" spans="1:12" ht="16.5" hidden="1" customHeight="1" x14ac:dyDescent="0.25">
      <c r="A108" s="83">
        <v>5084</v>
      </c>
      <c r="B108" s="136">
        <v>743200</v>
      </c>
      <c r="C108" s="84" t="s">
        <v>107</v>
      </c>
      <c r="D108" s="108"/>
      <c r="E108" s="109">
        <f t="shared" si="22"/>
        <v>0</v>
      </c>
      <c r="F108" s="108"/>
      <c r="G108" s="108"/>
      <c r="H108" s="108"/>
      <c r="I108" s="108"/>
      <c r="J108" s="108"/>
      <c r="K108" s="110"/>
      <c r="L108" s="137" t="e">
        <f t="shared" si="16"/>
        <v>#DIV/0!</v>
      </c>
    </row>
    <row r="109" spans="1:12" ht="16.5" hidden="1" customHeight="1" x14ac:dyDescent="0.25">
      <c r="A109" s="83">
        <v>5085</v>
      </c>
      <c r="B109" s="136">
        <v>743300</v>
      </c>
      <c r="C109" s="84" t="s">
        <v>108</v>
      </c>
      <c r="D109" s="108"/>
      <c r="E109" s="109">
        <f t="shared" si="22"/>
        <v>0</v>
      </c>
      <c r="F109" s="108"/>
      <c r="G109" s="108"/>
      <c r="H109" s="108"/>
      <c r="I109" s="108"/>
      <c r="J109" s="108"/>
      <c r="K109" s="110"/>
      <c r="L109" s="137" t="e">
        <f t="shared" si="16"/>
        <v>#DIV/0!</v>
      </c>
    </row>
    <row r="110" spans="1:12" ht="16.5" hidden="1" customHeight="1" x14ac:dyDescent="0.25">
      <c r="A110" s="83">
        <v>5086</v>
      </c>
      <c r="B110" s="136">
        <v>743400</v>
      </c>
      <c r="C110" s="84" t="s">
        <v>109</v>
      </c>
      <c r="D110" s="108"/>
      <c r="E110" s="109">
        <f t="shared" si="22"/>
        <v>0</v>
      </c>
      <c r="F110" s="108"/>
      <c r="G110" s="108"/>
      <c r="H110" s="108"/>
      <c r="I110" s="108"/>
      <c r="J110" s="108"/>
      <c r="K110" s="110"/>
      <c r="L110" s="137" t="e">
        <f t="shared" si="16"/>
        <v>#DIV/0!</v>
      </c>
    </row>
    <row r="111" spans="1:12" ht="16.5" hidden="1" customHeight="1" x14ac:dyDescent="0.25">
      <c r="A111" s="83">
        <v>5087</v>
      </c>
      <c r="B111" s="136">
        <v>743500</v>
      </c>
      <c r="C111" s="84" t="s">
        <v>110</v>
      </c>
      <c r="D111" s="108"/>
      <c r="E111" s="109">
        <f t="shared" si="22"/>
        <v>0</v>
      </c>
      <c r="F111" s="108"/>
      <c r="G111" s="108"/>
      <c r="H111" s="108"/>
      <c r="I111" s="108"/>
      <c r="J111" s="108"/>
      <c r="K111" s="110"/>
      <c r="L111" s="137" t="e">
        <f t="shared" si="16"/>
        <v>#DIV/0!</v>
      </c>
    </row>
    <row r="112" spans="1:12" ht="1.5" hidden="1" customHeight="1" x14ac:dyDescent="0.25">
      <c r="A112" s="83">
        <v>5088</v>
      </c>
      <c r="B112" s="136">
        <v>743900</v>
      </c>
      <c r="C112" s="84" t="s">
        <v>111</v>
      </c>
      <c r="D112" s="108"/>
      <c r="E112" s="109">
        <f t="shared" si="22"/>
        <v>0</v>
      </c>
      <c r="F112" s="108"/>
      <c r="G112" s="108"/>
      <c r="H112" s="108"/>
      <c r="I112" s="108"/>
      <c r="J112" s="108"/>
      <c r="K112" s="110"/>
      <c r="L112" s="137" t="e">
        <f t="shared" si="16"/>
        <v>#DIV/0!</v>
      </c>
    </row>
    <row r="113" spans="1:12" ht="12.75" customHeight="1" x14ac:dyDescent="0.25">
      <c r="A113" s="130">
        <v>5089</v>
      </c>
      <c r="B113" s="131">
        <v>744000</v>
      </c>
      <c r="C113" s="82" t="s">
        <v>533</v>
      </c>
      <c r="D113" s="100">
        <f>D114+D115</f>
        <v>100</v>
      </c>
      <c r="E113" s="100">
        <f t="shared" si="22"/>
        <v>100</v>
      </c>
      <c r="F113" s="100">
        <f t="shared" ref="F113:K113" si="27">F114+F115</f>
        <v>0</v>
      </c>
      <c r="G113" s="100">
        <f t="shared" si="27"/>
        <v>0</v>
      </c>
      <c r="H113" s="100">
        <f t="shared" si="27"/>
        <v>0</v>
      </c>
      <c r="I113" s="100">
        <f t="shared" si="27"/>
        <v>0</v>
      </c>
      <c r="J113" s="100">
        <f t="shared" si="27"/>
        <v>0</v>
      </c>
      <c r="K113" s="101">
        <f t="shared" si="27"/>
        <v>100</v>
      </c>
      <c r="L113" s="137">
        <f t="shared" si="16"/>
        <v>1</v>
      </c>
    </row>
    <row r="114" spans="1:12" ht="12.75" customHeight="1" x14ac:dyDescent="0.25">
      <c r="A114" s="83">
        <v>5090</v>
      </c>
      <c r="B114" s="136">
        <v>744100</v>
      </c>
      <c r="C114" s="84" t="s">
        <v>113</v>
      </c>
      <c r="D114" s="108">
        <v>100</v>
      </c>
      <c r="E114" s="109">
        <f t="shared" si="22"/>
        <v>100</v>
      </c>
      <c r="F114" s="108"/>
      <c r="G114" s="108"/>
      <c r="H114" s="108"/>
      <c r="I114" s="108"/>
      <c r="J114" s="108"/>
      <c r="K114" s="110">
        <v>100</v>
      </c>
      <c r="L114" s="137">
        <f t="shared" si="16"/>
        <v>1</v>
      </c>
    </row>
    <row r="115" spans="1:12" ht="16.5" hidden="1" customHeight="1" x14ac:dyDescent="0.25">
      <c r="A115" s="83">
        <v>5091</v>
      </c>
      <c r="B115" s="136">
        <v>744200</v>
      </c>
      <c r="C115" s="84" t="s">
        <v>114</v>
      </c>
      <c r="D115" s="108"/>
      <c r="E115" s="109">
        <f t="shared" si="22"/>
        <v>0</v>
      </c>
      <c r="F115" s="108"/>
      <c r="G115" s="108"/>
      <c r="H115" s="108"/>
      <c r="I115" s="108"/>
      <c r="J115" s="108"/>
      <c r="K115" s="110"/>
      <c r="L115" s="137" t="e">
        <f t="shared" si="16"/>
        <v>#DIV/0!</v>
      </c>
    </row>
    <row r="116" spans="1:12" ht="16.5" hidden="1" customHeight="1" x14ac:dyDescent="0.25">
      <c r="A116" s="130">
        <v>5092</v>
      </c>
      <c r="B116" s="131">
        <v>745000</v>
      </c>
      <c r="C116" s="82" t="s">
        <v>115</v>
      </c>
      <c r="D116" s="100">
        <f>D117</f>
        <v>0</v>
      </c>
      <c r="E116" s="100">
        <f t="shared" si="22"/>
        <v>0</v>
      </c>
      <c r="F116" s="100">
        <f t="shared" ref="F116:K116" si="28">F117</f>
        <v>0</v>
      </c>
      <c r="G116" s="100">
        <f t="shared" si="28"/>
        <v>0</v>
      </c>
      <c r="H116" s="100">
        <f t="shared" si="28"/>
        <v>0</v>
      </c>
      <c r="I116" s="100">
        <f t="shared" si="28"/>
        <v>0</v>
      </c>
      <c r="J116" s="100">
        <f t="shared" si="28"/>
        <v>0</v>
      </c>
      <c r="K116" s="101">
        <f t="shared" si="28"/>
        <v>0</v>
      </c>
      <c r="L116" s="137" t="e">
        <f t="shared" si="16"/>
        <v>#DIV/0!</v>
      </c>
    </row>
    <row r="117" spans="1:12" ht="16.5" hidden="1" customHeight="1" x14ac:dyDescent="0.25">
      <c r="A117" s="83">
        <v>5093</v>
      </c>
      <c r="B117" s="136">
        <v>745100</v>
      </c>
      <c r="C117" s="84" t="s">
        <v>116</v>
      </c>
      <c r="D117" s="108"/>
      <c r="E117" s="109">
        <f t="shared" si="22"/>
        <v>0</v>
      </c>
      <c r="F117" s="108"/>
      <c r="G117" s="108"/>
      <c r="H117" s="108"/>
      <c r="I117" s="108"/>
      <c r="J117" s="108"/>
      <c r="K117" s="110"/>
      <c r="L117" s="137" t="e">
        <f t="shared" si="16"/>
        <v>#DIV/0!</v>
      </c>
    </row>
    <row r="118" spans="1:12" ht="16.5" hidden="1" customHeight="1" x14ac:dyDescent="0.25">
      <c r="A118" s="130">
        <v>5094</v>
      </c>
      <c r="B118" s="131">
        <v>770000</v>
      </c>
      <c r="C118" s="82" t="s">
        <v>117</v>
      </c>
      <c r="D118" s="100">
        <f>D119+D121</f>
        <v>0</v>
      </c>
      <c r="E118" s="100">
        <f t="shared" si="22"/>
        <v>0</v>
      </c>
      <c r="F118" s="100">
        <f t="shared" ref="F118:K118" si="29">F119+F121</f>
        <v>0</v>
      </c>
      <c r="G118" s="100">
        <f t="shared" si="29"/>
        <v>0</v>
      </c>
      <c r="H118" s="100">
        <f t="shared" si="29"/>
        <v>0</v>
      </c>
      <c r="I118" s="100">
        <f t="shared" si="29"/>
        <v>0</v>
      </c>
      <c r="J118" s="100">
        <f t="shared" si="29"/>
        <v>0</v>
      </c>
      <c r="K118" s="101">
        <f t="shared" si="29"/>
        <v>0</v>
      </c>
      <c r="L118" s="137" t="e">
        <f t="shared" si="16"/>
        <v>#DIV/0!</v>
      </c>
    </row>
    <row r="119" spans="1:12" ht="16.5" hidden="1" customHeight="1" x14ac:dyDescent="0.25">
      <c r="A119" s="130">
        <v>5095</v>
      </c>
      <c r="B119" s="131">
        <v>771000</v>
      </c>
      <c r="C119" s="82" t="s">
        <v>118</v>
      </c>
      <c r="D119" s="100">
        <f>D120</f>
        <v>0</v>
      </c>
      <c r="E119" s="100">
        <f t="shared" si="22"/>
        <v>0</v>
      </c>
      <c r="F119" s="100">
        <f t="shared" ref="F119:K119" si="30">F120</f>
        <v>0</v>
      </c>
      <c r="G119" s="100">
        <f t="shared" si="30"/>
        <v>0</v>
      </c>
      <c r="H119" s="100">
        <f t="shared" si="30"/>
        <v>0</v>
      </c>
      <c r="I119" s="100">
        <f t="shared" si="30"/>
        <v>0</v>
      </c>
      <c r="J119" s="100">
        <f t="shared" si="30"/>
        <v>0</v>
      </c>
      <c r="K119" s="101">
        <f t="shared" si="30"/>
        <v>0</v>
      </c>
      <c r="L119" s="137" t="e">
        <f t="shared" si="16"/>
        <v>#DIV/0!</v>
      </c>
    </row>
    <row r="120" spans="1:12" ht="16.5" hidden="1" customHeight="1" x14ac:dyDescent="0.25">
      <c r="A120" s="83">
        <v>5096</v>
      </c>
      <c r="B120" s="136">
        <v>771100</v>
      </c>
      <c r="C120" s="84" t="s">
        <v>119</v>
      </c>
      <c r="D120" s="108"/>
      <c r="E120" s="109">
        <f t="shared" si="22"/>
        <v>0</v>
      </c>
      <c r="F120" s="108"/>
      <c r="G120" s="108"/>
      <c r="H120" s="108"/>
      <c r="I120" s="108"/>
      <c r="J120" s="108"/>
      <c r="K120" s="110"/>
      <c r="L120" s="137" t="e">
        <f t="shared" si="16"/>
        <v>#DIV/0!</v>
      </c>
    </row>
    <row r="121" spans="1:12" ht="16.5" hidden="1" customHeight="1" x14ac:dyDescent="0.25">
      <c r="A121" s="130">
        <v>5097</v>
      </c>
      <c r="B121" s="131">
        <v>772000</v>
      </c>
      <c r="C121" s="82" t="s">
        <v>120</v>
      </c>
      <c r="D121" s="100">
        <f>D122</f>
        <v>0</v>
      </c>
      <c r="E121" s="100">
        <f t="shared" si="22"/>
        <v>0</v>
      </c>
      <c r="F121" s="100">
        <f t="shared" ref="F121:K121" si="31">F122</f>
        <v>0</v>
      </c>
      <c r="G121" s="100">
        <f t="shared" si="31"/>
        <v>0</v>
      </c>
      <c r="H121" s="100">
        <f t="shared" si="31"/>
        <v>0</v>
      </c>
      <c r="I121" s="100">
        <f t="shared" si="31"/>
        <v>0</v>
      </c>
      <c r="J121" s="100">
        <f t="shared" si="31"/>
        <v>0</v>
      </c>
      <c r="K121" s="101">
        <f t="shared" si="31"/>
        <v>0</v>
      </c>
      <c r="L121" s="137" t="e">
        <f t="shared" si="16"/>
        <v>#DIV/0!</v>
      </c>
    </row>
    <row r="122" spans="1:12" ht="16.5" hidden="1" customHeight="1" x14ac:dyDescent="0.25">
      <c r="A122" s="83">
        <v>5098</v>
      </c>
      <c r="B122" s="136">
        <v>772100</v>
      </c>
      <c r="C122" s="84" t="s">
        <v>121</v>
      </c>
      <c r="D122" s="108"/>
      <c r="E122" s="109">
        <f t="shared" si="22"/>
        <v>0</v>
      </c>
      <c r="F122" s="108"/>
      <c r="G122" s="108"/>
      <c r="H122" s="108"/>
      <c r="I122" s="108"/>
      <c r="J122" s="108"/>
      <c r="K122" s="110"/>
      <c r="L122" s="137" t="e">
        <f t="shared" si="16"/>
        <v>#DIV/0!</v>
      </c>
    </row>
    <row r="123" spans="1:12" ht="12.75" customHeight="1" x14ac:dyDescent="0.25">
      <c r="A123" s="130">
        <v>5099</v>
      </c>
      <c r="B123" s="131">
        <v>780000</v>
      </c>
      <c r="C123" s="82" t="s">
        <v>122</v>
      </c>
      <c r="D123" s="100">
        <f>D124</f>
        <v>1450862</v>
      </c>
      <c r="E123" s="100">
        <f t="shared" ref="E123:E162" si="32">SUM(F123:K123)</f>
        <v>392276</v>
      </c>
      <c r="F123" s="100">
        <f t="shared" ref="F123:K123" si="33">F124</f>
        <v>0</v>
      </c>
      <c r="G123" s="100">
        <f t="shared" si="33"/>
        <v>0</v>
      </c>
      <c r="H123" s="100">
        <f t="shared" si="33"/>
        <v>0</v>
      </c>
      <c r="I123" s="100">
        <f t="shared" si="33"/>
        <v>392276</v>
      </c>
      <c r="J123" s="100">
        <f t="shared" si="33"/>
        <v>0</v>
      </c>
      <c r="K123" s="101">
        <f t="shared" si="33"/>
        <v>0</v>
      </c>
      <c r="L123" s="137">
        <f t="shared" si="16"/>
        <v>0.27037443947115575</v>
      </c>
    </row>
    <row r="124" spans="1:12" ht="12.75" customHeight="1" x14ac:dyDescent="0.25">
      <c r="A124" s="130">
        <v>5100</v>
      </c>
      <c r="B124" s="131">
        <v>781000</v>
      </c>
      <c r="C124" s="82" t="s">
        <v>123</v>
      </c>
      <c r="D124" s="100">
        <f>D125+D126</f>
        <v>1450862</v>
      </c>
      <c r="E124" s="100">
        <f t="shared" si="32"/>
        <v>392276</v>
      </c>
      <c r="F124" s="100">
        <f t="shared" ref="F124:K124" si="34">F125+F126</f>
        <v>0</v>
      </c>
      <c r="G124" s="100">
        <f t="shared" si="34"/>
        <v>0</v>
      </c>
      <c r="H124" s="100">
        <f t="shared" si="34"/>
        <v>0</v>
      </c>
      <c r="I124" s="100">
        <f t="shared" si="34"/>
        <v>392276</v>
      </c>
      <c r="J124" s="100">
        <f t="shared" si="34"/>
        <v>0</v>
      </c>
      <c r="K124" s="101">
        <f t="shared" si="34"/>
        <v>0</v>
      </c>
      <c r="L124" s="137">
        <f t="shared" si="16"/>
        <v>0.27037443947115575</v>
      </c>
    </row>
    <row r="125" spans="1:12" ht="12.75" customHeight="1" x14ac:dyDescent="0.25">
      <c r="A125" s="83">
        <v>5101</v>
      </c>
      <c r="B125" s="136">
        <v>781100</v>
      </c>
      <c r="C125" s="84" t="s">
        <v>124</v>
      </c>
      <c r="D125" s="108">
        <f>1442790+8072</f>
        <v>1450862</v>
      </c>
      <c r="E125" s="109">
        <f>SUM(F125:K125)</f>
        <v>392276</v>
      </c>
      <c r="F125" s="108"/>
      <c r="G125" s="108"/>
      <c r="H125" s="108"/>
      <c r="I125" s="108">
        <v>392276</v>
      </c>
      <c r="J125" s="108"/>
      <c r="K125" s="110"/>
      <c r="L125" s="137">
        <f t="shared" si="16"/>
        <v>0.27037443947115575</v>
      </c>
    </row>
    <row r="126" spans="1:12" ht="16.5" hidden="1" customHeight="1" x14ac:dyDescent="0.25">
      <c r="A126" s="83">
        <v>5102</v>
      </c>
      <c r="B126" s="136">
        <v>781300</v>
      </c>
      <c r="C126" s="84" t="s">
        <v>125</v>
      </c>
      <c r="D126" s="108"/>
      <c r="E126" s="109">
        <f t="shared" si="32"/>
        <v>0</v>
      </c>
      <c r="F126" s="108"/>
      <c r="G126" s="108"/>
      <c r="H126" s="108"/>
      <c r="I126" s="108"/>
      <c r="J126" s="108"/>
      <c r="K126" s="110"/>
      <c r="L126" s="137" t="e">
        <f t="shared" si="16"/>
        <v>#DIV/0!</v>
      </c>
    </row>
    <row r="127" spans="1:12" ht="12.75" customHeight="1" x14ac:dyDescent="0.25">
      <c r="A127" s="130">
        <v>5103</v>
      </c>
      <c r="B127" s="131">
        <v>790000</v>
      </c>
      <c r="C127" s="82" t="s">
        <v>126</v>
      </c>
      <c r="D127" s="100">
        <f>D128</f>
        <v>21042</v>
      </c>
      <c r="E127" s="100">
        <f t="shared" si="32"/>
        <v>2998</v>
      </c>
      <c r="F127" s="100">
        <f t="shared" ref="F127:K127" si="35">F128</f>
        <v>2998</v>
      </c>
      <c r="G127" s="100">
        <f t="shared" si="35"/>
        <v>0</v>
      </c>
      <c r="H127" s="100">
        <f t="shared" si="35"/>
        <v>0</v>
      </c>
      <c r="I127" s="100">
        <f t="shared" si="35"/>
        <v>0</v>
      </c>
      <c r="J127" s="100">
        <f t="shared" si="35"/>
        <v>0</v>
      </c>
      <c r="K127" s="101">
        <f t="shared" si="35"/>
        <v>0</v>
      </c>
      <c r="L127" s="137">
        <f t="shared" si="16"/>
        <v>0.14247695086018439</v>
      </c>
    </row>
    <row r="128" spans="1:12" ht="12.75" customHeight="1" x14ac:dyDescent="0.25">
      <c r="A128" s="130">
        <v>5104</v>
      </c>
      <c r="B128" s="131">
        <v>791000</v>
      </c>
      <c r="C128" s="82" t="s">
        <v>127</v>
      </c>
      <c r="D128" s="100">
        <f>D133</f>
        <v>21042</v>
      </c>
      <c r="E128" s="100">
        <f t="shared" si="32"/>
        <v>2998</v>
      </c>
      <c r="F128" s="100">
        <f t="shared" ref="F128:K128" si="36">F133</f>
        <v>2998</v>
      </c>
      <c r="G128" s="100">
        <f t="shared" si="36"/>
        <v>0</v>
      </c>
      <c r="H128" s="100">
        <f t="shared" si="36"/>
        <v>0</v>
      </c>
      <c r="I128" s="100">
        <f t="shared" si="36"/>
        <v>0</v>
      </c>
      <c r="J128" s="100">
        <f t="shared" si="36"/>
        <v>0</v>
      </c>
      <c r="K128" s="101">
        <f t="shared" si="36"/>
        <v>0</v>
      </c>
      <c r="L128" s="137">
        <f t="shared" si="16"/>
        <v>0.14247695086018439</v>
      </c>
    </row>
    <row r="129" spans="1:12" ht="16.5" hidden="1" customHeight="1" x14ac:dyDescent="0.25">
      <c r="A129" s="583" t="s">
        <v>0</v>
      </c>
      <c r="B129" s="584" t="s">
        <v>1</v>
      </c>
      <c r="C129" s="585" t="s">
        <v>2</v>
      </c>
      <c r="D129" s="575" t="s">
        <v>3</v>
      </c>
      <c r="E129" s="575" t="s">
        <v>4</v>
      </c>
      <c r="F129" s="575"/>
      <c r="G129" s="575"/>
      <c r="H129" s="575"/>
      <c r="I129" s="575"/>
      <c r="J129" s="575"/>
      <c r="K129" s="582"/>
      <c r="L129" s="137" t="e">
        <f t="shared" si="16"/>
        <v>#VALUE!</v>
      </c>
    </row>
    <row r="130" spans="1:12" ht="16.5" hidden="1" customHeight="1" x14ac:dyDescent="0.25">
      <c r="A130" s="583"/>
      <c r="B130" s="584"/>
      <c r="C130" s="585"/>
      <c r="D130" s="575"/>
      <c r="E130" s="581" t="s">
        <v>5</v>
      </c>
      <c r="F130" s="575" t="s">
        <v>6</v>
      </c>
      <c r="G130" s="575"/>
      <c r="H130" s="575"/>
      <c r="I130" s="575"/>
      <c r="J130" s="575" t="s">
        <v>7</v>
      </c>
      <c r="K130" s="582" t="s">
        <v>8</v>
      </c>
      <c r="L130" s="137" t="e">
        <f t="shared" si="16"/>
        <v>#VALUE!</v>
      </c>
    </row>
    <row r="131" spans="1:12" ht="16.5" hidden="1" customHeight="1" x14ac:dyDescent="0.25">
      <c r="A131" s="583"/>
      <c r="B131" s="584"/>
      <c r="C131" s="585"/>
      <c r="D131" s="575"/>
      <c r="E131" s="581"/>
      <c r="F131" s="131" t="s">
        <v>9</v>
      </c>
      <c r="G131" s="131" t="s">
        <v>10</v>
      </c>
      <c r="H131" s="131" t="s">
        <v>11</v>
      </c>
      <c r="I131" s="131" t="s">
        <v>12</v>
      </c>
      <c r="J131" s="575"/>
      <c r="K131" s="582"/>
      <c r="L131" s="137" t="e">
        <f t="shared" si="16"/>
        <v>#DIV/0!</v>
      </c>
    </row>
    <row r="132" spans="1:12" ht="16.5" hidden="1" customHeight="1" x14ac:dyDescent="0.25">
      <c r="A132" s="85" t="s">
        <v>18</v>
      </c>
      <c r="B132" s="133" t="s">
        <v>19</v>
      </c>
      <c r="C132" s="133" t="s">
        <v>20</v>
      </c>
      <c r="D132" s="86" t="s">
        <v>21</v>
      </c>
      <c r="E132" s="86" t="s">
        <v>22</v>
      </c>
      <c r="F132" s="86" t="s">
        <v>23</v>
      </c>
      <c r="G132" s="86" t="s">
        <v>24</v>
      </c>
      <c r="H132" s="86" t="s">
        <v>25</v>
      </c>
      <c r="I132" s="86" t="s">
        <v>26</v>
      </c>
      <c r="J132" s="86" t="s">
        <v>27</v>
      </c>
      <c r="K132" s="98" t="s">
        <v>28</v>
      </c>
      <c r="L132" s="137">
        <f t="shared" si="16"/>
        <v>1.25</v>
      </c>
    </row>
    <row r="133" spans="1:12" ht="12.75" customHeight="1" x14ac:dyDescent="0.25">
      <c r="A133" s="83">
        <v>5105</v>
      </c>
      <c r="B133" s="136">
        <v>791100</v>
      </c>
      <c r="C133" s="84" t="s">
        <v>128</v>
      </c>
      <c r="D133" s="108">
        <v>21042</v>
      </c>
      <c r="E133" s="109">
        <f t="shared" si="32"/>
        <v>2998</v>
      </c>
      <c r="F133" s="108">
        <v>2998</v>
      </c>
      <c r="G133" s="108"/>
      <c r="H133" s="108"/>
      <c r="I133" s="108"/>
      <c r="J133" s="108"/>
      <c r="K133" s="110"/>
      <c r="L133" s="137">
        <f t="shared" si="16"/>
        <v>0.14247695086018439</v>
      </c>
    </row>
    <row r="134" spans="1:12" ht="12.75" customHeight="1" x14ac:dyDescent="0.25">
      <c r="A134" s="130">
        <v>5106</v>
      </c>
      <c r="B134" s="131">
        <v>800000</v>
      </c>
      <c r="C134" s="82" t="s">
        <v>534</v>
      </c>
      <c r="D134" s="100">
        <f>D135+D142+D149+D152</f>
        <v>200</v>
      </c>
      <c r="E134" s="100">
        <f t="shared" si="32"/>
        <v>60</v>
      </c>
      <c r="F134" s="100">
        <f t="shared" ref="F134:K134" si="37">F135+F142+F149+F152</f>
        <v>0</v>
      </c>
      <c r="G134" s="100">
        <f t="shared" si="37"/>
        <v>0</v>
      </c>
      <c r="H134" s="100">
        <f t="shared" si="37"/>
        <v>0</v>
      </c>
      <c r="I134" s="100">
        <f t="shared" si="37"/>
        <v>0</v>
      </c>
      <c r="J134" s="100">
        <f t="shared" si="37"/>
        <v>0</v>
      </c>
      <c r="K134" s="101">
        <f t="shared" si="37"/>
        <v>60</v>
      </c>
      <c r="L134" s="137">
        <f t="shared" si="16"/>
        <v>0.3</v>
      </c>
    </row>
    <row r="135" spans="1:12" ht="12.75" customHeight="1" x14ac:dyDescent="0.25">
      <c r="A135" s="130">
        <v>5107</v>
      </c>
      <c r="B135" s="131">
        <v>810000</v>
      </c>
      <c r="C135" s="82" t="s">
        <v>535</v>
      </c>
      <c r="D135" s="100">
        <f>D136+D138+D140</f>
        <v>200</v>
      </c>
      <c r="E135" s="100">
        <f t="shared" si="32"/>
        <v>60</v>
      </c>
      <c r="F135" s="100">
        <f t="shared" ref="F135:K135" si="38">F136+F138+F140</f>
        <v>0</v>
      </c>
      <c r="G135" s="100">
        <f t="shared" si="38"/>
        <v>0</v>
      </c>
      <c r="H135" s="100">
        <f t="shared" si="38"/>
        <v>0</v>
      </c>
      <c r="I135" s="100">
        <f t="shared" si="38"/>
        <v>0</v>
      </c>
      <c r="J135" s="100">
        <f t="shared" si="38"/>
        <v>0</v>
      </c>
      <c r="K135" s="101">
        <f t="shared" si="38"/>
        <v>60</v>
      </c>
      <c r="L135" s="137">
        <f t="shared" si="16"/>
        <v>0.3</v>
      </c>
    </row>
    <row r="136" spans="1:12" ht="16.5" hidden="1" customHeight="1" x14ac:dyDescent="0.25">
      <c r="A136" s="130">
        <v>5108</v>
      </c>
      <c r="B136" s="131">
        <v>811000</v>
      </c>
      <c r="C136" s="82" t="s">
        <v>131</v>
      </c>
      <c r="D136" s="100">
        <f>D137</f>
        <v>0</v>
      </c>
      <c r="E136" s="100">
        <f t="shared" si="32"/>
        <v>0</v>
      </c>
      <c r="F136" s="100">
        <f t="shared" ref="F136:K136" si="39">F137</f>
        <v>0</v>
      </c>
      <c r="G136" s="100">
        <f t="shared" si="39"/>
        <v>0</v>
      </c>
      <c r="H136" s="100">
        <f t="shared" si="39"/>
        <v>0</v>
      </c>
      <c r="I136" s="100">
        <f t="shared" si="39"/>
        <v>0</v>
      </c>
      <c r="J136" s="100">
        <f t="shared" si="39"/>
        <v>0</v>
      </c>
      <c r="K136" s="101">
        <f t="shared" si="39"/>
        <v>0</v>
      </c>
      <c r="L136" s="137" t="e">
        <f t="shared" si="16"/>
        <v>#DIV/0!</v>
      </c>
    </row>
    <row r="137" spans="1:12" ht="16.5" hidden="1" customHeight="1" x14ac:dyDescent="0.25">
      <c r="A137" s="83">
        <v>5109</v>
      </c>
      <c r="B137" s="136">
        <v>811100</v>
      </c>
      <c r="C137" s="84" t="s">
        <v>132</v>
      </c>
      <c r="D137" s="108"/>
      <c r="E137" s="109">
        <f t="shared" si="32"/>
        <v>0</v>
      </c>
      <c r="F137" s="108"/>
      <c r="G137" s="108"/>
      <c r="H137" s="108"/>
      <c r="I137" s="108"/>
      <c r="J137" s="108"/>
      <c r="K137" s="110"/>
      <c r="L137" s="137" t="e">
        <f t="shared" si="16"/>
        <v>#DIV/0!</v>
      </c>
    </row>
    <row r="138" spans="1:12" ht="12.75" customHeight="1" x14ac:dyDescent="0.25">
      <c r="A138" s="130">
        <v>5110</v>
      </c>
      <c r="B138" s="131">
        <v>812000</v>
      </c>
      <c r="C138" s="82" t="s">
        <v>133</v>
      </c>
      <c r="D138" s="100">
        <f>D139</f>
        <v>200</v>
      </c>
      <c r="E138" s="100">
        <f t="shared" si="32"/>
        <v>60</v>
      </c>
      <c r="F138" s="100">
        <f t="shared" ref="F138:K138" si="40">F139</f>
        <v>0</v>
      </c>
      <c r="G138" s="100">
        <f t="shared" si="40"/>
        <v>0</v>
      </c>
      <c r="H138" s="100">
        <f t="shared" si="40"/>
        <v>0</v>
      </c>
      <c r="I138" s="100">
        <f t="shared" si="40"/>
        <v>0</v>
      </c>
      <c r="J138" s="100">
        <f t="shared" si="40"/>
        <v>0</v>
      </c>
      <c r="K138" s="101">
        <f t="shared" si="40"/>
        <v>60</v>
      </c>
      <c r="L138" s="137">
        <f t="shared" ref="L138:L201" si="41">E138/D138</f>
        <v>0.3</v>
      </c>
    </row>
    <row r="139" spans="1:12" ht="12.75" customHeight="1" x14ac:dyDescent="0.25">
      <c r="A139" s="83">
        <v>5111</v>
      </c>
      <c r="B139" s="136">
        <v>812100</v>
      </c>
      <c r="C139" s="84" t="s">
        <v>134</v>
      </c>
      <c r="D139" s="108">
        <v>200</v>
      </c>
      <c r="E139" s="109">
        <f t="shared" si="32"/>
        <v>60</v>
      </c>
      <c r="F139" s="108"/>
      <c r="G139" s="108"/>
      <c r="H139" s="108"/>
      <c r="I139" s="108"/>
      <c r="J139" s="108"/>
      <c r="K139" s="110">
        <v>60</v>
      </c>
      <c r="L139" s="137">
        <f t="shared" si="41"/>
        <v>0.3</v>
      </c>
    </row>
    <row r="140" spans="1:12" ht="16.5" hidden="1" customHeight="1" x14ac:dyDescent="0.25">
      <c r="A140" s="130">
        <v>5112</v>
      </c>
      <c r="B140" s="131">
        <v>813000</v>
      </c>
      <c r="C140" s="82" t="s">
        <v>135</v>
      </c>
      <c r="D140" s="100">
        <f>D141</f>
        <v>0</v>
      </c>
      <c r="E140" s="100">
        <f t="shared" si="32"/>
        <v>0</v>
      </c>
      <c r="F140" s="100">
        <f t="shared" ref="F140:K140" si="42">F141</f>
        <v>0</v>
      </c>
      <c r="G140" s="100">
        <f t="shared" si="42"/>
        <v>0</v>
      </c>
      <c r="H140" s="100">
        <f t="shared" si="42"/>
        <v>0</v>
      </c>
      <c r="I140" s="100">
        <f t="shared" si="42"/>
        <v>0</v>
      </c>
      <c r="J140" s="100">
        <f t="shared" si="42"/>
        <v>0</v>
      </c>
      <c r="K140" s="101">
        <f t="shared" si="42"/>
        <v>0</v>
      </c>
      <c r="L140" s="137" t="e">
        <f t="shared" si="41"/>
        <v>#DIV/0!</v>
      </c>
    </row>
    <row r="141" spans="1:12" ht="16.5" hidden="1" customHeight="1" x14ac:dyDescent="0.25">
      <c r="A141" s="83">
        <v>5113</v>
      </c>
      <c r="B141" s="136">
        <v>813100</v>
      </c>
      <c r="C141" s="84" t="s">
        <v>136</v>
      </c>
      <c r="D141" s="108"/>
      <c r="E141" s="109">
        <f t="shared" si="32"/>
        <v>0</v>
      </c>
      <c r="F141" s="108"/>
      <c r="G141" s="108"/>
      <c r="H141" s="108"/>
      <c r="I141" s="108"/>
      <c r="J141" s="108"/>
      <c r="K141" s="110"/>
      <c r="L141" s="137" t="e">
        <f t="shared" si="41"/>
        <v>#DIV/0!</v>
      </c>
    </row>
    <row r="142" spans="1:12" ht="16.5" hidden="1" customHeight="1" x14ac:dyDescent="0.25">
      <c r="A142" s="130">
        <v>5114</v>
      </c>
      <c r="B142" s="131">
        <v>820000</v>
      </c>
      <c r="C142" s="82" t="s">
        <v>137</v>
      </c>
      <c r="D142" s="100">
        <f>D143+D145+D147</f>
        <v>0</v>
      </c>
      <c r="E142" s="100">
        <f t="shared" si="32"/>
        <v>0</v>
      </c>
      <c r="F142" s="100">
        <f t="shared" ref="F142:K142" si="43">F143+F145+F147</f>
        <v>0</v>
      </c>
      <c r="G142" s="100">
        <f t="shared" si="43"/>
        <v>0</v>
      </c>
      <c r="H142" s="100">
        <f t="shared" si="43"/>
        <v>0</v>
      </c>
      <c r="I142" s="100">
        <f t="shared" si="43"/>
        <v>0</v>
      </c>
      <c r="J142" s="100">
        <f t="shared" si="43"/>
        <v>0</v>
      </c>
      <c r="K142" s="101">
        <f t="shared" si="43"/>
        <v>0</v>
      </c>
      <c r="L142" s="137" t="e">
        <f t="shared" si="41"/>
        <v>#DIV/0!</v>
      </c>
    </row>
    <row r="143" spans="1:12" ht="16.5" hidden="1" customHeight="1" x14ac:dyDescent="0.25">
      <c r="A143" s="130">
        <v>5115</v>
      </c>
      <c r="B143" s="131">
        <v>821000</v>
      </c>
      <c r="C143" s="82" t="s">
        <v>138</v>
      </c>
      <c r="D143" s="100">
        <f>D144</f>
        <v>0</v>
      </c>
      <c r="E143" s="100">
        <f t="shared" si="32"/>
        <v>0</v>
      </c>
      <c r="F143" s="100">
        <f t="shared" ref="F143:K143" si="44">F144</f>
        <v>0</v>
      </c>
      <c r="G143" s="100">
        <f t="shared" si="44"/>
        <v>0</v>
      </c>
      <c r="H143" s="100">
        <f t="shared" si="44"/>
        <v>0</v>
      </c>
      <c r="I143" s="100">
        <f t="shared" si="44"/>
        <v>0</v>
      </c>
      <c r="J143" s="100">
        <f t="shared" si="44"/>
        <v>0</v>
      </c>
      <c r="K143" s="101">
        <f t="shared" si="44"/>
        <v>0</v>
      </c>
      <c r="L143" s="137" t="e">
        <f t="shared" si="41"/>
        <v>#DIV/0!</v>
      </c>
    </row>
    <row r="144" spans="1:12" ht="16.5" hidden="1" customHeight="1" x14ac:dyDescent="0.25">
      <c r="A144" s="83">
        <v>5116</v>
      </c>
      <c r="B144" s="136">
        <v>821100</v>
      </c>
      <c r="C144" s="84" t="s">
        <v>139</v>
      </c>
      <c r="D144" s="108"/>
      <c r="E144" s="109">
        <f t="shared" si="32"/>
        <v>0</v>
      </c>
      <c r="F144" s="108"/>
      <c r="G144" s="108"/>
      <c r="H144" s="108"/>
      <c r="I144" s="108"/>
      <c r="J144" s="108"/>
      <c r="K144" s="110"/>
      <c r="L144" s="137" t="e">
        <f t="shared" si="41"/>
        <v>#DIV/0!</v>
      </c>
    </row>
    <row r="145" spans="1:12" ht="16.5" hidden="1" customHeight="1" x14ac:dyDescent="0.25">
      <c r="A145" s="130">
        <v>5117</v>
      </c>
      <c r="B145" s="131">
        <v>822000</v>
      </c>
      <c r="C145" s="82" t="s">
        <v>140</v>
      </c>
      <c r="D145" s="100">
        <f>D146</f>
        <v>0</v>
      </c>
      <c r="E145" s="100">
        <f t="shared" si="32"/>
        <v>0</v>
      </c>
      <c r="F145" s="100">
        <f t="shared" ref="F145:K145" si="45">F146</f>
        <v>0</v>
      </c>
      <c r="G145" s="100">
        <f t="shared" si="45"/>
        <v>0</v>
      </c>
      <c r="H145" s="100">
        <f t="shared" si="45"/>
        <v>0</v>
      </c>
      <c r="I145" s="100">
        <f t="shared" si="45"/>
        <v>0</v>
      </c>
      <c r="J145" s="100">
        <f t="shared" si="45"/>
        <v>0</v>
      </c>
      <c r="K145" s="101">
        <f t="shared" si="45"/>
        <v>0</v>
      </c>
      <c r="L145" s="137" t="e">
        <f t="shared" si="41"/>
        <v>#DIV/0!</v>
      </c>
    </row>
    <row r="146" spans="1:12" ht="16.5" hidden="1" customHeight="1" x14ac:dyDescent="0.25">
      <c r="A146" s="83">
        <v>5118</v>
      </c>
      <c r="B146" s="136">
        <v>822100</v>
      </c>
      <c r="C146" s="84" t="s">
        <v>141</v>
      </c>
      <c r="D146" s="108"/>
      <c r="E146" s="109">
        <f t="shared" si="32"/>
        <v>0</v>
      </c>
      <c r="F146" s="108"/>
      <c r="G146" s="108"/>
      <c r="H146" s="108"/>
      <c r="I146" s="108"/>
      <c r="J146" s="108"/>
      <c r="K146" s="110"/>
      <c r="L146" s="137" t="e">
        <f t="shared" si="41"/>
        <v>#DIV/0!</v>
      </c>
    </row>
    <row r="147" spans="1:12" ht="16.5" hidden="1" customHeight="1" x14ac:dyDescent="0.25">
      <c r="A147" s="130">
        <v>5119</v>
      </c>
      <c r="B147" s="131">
        <v>823000</v>
      </c>
      <c r="C147" s="82" t="s">
        <v>142</v>
      </c>
      <c r="D147" s="100">
        <f>D148</f>
        <v>0</v>
      </c>
      <c r="E147" s="100">
        <f t="shared" si="32"/>
        <v>0</v>
      </c>
      <c r="F147" s="100">
        <f t="shared" ref="F147:K147" si="46">F148</f>
        <v>0</v>
      </c>
      <c r="G147" s="100">
        <f t="shared" si="46"/>
        <v>0</v>
      </c>
      <c r="H147" s="100">
        <f t="shared" si="46"/>
        <v>0</v>
      </c>
      <c r="I147" s="100">
        <f t="shared" si="46"/>
        <v>0</v>
      </c>
      <c r="J147" s="100">
        <f t="shared" si="46"/>
        <v>0</v>
      </c>
      <c r="K147" s="101">
        <f t="shared" si="46"/>
        <v>0</v>
      </c>
      <c r="L147" s="137" t="e">
        <f t="shared" si="41"/>
        <v>#DIV/0!</v>
      </c>
    </row>
    <row r="148" spans="1:12" ht="16.5" hidden="1" customHeight="1" x14ac:dyDescent="0.25">
      <c r="A148" s="83">
        <v>5120</v>
      </c>
      <c r="B148" s="136">
        <v>823100</v>
      </c>
      <c r="C148" s="84" t="s">
        <v>143</v>
      </c>
      <c r="D148" s="108"/>
      <c r="E148" s="109">
        <f t="shared" si="32"/>
        <v>0</v>
      </c>
      <c r="F148" s="108"/>
      <c r="G148" s="108"/>
      <c r="H148" s="108"/>
      <c r="I148" s="108"/>
      <c r="J148" s="108"/>
      <c r="K148" s="110"/>
      <c r="L148" s="137" t="e">
        <f t="shared" si="41"/>
        <v>#DIV/0!</v>
      </c>
    </row>
    <row r="149" spans="1:12" ht="16.5" hidden="1" customHeight="1" x14ac:dyDescent="0.25">
      <c r="A149" s="130">
        <v>5121</v>
      </c>
      <c r="B149" s="131">
        <v>830000</v>
      </c>
      <c r="C149" s="82" t="s">
        <v>144</v>
      </c>
      <c r="D149" s="100">
        <f>D150</f>
        <v>0</v>
      </c>
      <c r="E149" s="100">
        <f t="shared" si="32"/>
        <v>0</v>
      </c>
      <c r="F149" s="100">
        <f t="shared" ref="F149:K150" si="47">F150</f>
        <v>0</v>
      </c>
      <c r="G149" s="100">
        <f t="shared" si="47"/>
        <v>0</v>
      </c>
      <c r="H149" s="100">
        <f t="shared" si="47"/>
        <v>0</v>
      </c>
      <c r="I149" s="100">
        <f t="shared" si="47"/>
        <v>0</v>
      </c>
      <c r="J149" s="100">
        <f t="shared" si="47"/>
        <v>0</v>
      </c>
      <c r="K149" s="101">
        <f t="shared" si="47"/>
        <v>0</v>
      </c>
      <c r="L149" s="137" t="e">
        <f t="shared" si="41"/>
        <v>#DIV/0!</v>
      </c>
    </row>
    <row r="150" spans="1:12" ht="16.5" hidden="1" customHeight="1" x14ac:dyDescent="0.25">
      <c r="A150" s="130">
        <v>5122</v>
      </c>
      <c r="B150" s="131">
        <v>831000</v>
      </c>
      <c r="C150" s="82" t="s">
        <v>145</v>
      </c>
      <c r="D150" s="100">
        <f>D151</f>
        <v>0</v>
      </c>
      <c r="E150" s="100">
        <f t="shared" si="32"/>
        <v>0</v>
      </c>
      <c r="F150" s="100">
        <f t="shared" si="47"/>
        <v>0</v>
      </c>
      <c r="G150" s="100">
        <f t="shared" si="47"/>
        <v>0</v>
      </c>
      <c r="H150" s="100">
        <f t="shared" si="47"/>
        <v>0</v>
      </c>
      <c r="I150" s="100">
        <f t="shared" si="47"/>
        <v>0</v>
      </c>
      <c r="J150" s="100">
        <f t="shared" si="47"/>
        <v>0</v>
      </c>
      <c r="K150" s="101">
        <f t="shared" si="47"/>
        <v>0</v>
      </c>
      <c r="L150" s="137" t="e">
        <f t="shared" si="41"/>
        <v>#DIV/0!</v>
      </c>
    </row>
    <row r="151" spans="1:12" ht="16.5" hidden="1" customHeight="1" x14ac:dyDescent="0.25">
      <c r="A151" s="83">
        <v>5123</v>
      </c>
      <c r="B151" s="136">
        <v>831100</v>
      </c>
      <c r="C151" s="84" t="s">
        <v>146</v>
      </c>
      <c r="D151" s="108"/>
      <c r="E151" s="109">
        <f t="shared" si="32"/>
        <v>0</v>
      </c>
      <c r="F151" s="108"/>
      <c r="G151" s="108"/>
      <c r="H151" s="108"/>
      <c r="I151" s="108"/>
      <c r="J151" s="108"/>
      <c r="K151" s="110"/>
      <c r="L151" s="137" t="e">
        <f t="shared" si="41"/>
        <v>#DIV/0!</v>
      </c>
    </row>
    <row r="152" spans="1:12" ht="16.5" hidden="1" customHeight="1" x14ac:dyDescent="0.25">
      <c r="A152" s="130">
        <v>5124</v>
      </c>
      <c r="B152" s="131">
        <v>840000</v>
      </c>
      <c r="C152" s="82" t="s">
        <v>147</v>
      </c>
      <c r="D152" s="100">
        <f>D153+D155+D161</f>
        <v>0</v>
      </c>
      <c r="E152" s="100">
        <f t="shared" si="32"/>
        <v>0</v>
      </c>
      <c r="F152" s="100">
        <f t="shared" ref="F152:K152" si="48">F153+F155+F161</f>
        <v>0</v>
      </c>
      <c r="G152" s="100">
        <f t="shared" si="48"/>
        <v>0</v>
      </c>
      <c r="H152" s="100">
        <f t="shared" si="48"/>
        <v>0</v>
      </c>
      <c r="I152" s="100">
        <f t="shared" si="48"/>
        <v>0</v>
      </c>
      <c r="J152" s="100">
        <f t="shared" si="48"/>
        <v>0</v>
      </c>
      <c r="K152" s="101">
        <f t="shared" si="48"/>
        <v>0</v>
      </c>
      <c r="L152" s="137" t="e">
        <f t="shared" si="41"/>
        <v>#DIV/0!</v>
      </c>
    </row>
    <row r="153" spans="1:12" ht="16.5" hidden="1" customHeight="1" x14ac:dyDescent="0.25">
      <c r="A153" s="130">
        <v>5125</v>
      </c>
      <c r="B153" s="131">
        <v>841000</v>
      </c>
      <c r="C153" s="82" t="s">
        <v>148</v>
      </c>
      <c r="D153" s="100">
        <f>D154</f>
        <v>0</v>
      </c>
      <c r="E153" s="100">
        <f t="shared" si="32"/>
        <v>0</v>
      </c>
      <c r="F153" s="100">
        <f t="shared" ref="F153:K153" si="49">F154</f>
        <v>0</v>
      </c>
      <c r="G153" s="100">
        <f t="shared" si="49"/>
        <v>0</v>
      </c>
      <c r="H153" s="100">
        <f t="shared" si="49"/>
        <v>0</v>
      </c>
      <c r="I153" s="100">
        <f t="shared" si="49"/>
        <v>0</v>
      </c>
      <c r="J153" s="100">
        <f t="shared" si="49"/>
        <v>0</v>
      </c>
      <c r="K153" s="101">
        <f t="shared" si="49"/>
        <v>0</v>
      </c>
      <c r="L153" s="137" t="e">
        <f t="shared" si="41"/>
        <v>#DIV/0!</v>
      </c>
    </row>
    <row r="154" spans="1:12" ht="16.5" hidden="1" customHeight="1" x14ac:dyDescent="0.25">
      <c r="A154" s="83">
        <v>5126</v>
      </c>
      <c r="B154" s="136">
        <v>841100</v>
      </c>
      <c r="C154" s="84" t="s">
        <v>149</v>
      </c>
      <c r="D154" s="108"/>
      <c r="E154" s="109">
        <f t="shared" si="32"/>
        <v>0</v>
      </c>
      <c r="F154" s="108"/>
      <c r="G154" s="108"/>
      <c r="H154" s="108"/>
      <c r="I154" s="108"/>
      <c r="J154" s="108"/>
      <c r="K154" s="110"/>
      <c r="L154" s="137" t="e">
        <f t="shared" si="41"/>
        <v>#DIV/0!</v>
      </c>
    </row>
    <row r="155" spans="1:12" ht="16.5" hidden="1" customHeight="1" x14ac:dyDescent="0.25">
      <c r="A155" s="130">
        <v>5127</v>
      </c>
      <c r="B155" s="131">
        <v>842000</v>
      </c>
      <c r="C155" s="82" t="s">
        <v>150</v>
      </c>
      <c r="D155" s="100">
        <f>D160</f>
        <v>0</v>
      </c>
      <c r="E155" s="100">
        <f t="shared" si="32"/>
        <v>0</v>
      </c>
      <c r="F155" s="100">
        <f t="shared" ref="F155:K155" si="50">F160</f>
        <v>0</v>
      </c>
      <c r="G155" s="100">
        <f t="shared" si="50"/>
        <v>0</v>
      </c>
      <c r="H155" s="100">
        <f t="shared" si="50"/>
        <v>0</v>
      </c>
      <c r="I155" s="100">
        <f t="shared" si="50"/>
        <v>0</v>
      </c>
      <c r="J155" s="100">
        <f t="shared" si="50"/>
        <v>0</v>
      </c>
      <c r="K155" s="101">
        <f t="shared" si="50"/>
        <v>0</v>
      </c>
      <c r="L155" s="137" t="e">
        <f t="shared" si="41"/>
        <v>#DIV/0!</v>
      </c>
    </row>
    <row r="156" spans="1:12" ht="16.5" hidden="1" customHeight="1" x14ac:dyDescent="0.25">
      <c r="A156" s="583" t="s">
        <v>0</v>
      </c>
      <c r="B156" s="584" t="s">
        <v>1</v>
      </c>
      <c r="C156" s="585" t="s">
        <v>2</v>
      </c>
      <c r="D156" s="575" t="s">
        <v>3</v>
      </c>
      <c r="E156" s="575" t="s">
        <v>4</v>
      </c>
      <c r="F156" s="575"/>
      <c r="G156" s="575"/>
      <c r="H156" s="575"/>
      <c r="I156" s="575"/>
      <c r="J156" s="575"/>
      <c r="K156" s="582"/>
      <c r="L156" s="137" t="e">
        <f t="shared" si="41"/>
        <v>#VALUE!</v>
      </c>
    </row>
    <row r="157" spans="1:12" ht="16.5" hidden="1" customHeight="1" x14ac:dyDescent="0.25">
      <c r="A157" s="583"/>
      <c r="B157" s="584"/>
      <c r="C157" s="585"/>
      <c r="D157" s="575"/>
      <c r="E157" s="581" t="s">
        <v>5</v>
      </c>
      <c r="F157" s="575" t="s">
        <v>6</v>
      </c>
      <c r="G157" s="575"/>
      <c r="H157" s="575"/>
      <c r="I157" s="575"/>
      <c r="J157" s="575" t="s">
        <v>7</v>
      </c>
      <c r="K157" s="582" t="s">
        <v>8</v>
      </c>
      <c r="L157" s="137" t="e">
        <f t="shared" si="41"/>
        <v>#VALUE!</v>
      </c>
    </row>
    <row r="158" spans="1:12" ht="16.5" hidden="1" customHeight="1" x14ac:dyDescent="0.25">
      <c r="A158" s="583"/>
      <c r="B158" s="584"/>
      <c r="C158" s="585"/>
      <c r="D158" s="575"/>
      <c r="E158" s="581"/>
      <c r="F158" s="131" t="s">
        <v>9</v>
      </c>
      <c r="G158" s="131" t="s">
        <v>10</v>
      </c>
      <c r="H158" s="131" t="s">
        <v>11</v>
      </c>
      <c r="I158" s="131" t="s">
        <v>12</v>
      </c>
      <c r="J158" s="575"/>
      <c r="K158" s="582"/>
      <c r="L158" s="137" t="e">
        <f t="shared" si="41"/>
        <v>#DIV/0!</v>
      </c>
    </row>
    <row r="159" spans="1:12" ht="16.5" hidden="1" customHeight="1" x14ac:dyDescent="0.25">
      <c r="A159" s="85" t="s">
        <v>18</v>
      </c>
      <c r="B159" s="133" t="s">
        <v>19</v>
      </c>
      <c r="C159" s="133" t="s">
        <v>20</v>
      </c>
      <c r="D159" s="86" t="s">
        <v>21</v>
      </c>
      <c r="E159" s="86" t="s">
        <v>22</v>
      </c>
      <c r="F159" s="86" t="s">
        <v>23</v>
      </c>
      <c r="G159" s="86" t="s">
        <v>24</v>
      </c>
      <c r="H159" s="86" t="s">
        <v>25</v>
      </c>
      <c r="I159" s="86" t="s">
        <v>26</v>
      </c>
      <c r="J159" s="86" t="s">
        <v>27</v>
      </c>
      <c r="K159" s="98" t="s">
        <v>28</v>
      </c>
      <c r="L159" s="137">
        <f t="shared" si="41"/>
        <v>1.25</v>
      </c>
    </row>
    <row r="160" spans="1:12" ht="16.5" hidden="1" customHeight="1" x14ac:dyDescent="0.25">
      <c r="A160" s="83">
        <v>5128</v>
      </c>
      <c r="B160" s="136">
        <v>842100</v>
      </c>
      <c r="C160" s="84" t="s">
        <v>151</v>
      </c>
      <c r="D160" s="108"/>
      <c r="E160" s="109">
        <f t="shared" si="32"/>
        <v>0</v>
      </c>
      <c r="F160" s="108"/>
      <c r="G160" s="108"/>
      <c r="H160" s="108"/>
      <c r="I160" s="108"/>
      <c r="J160" s="108"/>
      <c r="K160" s="110"/>
      <c r="L160" s="137" t="e">
        <f t="shared" si="41"/>
        <v>#DIV/0!</v>
      </c>
    </row>
    <row r="161" spans="1:12" ht="16.5" hidden="1" customHeight="1" x14ac:dyDescent="0.25">
      <c r="A161" s="130">
        <v>5129</v>
      </c>
      <c r="B161" s="131">
        <v>843000</v>
      </c>
      <c r="C161" s="82" t="s">
        <v>152</v>
      </c>
      <c r="D161" s="100">
        <f>D162</f>
        <v>0</v>
      </c>
      <c r="E161" s="100">
        <f t="shared" si="32"/>
        <v>0</v>
      </c>
      <c r="F161" s="100">
        <f t="shared" ref="F161:K161" si="51">F162</f>
        <v>0</v>
      </c>
      <c r="G161" s="100">
        <f t="shared" si="51"/>
        <v>0</v>
      </c>
      <c r="H161" s="100">
        <f t="shared" si="51"/>
        <v>0</v>
      </c>
      <c r="I161" s="100">
        <f t="shared" si="51"/>
        <v>0</v>
      </c>
      <c r="J161" s="100">
        <f t="shared" si="51"/>
        <v>0</v>
      </c>
      <c r="K161" s="101">
        <f t="shared" si="51"/>
        <v>0</v>
      </c>
      <c r="L161" s="137" t="e">
        <f t="shared" si="41"/>
        <v>#DIV/0!</v>
      </c>
    </row>
    <row r="162" spans="1:12" ht="16.5" hidden="1" customHeight="1" x14ac:dyDescent="0.25">
      <c r="A162" s="83">
        <v>5130</v>
      </c>
      <c r="B162" s="136">
        <v>843100</v>
      </c>
      <c r="C162" s="84" t="s">
        <v>153</v>
      </c>
      <c r="D162" s="108"/>
      <c r="E162" s="109">
        <f t="shared" si="32"/>
        <v>0</v>
      </c>
      <c r="F162" s="108"/>
      <c r="G162" s="108"/>
      <c r="H162" s="108"/>
      <c r="I162" s="108"/>
      <c r="J162" s="108"/>
      <c r="K162" s="110"/>
      <c r="L162" s="137" t="e">
        <f t="shared" si="41"/>
        <v>#DIV/0!</v>
      </c>
    </row>
    <row r="163" spans="1:12" ht="16.5" hidden="1" customHeight="1" x14ac:dyDescent="0.25">
      <c r="A163" s="130">
        <v>5131</v>
      </c>
      <c r="B163" s="131">
        <v>900000</v>
      </c>
      <c r="C163" s="82" t="s">
        <v>154</v>
      </c>
      <c r="D163" s="100">
        <f>D164+D187</f>
        <v>0</v>
      </c>
      <c r="E163" s="100">
        <f t="shared" ref="E163:E198" si="52">SUM(F163:K163)</f>
        <v>0</v>
      </c>
      <c r="F163" s="100">
        <f t="shared" ref="F163:K163" si="53">F164+F187</f>
        <v>0</v>
      </c>
      <c r="G163" s="100">
        <f t="shared" si="53"/>
        <v>0</v>
      </c>
      <c r="H163" s="100">
        <f t="shared" si="53"/>
        <v>0</v>
      </c>
      <c r="I163" s="100">
        <f t="shared" si="53"/>
        <v>0</v>
      </c>
      <c r="J163" s="100">
        <f t="shared" si="53"/>
        <v>0</v>
      </c>
      <c r="K163" s="101">
        <f t="shared" si="53"/>
        <v>0</v>
      </c>
      <c r="L163" s="137" t="e">
        <f t="shared" si="41"/>
        <v>#DIV/0!</v>
      </c>
    </row>
    <row r="164" spans="1:12" ht="16.5" hidden="1" customHeight="1" x14ac:dyDescent="0.25">
      <c r="A164" s="130">
        <v>5132</v>
      </c>
      <c r="B164" s="131">
        <v>910000</v>
      </c>
      <c r="C164" s="82" t="s">
        <v>155</v>
      </c>
      <c r="D164" s="100">
        <f>D165+D175</f>
        <v>0</v>
      </c>
      <c r="E164" s="100">
        <f t="shared" si="52"/>
        <v>0</v>
      </c>
      <c r="F164" s="100">
        <f t="shared" ref="F164:K164" si="54">F165+F175</f>
        <v>0</v>
      </c>
      <c r="G164" s="100">
        <f t="shared" si="54"/>
        <v>0</v>
      </c>
      <c r="H164" s="100">
        <f t="shared" si="54"/>
        <v>0</v>
      </c>
      <c r="I164" s="100">
        <f t="shared" si="54"/>
        <v>0</v>
      </c>
      <c r="J164" s="100">
        <f t="shared" si="54"/>
        <v>0</v>
      </c>
      <c r="K164" s="101">
        <f t="shared" si="54"/>
        <v>0</v>
      </c>
      <c r="L164" s="137" t="e">
        <f t="shared" si="41"/>
        <v>#DIV/0!</v>
      </c>
    </row>
    <row r="165" spans="1:12" ht="16.5" hidden="1" customHeight="1" x14ac:dyDescent="0.25">
      <c r="A165" s="130">
        <v>5133</v>
      </c>
      <c r="B165" s="131">
        <v>911000</v>
      </c>
      <c r="C165" s="82" t="s">
        <v>156</v>
      </c>
      <c r="D165" s="100">
        <f>SUM(D166:D174)</f>
        <v>0</v>
      </c>
      <c r="E165" s="100">
        <f t="shared" si="52"/>
        <v>0</v>
      </c>
      <c r="F165" s="100">
        <f t="shared" ref="F165:K165" si="55">SUM(F166:F174)</f>
        <v>0</v>
      </c>
      <c r="G165" s="100">
        <f t="shared" si="55"/>
        <v>0</v>
      </c>
      <c r="H165" s="100">
        <f t="shared" si="55"/>
        <v>0</v>
      </c>
      <c r="I165" s="100">
        <f t="shared" si="55"/>
        <v>0</v>
      </c>
      <c r="J165" s="100">
        <f t="shared" si="55"/>
        <v>0</v>
      </c>
      <c r="K165" s="101">
        <f t="shared" si="55"/>
        <v>0</v>
      </c>
      <c r="L165" s="137" t="e">
        <f t="shared" si="41"/>
        <v>#DIV/0!</v>
      </c>
    </row>
    <row r="166" spans="1:12" ht="16.5" hidden="1" customHeight="1" x14ac:dyDescent="0.25">
      <c r="A166" s="83">
        <v>5134</v>
      </c>
      <c r="B166" s="136">
        <v>911100</v>
      </c>
      <c r="C166" s="84" t="s">
        <v>157</v>
      </c>
      <c r="D166" s="108"/>
      <c r="E166" s="109">
        <f t="shared" si="52"/>
        <v>0</v>
      </c>
      <c r="F166" s="108"/>
      <c r="G166" s="108"/>
      <c r="H166" s="108"/>
      <c r="I166" s="108"/>
      <c r="J166" s="108"/>
      <c r="K166" s="110"/>
      <c r="L166" s="137" t="e">
        <f t="shared" si="41"/>
        <v>#DIV/0!</v>
      </c>
    </row>
    <row r="167" spans="1:12" ht="16.5" hidden="1" customHeight="1" x14ac:dyDescent="0.25">
      <c r="A167" s="83">
        <v>5135</v>
      </c>
      <c r="B167" s="136">
        <v>911200</v>
      </c>
      <c r="C167" s="84" t="s">
        <v>158</v>
      </c>
      <c r="D167" s="108"/>
      <c r="E167" s="109">
        <f t="shared" si="52"/>
        <v>0</v>
      </c>
      <c r="F167" s="108"/>
      <c r="G167" s="108"/>
      <c r="H167" s="108"/>
      <c r="I167" s="108"/>
      <c r="J167" s="108"/>
      <c r="K167" s="110"/>
      <c r="L167" s="137" t="e">
        <f t="shared" si="41"/>
        <v>#DIV/0!</v>
      </c>
    </row>
    <row r="168" spans="1:12" ht="16.5" hidden="1" customHeight="1" x14ac:dyDescent="0.25">
      <c r="A168" s="83">
        <v>5136</v>
      </c>
      <c r="B168" s="136">
        <v>911300</v>
      </c>
      <c r="C168" s="84" t="s">
        <v>159</v>
      </c>
      <c r="D168" s="108"/>
      <c r="E168" s="109">
        <f t="shared" si="52"/>
        <v>0</v>
      </c>
      <c r="F168" s="108"/>
      <c r="G168" s="108"/>
      <c r="H168" s="108"/>
      <c r="I168" s="108"/>
      <c r="J168" s="108"/>
      <c r="K168" s="110"/>
      <c r="L168" s="137" t="e">
        <f t="shared" si="41"/>
        <v>#DIV/0!</v>
      </c>
    </row>
    <row r="169" spans="1:12" ht="16.5" hidden="1" customHeight="1" x14ac:dyDescent="0.25">
      <c r="A169" s="83">
        <v>5137</v>
      </c>
      <c r="B169" s="136">
        <v>911400</v>
      </c>
      <c r="C169" s="84" t="s">
        <v>160</v>
      </c>
      <c r="D169" s="108"/>
      <c r="E169" s="109">
        <f t="shared" si="52"/>
        <v>0</v>
      </c>
      <c r="F169" s="108"/>
      <c r="G169" s="108"/>
      <c r="H169" s="108"/>
      <c r="I169" s="108"/>
      <c r="J169" s="108"/>
      <c r="K169" s="110"/>
      <c r="L169" s="137" t="e">
        <f t="shared" si="41"/>
        <v>#DIV/0!</v>
      </c>
    </row>
    <row r="170" spans="1:12" ht="16.5" hidden="1" customHeight="1" x14ac:dyDescent="0.25">
      <c r="A170" s="83">
        <v>5138</v>
      </c>
      <c r="B170" s="136">
        <v>911500</v>
      </c>
      <c r="C170" s="84" t="s">
        <v>161</v>
      </c>
      <c r="D170" s="108"/>
      <c r="E170" s="109">
        <f t="shared" si="52"/>
        <v>0</v>
      </c>
      <c r="F170" s="108"/>
      <c r="G170" s="108"/>
      <c r="H170" s="108"/>
      <c r="I170" s="108"/>
      <c r="J170" s="108"/>
      <c r="K170" s="110"/>
      <c r="L170" s="137" t="e">
        <f t="shared" si="41"/>
        <v>#DIV/0!</v>
      </c>
    </row>
    <row r="171" spans="1:12" ht="16.5" hidden="1" customHeight="1" x14ac:dyDescent="0.25">
      <c r="A171" s="83">
        <v>5139</v>
      </c>
      <c r="B171" s="136">
        <v>911600</v>
      </c>
      <c r="C171" s="84" t="s">
        <v>162</v>
      </c>
      <c r="D171" s="108"/>
      <c r="E171" s="109">
        <f t="shared" si="52"/>
        <v>0</v>
      </c>
      <c r="F171" s="108"/>
      <c r="G171" s="108"/>
      <c r="H171" s="108"/>
      <c r="I171" s="108"/>
      <c r="J171" s="108"/>
      <c r="K171" s="110"/>
      <c r="L171" s="137" t="e">
        <f t="shared" si="41"/>
        <v>#DIV/0!</v>
      </c>
    </row>
    <row r="172" spans="1:12" ht="16.5" hidden="1" customHeight="1" x14ac:dyDescent="0.25">
      <c r="A172" s="83">
        <v>5140</v>
      </c>
      <c r="B172" s="136">
        <v>911700</v>
      </c>
      <c r="C172" s="84" t="s">
        <v>163</v>
      </c>
      <c r="D172" s="108"/>
      <c r="E172" s="109">
        <f t="shared" si="52"/>
        <v>0</v>
      </c>
      <c r="F172" s="108"/>
      <c r="G172" s="108"/>
      <c r="H172" s="108"/>
      <c r="I172" s="108"/>
      <c r="J172" s="108"/>
      <c r="K172" s="110"/>
      <c r="L172" s="137" t="e">
        <f t="shared" si="41"/>
        <v>#DIV/0!</v>
      </c>
    </row>
    <row r="173" spans="1:12" ht="16.5" hidden="1" customHeight="1" x14ac:dyDescent="0.25">
      <c r="A173" s="83">
        <v>5141</v>
      </c>
      <c r="B173" s="136">
        <v>911800</v>
      </c>
      <c r="C173" s="84" t="s">
        <v>164</v>
      </c>
      <c r="D173" s="108"/>
      <c r="E173" s="109">
        <f t="shared" si="52"/>
        <v>0</v>
      </c>
      <c r="F173" s="108"/>
      <c r="G173" s="108"/>
      <c r="H173" s="108"/>
      <c r="I173" s="108"/>
      <c r="J173" s="108"/>
      <c r="K173" s="110"/>
      <c r="L173" s="137" t="e">
        <f t="shared" si="41"/>
        <v>#DIV/0!</v>
      </c>
    </row>
    <row r="174" spans="1:12" ht="16.5" hidden="1" customHeight="1" x14ac:dyDescent="0.25">
      <c r="A174" s="83">
        <v>5142</v>
      </c>
      <c r="B174" s="136">
        <v>911900</v>
      </c>
      <c r="C174" s="84" t="s">
        <v>165</v>
      </c>
      <c r="D174" s="108"/>
      <c r="E174" s="109">
        <f t="shared" si="52"/>
        <v>0</v>
      </c>
      <c r="F174" s="108"/>
      <c r="G174" s="108"/>
      <c r="H174" s="108"/>
      <c r="I174" s="108"/>
      <c r="J174" s="108"/>
      <c r="K174" s="110"/>
      <c r="L174" s="137" t="e">
        <f t="shared" si="41"/>
        <v>#DIV/0!</v>
      </c>
    </row>
    <row r="175" spans="1:12" ht="16.5" hidden="1" customHeight="1" x14ac:dyDescent="0.25">
      <c r="A175" s="130">
        <v>5143</v>
      </c>
      <c r="B175" s="131">
        <v>912000</v>
      </c>
      <c r="C175" s="82" t="s">
        <v>166</v>
      </c>
      <c r="D175" s="100">
        <f>SUM(D176:D186)</f>
        <v>0</v>
      </c>
      <c r="E175" s="100">
        <f t="shared" si="52"/>
        <v>0</v>
      </c>
      <c r="F175" s="100">
        <f t="shared" ref="F175:K175" si="56">SUM(F176:F186)</f>
        <v>0</v>
      </c>
      <c r="G175" s="100">
        <f t="shared" si="56"/>
        <v>0</v>
      </c>
      <c r="H175" s="100">
        <f t="shared" si="56"/>
        <v>0</v>
      </c>
      <c r="I175" s="100">
        <f t="shared" si="56"/>
        <v>0</v>
      </c>
      <c r="J175" s="100">
        <f t="shared" si="56"/>
        <v>0</v>
      </c>
      <c r="K175" s="101">
        <f t="shared" si="56"/>
        <v>0</v>
      </c>
      <c r="L175" s="137" t="e">
        <f t="shared" si="41"/>
        <v>#DIV/0!</v>
      </c>
    </row>
    <row r="176" spans="1:12" ht="16.5" hidden="1" customHeight="1" x14ac:dyDescent="0.25">
      <c r="A176" s="83">
        <v>5144</v>
      </c>
      <c r="B176" s="136">
        <v>912100</v>
      </c>
      <c r="C176" s="84" t="s">
        <v>167</v>
      </c>
      <c r="D176" s="108"/>
      <c r="E176" s="109">
        <f t="shared" si="52"/>
        <v>0</v>
      </c>
      <c r="F176" s="108"/>
      <c r="G176" s="108"/>
      <c r="H176" s="108"/>
      <c r="I176" s="108"/>
      <c r="J176" s="108"/>
      <c r="K176" s="110"/>
      <c r="L176" s="137" t="e">
        <f t="shared" si="41"/>
        <v>#DIV/0!</v>
      </c>
    </row>
    <row r="177" spans="1:12" ht="16.5" hidden="1" customHeight="1" x14ac:dyDescent="0.25">
      <c r="A177" s="83">
        <v>5145</v>
      </c>
      <c r="B177" s="136">
        <v>912200</v>
      </c>
      <c r="C177" s="84" t="s">
        <v>168</v>
      </c>
      <c r="D177" s="108"/>
      <c r="E177" s="109">
        <f t="shared" si="52"/>
        <v>0</v>
      </c>
      <c r="F177" s="108"/>
      <c r="G177" s="108"/>
      <c r="H177" s="108"/>
      <c r="I177" s="108"/>
      <c r="J177" s="108"/>
      <c r="K177" s="110"/>
      <c r="L177" s="137" t="e">
        <f t="shared" si="41"/>
        <v>#DIV/0!</v>
      </c>
    </row>
    <row r="178" spans="1:12" ht="16.5" hidden="1" customHeight="1" x14ac:dyDescent="0.25">
      <c r="A178" s="83">
        <v>5146</v>
      </c>
      <c r="B178" s="136">
        <v>912300</v>
      </c>
      <c r="C178" s="84" t="s">
        <v>169</v>
      </c>
      <c r="D178" s="108"/>
      <c r="E178" s="109">
        <f t="shared" si="52"/>
        <v>0</v>
      </c>
      <c r="F178" s="108"/>
      <c r="G178" s="108"/>
      <c r="H178" s="108"/>
      <c r="I178" s="108"/>
      <c r="J178" s="108"/>
      <c r="K178" s="110"/>
      <c r="L178" s="137" t="e">
        <f t="shared" si="41"/>
        <v>#DIV/0!</v>
      </c>
    </row>
    <row r="179" spans="1:12" ht="16.5" hidden="1" customHeight="1" x14ac:dyDescent="0.25">
      <c r="A179" s="83">
        <v>5147</v>
      </c>
      <c r="B179" s="136">
        <v>912400</v>
      </c>
      <c r="C179" s="84" t="s">
        <v>170</v>
      </c>
      <c r="D179" s="108"/>
      <c r="E179" s="109">
        <f t="shared" si="52"/>
        <v>0</v>
      </c>
      <c r="F179" s="108"/>
      <c r="G179" s="108"/>
      <c r="H179" s="108"/>
      <c r="I179" s="108"/>
      <c r="J179" s="108"/>
      <c r="K179" s="110"/>
      <c r="L179" s="137" t="e">
        <f t="shared" si="41"/>
        <v>#DIV/0!</v>
      </c>
    </row>
    <row r="180" spans="1:12" ht="16.5" hidden="1" customHeight="1" x14ac:dyDescent="0.25">
      <c r="A180" s="83">
        <v>5148</v>
      </c>
      <c r="B180" s="136">
        <v>912500</v>
      </c>
      <c r="C180" s="84" t="s">
        <v>171</v>
      </c>
      <c r="D180" s="108"/>
      <c r="E180" s="109">
        <f t="shared" si="52"/>
        <v>0</v>
      </c>
      <c r="F180" s="108"/>
      <c r="G180" s="108"/>
      <c r="H180" s="108"/>
      <c r="I180" s="108"/>
      <c r="J180" s="108"/>
      <c r="K180" s="110"/>
      <c r="L180" s="137" t="e">
        <f t="shared" si="41"/>
        <v>#DIV/0!</v>
      </c>
    </row>
    <row r="181" spans="1:12" ht="16.5" hidden="1" customHeight="1" x14ac:dyDescent="0.25">
      <c r="A181" s="83">
        <v>5149</v>
      </c>
      <c r="B181" s="136">
        <v>912600</v>
      </c>
      <c r="C181" s="84" t="s">
        <v>172</v>
      </c>
      <c r="D181" s="108"/>
      <c r="E181" s="109">
        <f t="shared" si="52"/>
        <v>0</v>
      </c>
      <c r="F181" s="108"/>
      <c r="G181" s="108"/>
      <c r="H181" s="108"/>
      <c r="I181" s="108"/>
      <c r="J181" s="108"/>
      <c r="K181" s="110"/>
      <c r="L181" s="137" t="e">
        <f t="shared" si="41"/>
        <v>#DIV/0!</v>
      </c>
    </row>
    <row r="182" spans="1:12" ht="16.5" hidden="1" customHeight="1" x14ac:dyDescent="0.25">
      <c r="A182" s="583" t="s">
        <v>0</v>
      </c>
      <c r="B182" s="584" t="s">
        <v>1</v>
      </c>
      <c r="C182" s="585" t="s">
        <v>2</v>
      </c>
      <c r="D182" s="575" t="s">
        <v>3</v>
      </c>
      <c r="E182" s="575" t="s">
        <v>4</v>
      </c>
      <c r="F182" s="575"/>
      <c r="G182" s="575"/>
      <c r="H182" s="575"/>
      <c r="I182" s="575"/>
      <c r="J182" s="575"/>
      <c r="K182" s="582"/>
      <c r="L182" s="137" t="e">
        <f t="shared" si="41"/>
        <v>#VALUE!</v>
      </c>
    </row>
    <row r="183" spans="1:12" ht="16.5" hidden="1" customHeight="1" x14ac:dyDescent="0.25">
      <c r="A183" s="583"/>
      <c r="B183" s="584"/>
      <c r="C183" s="585"/>
      <c r="D183" s="575"/>
      <c r="E183" s="581" t="s">
        <v>5</v>
      </c>
      <c r="F183" s="575" t="s">
        <v>6</v>
      </c>
      <c r="G183" s="575"/>
      <c r="H183" s="575"/>
      <c r="I183" s="575"/>
      <c r="J183" s="575" t="s">
        <v>7</v>
      </c>
      <c r="K183" s="582" t="s">
        <v>8</v>
      </c>
      <c r="L183" s="137" t="e">
        <f t="shared" si="41"/>
        <v>#VALUE!</v>
      </c>
    </row>
    <row r="184" spans="1:12" ht="16.5" hidden="1" customHeight="1" x14ac:dyDescent="0.25">
      <c r="A184" s="583"/>
      <c r="B184" s="584"/>
      <c r="C184" s="585"/>
      <c r="D184" s="575"/>
      <c r="E184" s="581"/>
      <c r="F184" s="131" t="s">
        <v>9</v>
      </c>
      <c r="G184" s="131" t="s">
        <v>10</v>
      </c>
      <c r="H184" s="131" t="s">
        <v>11</v>
      </c>
      <c r="I184" s="131" t="s">
        <v>12</v>
      </c>
      <c r="J184" s="575"/>
      <c r="K184" s="582"/>
      <c r="L184" s="137" t="e">
        <f t="shared" si="41"/>
        <v>#DIV/0!</v>
      </c>
    </row>
    <row r="185" spans="1:12" ht="16.5" hidden="1" customHeight="1" x14ac:dyDescent="0.25">
      <c r="A185" s="85" t="s">
        <v>18</v>
      </c>
      <c r="B185" s="133" t="s">
        <v>19</v>
      </c>
      <c r="C185" s="133" t="s">
        <v>20</v>
      </c>
      <c r="D185" s="86" t="s">
        <v>21</v>
      </c>
      <c r="E185" s="86" t="s">
        <v>22</v>
      </c>
      <c r="F185" s="86" t="s">
        <v>23</v>
      </c>
      <c r="G185" s="86" t="s">
        <v>24</v>
      </c>
      <c r="H185" s="86" t="s">
        <v>25</v>
      </c>
      <c r="I185" s="86" t="s">
        <v>26</v>
      </c>
      <c r="J185" s="86" t="s">
        <v>27</v>
      </c>
      <c r="K185" s="98" t="s">
        <v>28</v>
      </c>
      <c r="L185" s="137">
        <f t="shared" si="41"/>
        <v>1.25</v>
      </c>
    </row>
    <row r="186" spans="1:12" ht="16.5" hidden="1" customHeight="1" x14ac:dyDescent="0.25">
      <c r="A186" s="83">
        <v>5150</v>
      </c>
      <c r="B186" s="136">
        <v>912900</v>
      </c>
      <c r="C186" s="84" t="s">
        <v>173</v>
      </c>
      <c r="D186" s="108"/>
      <c r="E186" s="109">
        <f t="shared" si="52"/>
        <v>0</v>
      </c>
      <c r="F186" s="108"/>
      <c r="G186" s="108"/>
      <c r="H186" s="108"/>
      <c r="I186" s="108"/>
      <c r="J186" s="108"/>
      <c r="K186" s="110"/>
      <c r="L186" s="137" t="e">
        <f t="shared" si="41"/>
        <v>#DIV/0!</v>
      </c>
    </row>
    <row r="187" spans="1:12" ht="16.5" hidden="1" customHeight="1" x14ac:dyDescent="0.25">
      <c r="A187" s="130">
        <v>5151</v>
      </c>
      <c r="B187" s="131">
        <v>920000</v>
      </c>
      <c r="C187" s="82" t="s">
        <v>174</v>
      </c>
      <c r="D187" s="100">
        <f>D188+D198</f>
        <v>0</v>
      </c>
      <c r="E187" s="100">
        <f t="shared" si="52"/>
        <v>0</v>
      </c>
      <c r="F187" s="100">
        <f t="shared" ref="F187:K187" si="57">F188+F198</f>
        <v>0</v>
      </c>
      <c r="G187" s="100">
        <f t="shared" si="57"/>
        <v>0</v>
      </c>
      <c r="H187" s="100">
        <f t="shared" si="57"/>
        <v>0</v>
      </c>
      <c r="I187" s="100">
        <f t="shared" si="57"/>
        <v>0</v>
      </c>
      <c r="J187" s="100">
        <f t="shared" si="57"/>
        <v>0</v>
      </c>
      <c r="K187" s="101">
        <f t="shared" si="57"/>
        <v>0</v>
      </c>
      <c r="L187" s="137" t="e">
        <f t="shared" si="41"/>
        <v>#DIV/0!</v>
      </c>
    </row>
    <row r="188" spans="1:12" ht="16.5" hidden="1" customHeight="1" x14ac:dyDescent="0.25">
      <c r="A188" s="130">
        <v>5152</v>
      </c>
      <c r="B188" s="131">
        <v>921000</v>
      </c>
      <c r="C188" s="82" t="s">
        <v>175</v>
      </c>
      <c r="D188" s="100">
        <f>SUM(D189:D197)</f>
        <v>0</v>
      </c>
      <c r="E188" s="100">
        <f t="shared" si="52"/>
        <v>0</v>
      </c>
      <c r="F188" s="100">
        <f t="shared" ref="F188:K188" si="58">SUM(F189:F197)</f>
        <v>0</v>
      </c>
      <c r="G188" s="100">
        <f t="shared" si="58"/>
        <v>0</v>
      </c>
      <c r="H188" s="100">
        <f t="shared" si="58"/>
        <v>0</v>
      </c>
      <c r="I188" s="100">
        <f t="shared" si="58"/>
        <v>0</v>
      </c>
      <c r="J188" s="100">
        <f t="shared" si="58"/>
        <v>0</v>
      </c>
      <c r="K188" s="101">
        <f t="shared" si="58"/>
        <v>0</v>
      </c>
      <c r="L188" s="137" t="e">
        <f t="shared" si="41"/>
        <v>#DIV/0!</v>
      </c>
    </row>
    <row r="189" spans="1:12" ht="16.5" hidden="1" customHeight="1" x14ac:dyDescent="0.25">
      <c r="A189" s="83">
        <v>5153</v>
      </c>
      <c r="B189" s="136">
        <v>921100</v>
      </c>
      <c r="C189" s="84" t="s">
        <v>176</v>
      </c>
      <c r="D189" s="108"/>
      <c r="E189" s="109">
        <f t="shared" si="52"/>
        <v>0</v>
      </c>
      <c r="F189" s="108"/>
      <c r="G189" s="108"/>
      <c r="H189" s="108"/>
      <c r="I189" s="108"/>
      <c r="J189" s="108"/>
      <c r="K189" s="110"/>
      <c r="L189" s="137" t="e">
        <f t="shared" si="41"/>
        <v>#DIV/0!</v>
      </c>
    </row>
    <row r="190" spans="1:12" ht="16.5" hidden="1" customHeight="1" x14ac:dyDescent="0.25">
      <c r="A190" s="83">
        <v>5154</v>
      </c>
      <c r="B190" s="136">
        <v>921200</v>
      </c>
      <c r="C190" s="84" t="s">
        <v>177</v>
      </c>
      <c r="D190" s="108"/>
      <c r="E190" s="109">
        <f t="shared" si="52"/>
        <v>0</v>
      </c>
      <c r="F190" s="108"/>
      <c r="G190" s="108"/>
      <c r="H190" s="108"/>
      <c r="I190" s="108"/>
      <c r="J190" s="108"/>
      <c r="K190" s="110"/>
      <c r="L190" s="137" t="e">
        <f t="shared" si="41"/>
        <v>#DIV/0!</v>
      </c>
    </row>
    <row r="191" spans="1:12" ht="16.5" hidden="1" customHeight="1" x14ac:dyDescent="0.25">
      <c r="A191" s="83">
        <v>5155</v>
      </c>
      <c r="B191" s="136">
        <v>921300</v>
      </c>
      <c r="C191" s="84" t="s">
        <v>178</v>
      </c>
      <c r="D191" s="108"/>
      <c r="E191" s="109">
        <f t="shared" si="52"/>
        <v>0</v>
      </c>
      <c r="F191" s="108"/>
      <c r="G191" s="108"/>
      <c r="H191" s="108"/>
      <c r="I191" s="108"/>
      <c r="J191" s="108"/>
      <c r="K191" s="110"/>
      <c r="L191" s="137" t="e">
        <f t="shared" si="41"/>
        <v>#DIV/0!</v>
      </c>
    </row>
    <row r="192" spans="1:12" ht="16.5" hidden="1" customHeight="1" x14ac:dyDescent="0.25">
      <c r="A192" s="83">
        <v>5156</v>
      </c>
      <c r="B192" s="136">
        <v>921400</v>
      </c>
      <c r="C192" s="84" t="s">
        <v>179</v>
      </c>
      <c r="D192" s="108"/>
      <c r="E192" s="109">
        <f t="shared" si="52"/>
        <v>0</v>
      </c>
      <c r="F192" s="108"/>
      <c r="G192" s="108"/>
      <c r="H192" s="108"/>
      <c r="I192" s="108"/>
      <c r="J192" s="108"/>
      <c r="K192" s="110"/>
      <c r="L192" s="137" t="e">
        <f t="shared" si="41"/>
        <v>#DIV/0!</v>
      </c>
    </row>
    <row r="193" spans="1:12" ht="16.5" hidden="1" customHeight="1" x14ac:dyDescent="0.25">
      <c r="A193" s="83">
        <v>5157</v>
      </c>
      <c r="B193" s="136">
        <v>921500</v>
      </c>
      <c r="C193" s="84" t="s">
        <v>180</v>
      </c>
      <c r="D193" s="108"/>
      <c r="E193" s="109">
        <f t="shared" si="52"/>
        <v>0</v>
      </c>
      <c r="F193" s="108"/>
      <c r="G193" s="108"/>
      <c r="H193" s="108"/>
      <c r="I193" s="108"/>
      <c r="J193" s="108"/>
      <c r="K193" s="110"/>
      <c r="L193" s="137" t="e">
        <f t="shared" si="41"/>
        <v>#DIV/0!</v>
      </c>
    </row>
    <row r="194" spans="1:12" ht="16.5" hidden="1" customHeight="1" x14ac:dyDescent="0.25">
      <c r="A194" s="83">
        <v>5158</v>
      </c>
      <c r="B194" s="136">
        <v>921600</v>
      </c>
      <c r="C194" s="84" t="s">
        <v>181</v>
      </c>
      <c r="D194" s="108"/>
      <c r="E194" s="109">
        <f t="shared" si="52"/>
        <v>0</v>
      </c>
      <c r="F194" s="108"/>
      <c r="G194" s="108"/>
      <c r="H194" s="108"/>
      <c r="I194" s="108"/>
      <c r="J194" s="108"/>
      <c r="K194" s="110"/>
      <c r="L194" s="137" t="e">
        <f t="shared" si="41"/>
        <v>#DIV/0!</v>
      </c>
    </row>
    <row r="195" spans="1:12" ht="16.5" hidden="1" customHeight="1" x14ac:dyDescent="0.25">
      <c r="A195" s="83">
        <v>5159</v>
      </c>
      <c r="B195" s="136">
        <v>921700</v>
      </c>
      <c r="C195" s="84" t="s">
        <v>182</v>
      </c>
      <c r="D195" s="108"/>
      <c r="E195" s="109">
        <f t="shared" si="52"/>
        <v>0</v>
      </c>
      <c r="F195" s="108"/>
      <c r="G195" s="108"/>
      <c r="H195" s="108"/>
      <c r="I195" s="108"/>
      <c r="J195" s="108"/>
      <c r="K195" s="110"/>
      <c r="L195" s="137" t="e">
        <f t="shared" si="41"/>
        <v>#DIV/0!</v>
      </c>
    </row>
    <row r="196" spans="1:12" ht="16.5" hidden="1" customHeight="1" x14ac:dyDescent="0.25">
      <c r="A196" s="83">
        <v>5160</v>
      </c>
      <c r="B196" s="136">
        <v>921800</v>
      </c>
      <c r="C196" s="84" t="s">
        <v>183</v>
      </c>
      <c r="D196" s="108"/>
      <c r="E196" s="109">
        <f t="shared" si="52"/>
        <v>0</v>
      </c>
      <c r="F196" s="108"/>
      <c r="G196" s="108"/>
      <c r="H196" s="108"/>
      <c r="I196" s="108"/>
      <c r="J196" s="108"/>
      <c r="K196" s="110"/>
      <c r="L196" s="137" t="e">
        <f t="shared" si="41"/>
        <v>#DIV/0!</v>
      </c>
    </row>
    <row r="197" spans="1:12" ht="16.5" hidden="1" customHeight="1" x14ac:dyDescent="0.25">
      <c r="A197" s="83">
        <v>5161</v>
      </c>
      <c r="B197" s="136">
        <v>921900</v>
      </c>
      <c r="C197" s="84" t="s">
        <v>184</v>
      </c>
      <c r="D197" s="108"/>
      <c r="E197" s="109">
        <f t="shared" si="52"/>
        <v>0</v>
      </c>
      <c r="F197" s="108"/>
      <c r="G197" s="108"/>
      <c r="H197" s="108"/>
      <c r="I197" s="108"/>
      <c r="J197" s="108"/>
      <c r="K197" s="110"/>
      <c r="L197" s="137" t="e">
        <f t="shared" si="41"/>
        <v>#DIV/0!</v>
      </c>
    </row>
    <row r="198" spans="1:12" ht="16.5" hidden="1" customHeight="1" x14ac:dyDescent="0.25">
      <c r="A198" s="130">
        <v>5162</v>
      </c>
      <c r="B198" s="131">
        <v>922000</v>
      </c>
      <c r="C198" s="82" t="s">
        <v>185</v>
      </c>
      <c r="D198" s="100">
        <f>SUM(D199:D210)</f>
        <v>0</v>
      </c>
      <c r="E198" s="100">
        <f t="shared" si="52"/>
        <v>0</v>
      </c>
      <c r="F198" s="100">
        <f t="shared" ref="F198:K198" si="59">SUM(F199:F210)</f>
        <v>0</v>
      </c>
      <c r="G198" s="100">
        <f t="shared" si="59"/>
        <v>0</v>
      </c>
      <c r="H198" s="100">
        <f t="shared" si="59"/>
        <v>0</v>
      </c>
      <c r="I198" s="100">
        <f t="shared" si="59"/>
        <v>0</v>
      </c>
      <c r="J198" s="100">
        <f t="shared" si="59"/>
        <v>0</v>
      </c>
      <c r="K198" s="101">
        <f t="shared" si="59"/>
        <v>0</v>
      </c>
      <c r="L198" s="137" t="e">
        <f t="shared" si="41"/>
        <v>#DIV/0!</v>
      </c>
    </row>
    <row r="199" spans="1:12" ht="16.5" hidden="1" customHeight="1" x14ac:dyDescent="0.25">
      <c r="A199" s="83">
        <v>5163</v>
      </c>
      <c r="B199" s="136">
        <v>922100</v>
      </c>
      <c r="C199" s="84" t="s">
        <v>186</v>
      </c>
      <c r="D199" s="108"/>
      <c r="E199" s="109">
        <f t="shared" ref="E199:E211" si="60">SUM(F199:K199)</f>
        <v>0</v>
      </c>
      <c r="F199" s="108"/>
      <c r="G199" s="108"/>
      <c r="H199" s="108"/>
      <c r="I199" s="108"/>
      <c r="J199" s="108"/>
      <c r="K199" s="110"/>
      <c r="L199" s="137" t="e">
        <f t="shared" si="41"/>
        <v>#DIV/0!</v>
      </c>
    </row>
    <row r="200" spans="1:12" ht="16.5" hidden="1" customHeight="1" x14ac:dyDescent="0.25">
      <c r="A200" s="83">
        <v>5164</v>
      </c>
      <c r="B200" s="136">
        <v>922200</v>
      </c>
      <c r="C200" s="84" t="s">
        <v>187</v>
      </c>
      <c r="D200" s="108"/>
      <c r="E200" s="109">
        <f t="shared" si="60"/>
        <v>0</v>
      </c>
      <c r="F200" s="108"/>
      <c r="G200" s="108"/>
      <c r="H200" s="108"/>
      <c r="I200" s="108"/>
      <c r="J200" s="108"/>
      <c r="K200" s="110"/>
      <c r="L200" s="137" t="e">
        <f t="shared" si="41"/>
        <v>#DIV/0!</v>
      </c>
    </row>
    <row r="201" spans="1:12" ht="16.5" hidden="1" customHeight="1" x14ac:dyDescent="0.25">
      <c r="A201" s="83">
        <v>5165</v>
      </c>
      <c r="B201" s="136">
        <v>922300</v>
      </c>
      <c r="C201" s="84" t="s">
        <v>188</v>
      </c>
      <c r="D201" s="108"/>
      <c r="E201" s="109">
        <f t="shared" si="60"/>
        <v>0</v>
      </c>
      <c r="F201" s="108"/>
      <c r="G201" s="108"/>
      <c r="H201" s="108"/>
      <c r="I201" s="108"/>
      <c r="J201" s="108"/>
      <c r="K201" s="110"/>
      <c r="L201" s="137" t="e">
        <f t="shared" si="41"/>
        <v>#DIV/0!</v>
      </c>
    </row>
    <row r="202" spans="1:12" ht="16.5" hidden="1" customHeight="1" x14ac:dyDescent="0.25">
      <c r="A202" s="83">
        <v>5166</v>
      </c>
      <c r="B202" s="136">
        <v>922400</v>
      </c>
      <c r="C202" s="84" t="s">
        <v>189</v>
      </c>
      <c r="D202" s="108"/>
      <c r="E202" s="109">
        <f t="shared" si="60"/>
        <v>0</v>
      </c>
      <c r="F202" s="108"/>
      <c r="G202" s="108"/>
      <c r="H202" s="108"/>
      <c r="I202" s="108"/>
      <c r="J202" s="108"/>
      <c r="K202" s="110"/>
      <c r="L202" s="137" t="e">
        <f t="shared" ref="L202:L211" si="61">E202/D202</f>
        <v>#DIV/0!</v>
      </c>
    </row>
    <row r="203" spans="1:12" ht="16.5" hidden="1" customHeight="1" x14ac:dyDescent="0.25">
      <c r="A203" s="83">
        <v>5167</v>
      </c>
      <c r="B203" s="136">
        <v>922500</v>
      </c>
      <c r="C203" s="84" t="s">
        <v>190</v>
      </c>
      <c r="D203" s="108"/>
      <c r="E203" s="109">
        <f t="shared" si="60"/>
        <v>0</v>
      </c>
      <c r="F203" s="108"/>
      <c r="G203" s="108"/>
      <c r="H203" s="108"/>
      <c r="I203" s="108"/>
      <c r="J203" s="108"/>
      <c r="K203" s="110"/>
      <c r="L203" s="137" t="e">
        <f t="shared" si="61"/>
        <v>#DIV/0!</v>
      </c>
    </row>
    <row r="204" spans="1:12" ht="16.5" hidden="1" customHeight="1" x14ac:dyDescent="0.25">
      <c r="A204" s="583" t="s">
        <v>0</v>
      </c>
      <c r="B204" s="584" t="s">
        <v>1</v>
      </c>
      <c r="C204" s="585" t="s">
        <v>2</v>
      </c>
      <c r="D204" s="575" t="s">
        <v>3</v>
      </c>
      <c r="E204" s="575" t="s">
        <v>4</v>
      </c>
      <c r="F204" s="575"/>
      <c r="G204" s="575"/>
      <c r="H204" s="575"/>
      <c r="I204" s="575"/>
      <c r="J204" s="575"/>
      <c r="K204" s="582"/>
      <c r="L204" s="137" t="e">
        <f t="shared" si="61"/>
        <v>#VALUE!</v>
      </c>
    </row>
    <row r="205" spans="1:12" ht="16.5" hidden="1" customHeight="1" x14ac:dyDescent="0.25">
      <c r="A205" s="583"/>
      <c r="B205" s="584"/>
      <c r="C205" s="585"/>
      <c r="D205" s="575"/>
      <c r="E205" s="581" t="s">
        <v>5</v>
      </c>
      <c r="F205" s="575" t="s">
        <v>6</v>
      </c>
      <c r="G205" s="575"/>
      <c r="H205" s="575"/>
      <c r="I205" s="575"/>
      <c r="J205" s="575" t="s">
        <v>7</v>
      </c>
      <c r="K205" s="582" t="s">
        <v>8</v>
      </c>
      <c r="L205" s="137" t="e">
        <f t="shared" si="61"/>
        <v>#VALUE!</v>
      </c>
    </row>
    <row r="206" spans="1:12" ht="16.5" hidden="1" customHeight="1" x14ac:dyDescent="0.25">
      <c r="A206" s="583"/>
      <c r="B206" s="584"/>
      <c r="C206" s="585"/>
      <c r="D206" s="575"/>
      <c r="E206" s="581"/>
      <c r="F206" s="131" t="s">
        <v>9</v>
      </c>
      <c r="G206" s="131" t="s">
        <v>10</v>
      </c>
      <c r="H206" s="131" t="s">
        <v>11</v>
      </c>
      <c r="I206" s="131" t="s">
        <v>12</v>
      </c>
      <c r="J206" s="575"/>
      <c r="K206" s="582"/>
      <c r="L206" s="137" t="e">
        <f t="shared" si="61"/>
        <v>#DIV/0!</v>
      </c>
    </row>
    <row r="207" spans="1:12" ht="16.5" hidden="1" customHeight="1" x14ac:dyDescent="0.25">
      <c r="A207" s="85" t="s">
        <v>18</v>
      </c>
      <c r="B207" s="133" t="s">
        <v>19</v>
      </c>
      <c r="C207" s="133" t="s">
        <v>20</v>
      </c>
      <c r="D207" s="86" t="s">
        <v>21</v>
      </c>
      <c r="E207" s="86" t="s">
        <v>22</v>
      </c>
      <c r="F207" s="86" t="s">
        <v>23</v>
      </c>
      <c r="G207" s="86" t="s">
        <v>24</v>
      </c>
      <c r="H207" s="86" t="s">
        <v>25</v>
      </c>
      <c r="I207" s="86" t="s">
        <v>26</v>
      </c>
      <c r="J207" s="86" t="s">
        <v>27</v>
      </c>
      <c r="K207" s="98" t="s">
        <v>28</v>
      </c>
      <c r="L207" s="137">
        <f t="shared" si="61"/>
        <v>1.25</v>
      </c>
    </row>
    <row r="208" spans="1:12" ht="16.5" hidden="1" customHeight="1" x14ac:dyDescent="0.25">
      <c r="A208" s="83">
        <v>5168</v>
      </c>
      <c r="B208" s="136">
        <v>922600</v>
      </c>
      <c r="C208" s="84" t="s">
        <v>191</v>
      </c>
      <c r="D208" s="108"/>
      <c r="E208" s="109">
        <f t="shared" si="60"/>
        <v>0</v>
      </c>
      <c r="F208" s="108"/>
      <c r="G208" s="108"/>
      <c r="H208" s="108"/>
      <c r="I208" s="108"/>
      <c r="J208" s="108"/>
      <c r="K208" s="110"/>
      <c r="L208" s="137" t="e">
        <f t="shared" si="61"/>
        <v>#DIV/0!</v>
      </c>
    </row>
    <row r="209" spans="1:12" ht="16.5" hidden="1" customHeight="1" x14ac:dyDescent="0.25">
      <c r="A209" s="83">
        <v>5169</v>
      </c>
      <c r="B209" s="136">
        <v>922700</v>
      </c>
      <c r="C209" s="84" t="s">
        <v>192</v>
      </c>
      <c r="D209" s="108"/>
      <c r="E209" s="109">
        <f t="shared" si="60"/>
        <v>0</v>
      </c>
      <c r="F209" s="108"/>
      <c r="G209" s="108"/>
      <c r="H209" s="108"/>
      <c r="I209" s="108"/>
      <c r="J209" s="108"/>
      <c r="K209" s="110"/>
      <c r="L209" s="137" t="e">
        <f t="shared" si="61"/>
        <v>#DIV/0!</v>
      </c>
    </row>
    <row r="210" spans="1:12" ht="16.5" hidden="1" customHeight="1" x14ac:dyDescent="0.25">
      <c r="A210" s="83">
        <v>5170</v>
      </c>
      <c r="B210" s="136">
        <v>922800</v>
      </c>
      <c r="C210" s="84" t="s">
        <v>193</v>
      </c>
      <c r="D210" s="108"/>
      <c r="E210" s="109">
        <f t="shared" si="60"/>
        <v>0</v>
      </c>
      <c r="F210" s="108"/>
      <c r="G210" s="108"/>
      <c r="H210" s="108"/>
      <c r="I210" s="108"/>
      <c r="J210" s="108"/>
      <c r="K210" s="110"/>
      <c r="L210" s="137" t="e">
        <f t="shared" si="61"/>
        <v>#DIV/0!</v>
      </c>
    </row>
    <row r="211" spans="1:12" ht="12.75" customHeight="1" thickBot="1" x14ac:dyDescent="0.3">
      <c r="A211" s="87">
        <v>5171</v>
      </c>
      <c r="B211" s="88"/>
      <c r="C211" s="89" t="s">
        <v>536</v>
      </c>
      <c r="D211" s="113">
        <f>D9+D163</f>
        <v>1487035</v>
      </c>
      <c r="E211" s="113">
        <f t="shared" si="60"/>
        <v>398163</v>
      </c>
      <c r="F211" s="113">
        <f t="shared" ref="F211:K211" si="62">F9+F163</f>
        <v>2998</v>
      </c>
      <c r="G211" s="113">
        <f t="shared" si="62"/>
        <v>0</v>
      </c>
      <c r="H211" s="113">
        <f t="shared" si="62"/>
        <v>0</v>
      </c>
      <c r="I211" s="113">
        <f t="shared" si="62"/>
        <v>392276</v>
      </c>
      <c r="J211" s="113">
        <f t="shared" si="62"/>
        <v>0</v>
      </c>
      <c r="K211" s="114">
        <f t="shared" si="62"/>
        <v>2889</v>
      </c>
      <c r="L211" s="138">
        <f t="shared" si="61"/>
        <v>0.26775630701362108</v>
      </c>
    </row>
    <row r="212" spans="1:12" ht="12.75" customHeight="1" x14ac:dyDescent="0.25">
      <c r="A212" s="90"/>
      <c r="B212" s="91"/>
      <c r="C212" s="91"/>
      <c r="D212" s="91"/>
      <c r="E212" s="91"/>
      <c r="F212" s="91"/>
      <c r="G212" s="91"/>
      <c r="H212" s="91"/>
      <c r="I212" s="91"/>
      <c r="J212" s="91"/>
      <c r="K212" s="91"/>
    </row>
    <row r="213" spans="1:12" ht="6" customHeight="1" x14ac:dyDescent="0.25">
      <c r="A213" s="90"/>
      <c r="B213" s="91"/>
      <c r="C213" s="91"/>
      <c r="D213" s="91"/>
      <c r="E213" s="91"/>
      <c r="F213" s="91"/>
      <c r="G213" s="91"/>
      <c r="H213" s="91"/>
      <c r="I213" s="91"/>
      <c r="J213" s="91"/>
      <c r="K213" s="91"/>
    </row>
    <row r="214" spans="1:12" ht="12.75" customHeight="1" x14ac:dyDescent="0.25">
      <c r="A214" s="92" t="s">
        <v>195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</row>
    <row r="215" spans="1:12" ht="12.75" customHeight="1" thickBot="1" x14ac:dyDescent="0.3">
      <c r="A215" s="90"/>
      <c r="B215" s="91"/>
      <c r="C215" s="91"/>
      <c r="D215" s="91"/>
      <c r="E215" s="91"/>
      <c r="F215" s="91"/>
      <c r="G215" s="91"/>
      <c r="H215" s="91"/>
      <c r="I215" s="91"/>
      <c r="J215" s="91" t="s">
        <v>196</v>
      </c>
      <c r="K215" s="91"/>
    </row>
    <row r="216" spans="1:12" ht="12.75" customHeight="1" x14ac:dyDescent="0.25">
      <c r="A216" s="572" t="s">
        <v>0</v>
      </c>
      <c r="B216" s="574" t="s">
        <v>1</v>
      </c>
      <c r="C216" s="574" t="s">
        <v>2</v>
      </c>
      <c r="D216" s="574" t="s">
        <v>197</v>
      </c>
      <c r="E216" s="574" t="s">
        <v>198</v>
      </c>
      <c r="F216" s="590"/>
      <c r="G216" s="590"/>
      <c r="H216" s="590"/>
      <c r="I216" s="590"/>
      <c r="J216" s="590"/>
      <c r="K216" s="591"/>
      <c r="L216" s="578" t="s">
        <v>530</v>
      </c>
    </row>
    <row r="217" spans="1:12" ht="12.75" customHeight="1" x14ac:dyDescent="0.25">
      <c r="A217" s="588"/>
      <c r="B217" s="589"/>
      <c r="C217" s="589"/>
      <c r="D217" s="589"/>
      <c r="E217" s="575" t="s">
        <v>199</v>
      </c>
      <c r="F217" s="575" t="s">
        <v>200</v>
      </c>
      <c r="G217" s="589"/>
      <c r="H217" s="589"/>
      <c r="I217" s="589"/>
      <c r="J217" s="575" t="s">
        <v>7</v>
      </c>
      <c r="K217" s="582" t="s">
        <v>8</v>
      </c>
      <c r="L217" s="579"/>
    </row>
    <row r="218" spans="1:12" ht="12.75" customHeight="1" x14ac:dyDescent="0.25">
      <c r="A218" s="588"/>
      <c r="B218" s="589"/>
      <c r="C218" s="589"/>
      <c r="D218" s="589"/>
      <c r="E218" s="589"/>
      <c r="F218" s="131" t="s">
        <v>201</v>
      </c>
      <c r="G218" s="131" t="s">
        <v>10</v>
      </c>
      <c r="H218" s="131" t="s">
        <v>11</v>
      </c>
      <c r="I218" s="131" t="s">
        <v>12</v>
      </c>
      <c r="J218" s="589"/>
      <c r="K218" s="592"/>
      <c r="L218" s="580"/>
    </row>
    <row r="219" spans="1:12" ht="12.75" customHeight="1" x14ac:dyDescent="0.25">
      <c r="A219" s="130">
        <v>1</v>
      </c>
      <c r="B219" s="131">
        <v>2</v>
      </c>
      <c r="C219" s="131">
        <v>3</v>
      </c>
      <c r="D219" s="131">
        <v>4</v>
      </c>
      <c r="E219" s="131">
        <v>5</v>
      </c>
      <c r="F219" s="131">
        <v>6</v>
      </c>
      <c r="G219" s="131">
        <v>7</v>
      </c>
      <c r="H219" s="131">
        <v>8</v>
      </c>
      <c r="I219" s="131">
        <v>9</v>
      </c>
      <c r="J219" s="131">
        <v>10</v>
      </c>
      <c r="K219" s="132">
        <v>11</v>
      </c>
      <c r="L219" s="135" t="s">
        <v>531</v>
      </c>
    </row>
    <row r="220" spans="1:12" ht="12.75" customHeight="1" x14ac:dyDescent="0.25">
      <c r="A220" s="93">
        <v>5172</v>
      </c>
      <c r="B220" s="131"/>
      <c r="C220" s="82" t="s">
        <v>202</v>
      </c>
      <c r="D220" s="100">
        <f>D221+D417</f>
        <v>1492314</v>
      </c>
      <c r="E220" s="100">
        <f t="shared" ref="E220:E291" si="63">SUM(F220:K220)</f>
        <v>404536</v>
      </c>
      <c r="F220" s="100">
        <f t="shared" ref="F220:K220" si="64">F221+F417</f>
        <v>2998</v>
      </c>
      <c r="G220" s="100">
        <f t="shared" si="64"/>
        <v>0</v>
      </c>
      <c r="H220" s="100">
        <f t="shared" si="64"/>
        <v>0</v>
      </c>
      <c r="I220" s="100">
        <f t="shared" si="64"/>
        <v>392495</v>
      </c>
      <c r="J220" s="100">
        <f t="shared" si="64"/>
        <v>0</v>
      </c>
      <c r="K220" s="101">
        <f t="shared" si="64"/>
        <v>9043</v>
      </c>
      <c r="L220" s="137">
        <f t="shared" ref="L220:L283" si="65">E220/D220</f>
        <v>0.27107967894156326</v>
      </c>
    </row>
    <row r="221" spans="1:12" ht="12.75" customHeight="1" x14ac:dyDescent="0.25">
      <c r="A221" s="93">
        <v>5173</v>
      </c>
      <c r="B221" s="131">
        <v>400000</v>
      </c>
      <c r="C221" s="82" t="s">
        <v>203</v>
      </c>
      <c r="D221" s="100">
        <f>D222+D248+D297+D316+D344+D357+D377+D396</f>
        <v>1466779</v>
      </c>
      <c r="E221" s="100">
        <f t="shared" si="63"/>
        <v>397970</v>
      </c>
      <c r="F221" s="100">
        <f t="shared" ref="F221:K221" si="66">F222+F248+F297+F316+F344+F357+F377+F396</f>
        <v>0</v>
      </c>
      <c r="G221" s="100">
        <f t="shared" si="66"/>
        <v>0</v>
      </c>
      <c r="H221" s="100">
        <f t="shared" si="66"/>
        <v>0</v>
      </c>
      <c r="I221" s="100">
        <f t="shared" si="66"/>
        <v>392495</v>
      </c>
      <c r="J221" s="100">
        <f t="shared" si="66"/>
        <v>0</v>
      </c>
      <c r="K221" s="101">
        <f t="shared" si="66"/>
        <v>5475</v>
      </c>
      <c r="L221" s="137">
        <f t="shared" si="65"/>
        <v>0.27132240098883337</v>
      </c>
    </row>
    <row r="222" spans="1:12" ht="12.75" customHeight="1" x14ac:dyDescent="0.25">
      <c r="A222" s="93">
        <v>5174</v>
      </c>
      <c r="B222" s="131">
        <v>410000</v>
      </c>
      <c r="C222" s="82" t="s">
        <v>204</v>
      </c>
      <c r="D222" s="100">
        <f>D223+D225+D229+D231+D240+D242+D244+D246</f>
        <v>1063773</v>
      </c>
      <c r="E222" s="100">
        <f t="shared" si="63"/>
        <v>282200</v>
      </c>
      <c r="F222" s="100">
        <f t="shared" ref="F222:K222" si="67">F223+F225+F229+F231+F240+F242+F244+F246</f>
        <v>0</v>
      </c>
      <c r="G222" s="100">
        <f t="shared" si="67"/>
        <v>0</v>
      </c>
      <c r="H222" s="100">
        <f t="shared" si="67"/>
        <v>0</v>
      </c>
      <c r="I222" s="100">
        <f t="shared" si="67"/>
        <v>281531</v>
      </c>
      <c r="J222" s="100">
        <f t="shared" si="67"/>
        <v>0</v>
      </c>
      <c r="K222" s="101">
        <f t="shared" si="67"/>
        <v>669</v>
      </c>
      <c r="L222" s="137">
        <f t="shared" si="65"/>
        <v>0.26528216076174144</v>
      </c>
    </row>
    <row r="223" spans="1:12" ht="12.75" customHeight="1" x14ac:dyDescent="0.25">
      <c r="A223" s="93">
        <v>5175</v>
      </c>
      <c r="B223" s="131">
        <v>411000</v>
      </c>
      <c r="C223" s="82" t="s">
        <v>205</v>
      </c>
      <c r="D223" s="100">
        <f>D224</f>
        <v>875010</v>
      </c>
      <c r="E223" s="100">
        <f t="shared" si="63"/>
        <v>226951</v>
      </c>
      <c r="F223" s="100">
        <f t="shared" ref="F223:K223" si="68">F224</f>
        <v>0</v>
      </c>
      <c r="G223" s="100">
        <f t="shared" si="68"/>
        <v>0</v>
      </c>
      <c r="H223" s="100">
        <f t="shared" si="68"/>
        <v>0</v>
      </c>
      <c r="I223" s="100">
        <f t="shared" si="68"/>
        <v>226416</v>
      </c>
      <c r="J223" s="100">
        <f t="shared" si="68"/>
        <v>0</v>
      </c>
      <c r="K223" s="101">
        <f t="shared" si="68"/>
        <v>535</v>
      </c>
      <c r="L223" s="137">
        <f t="shared" si="65"/>
        <v>0.25936960720448909</v>
      </c>
    </row>
    <row r="224" spans="1:12" ht="12.75" customHeight="1" x14ac:dyDescent="0.25">
      <c r="A224" s="94">
        <v>5176</v>
      </c>
      <c r="B224" s="136">
        <v>411100</v>
      </c>
      <c r="C224" s="84" t="s">
        <v>206</v>
      </c>
      <c r="D224" s="108">
        <v>875010</v>
      </c>
      <c r="E224" s="109">
        <f t="shared" si="63"/>
        <v>226951</v>
      </c>
      <c r="F224" s="108"/>
      <c r="G224" s="108"/>
      <c r="H224" s="108"/>
      <c r="I224" s="108">
        <v>226416</v>
      </c>
      <c r="J224" s="108"/>
      <c r="K224" s="110">
        <v>535</v>
      </c>
      <c r="L224" s="137">
        <f t="shared" si="65"/>
        <v>0.25936960720448909</v>
      </c>
    </row>
    <row r="225" spans="1:12" ht="12.75" customHeight="1" x14ac:dyDescent="0.25">
      <c r="A225" s="93">
        <v>5177</v>
      </c>
      <c r="B225" s="131">
        <v>412000</v>
      </c>
      <c r="C225" s="82" t="s">
        <v>207</v>
      </c>
      <c r="D225" s="100">
        <f>SUM(D226:D228)</f>
        <v>141315</v>
      </c>
      <c r="E225" s="100">
        <f t="shared" si="63"/>
        <v>36652</v>
      </c>
      <c r="F225" s="100">
        <f t="shared" ref="F225:K225" si="69">SUM(F226:F228)</f>
        <v>0</v>
      </c>
      <c r="G225" s="100">
        <f t="shared" si="69"/>
        <v>0</v>
      </c>
      <c r="H225" s="100">
        <f t="shared" si="69"/>
        <v>0</v>
      </c>
      <c r="I225" s="100">
        <f t="shared" si="69"/>
        <v>36566</v>
      </c>
      <c r="J225" s="100">
        <f t="shared" si="69"/>
        <v>0</v>
      </c>
      <c r="K225" s="101">
        <f t="shared" si="69"/>
        <v>86</v>
      </c>
      <c r="L225" s="137">
        <f t="shared" si="65"/>
        <v>0.25936383257262147</v>
      </c>
    </row>
    <row r="226" spans="1:12" ht="12.75" customHeight="1" x14ac:dyDescent="0.25">
      <c r="A226" s="94">
        <v>5178</v>
      </c>
      <c r="B226" s="136">
        <v>412100</v>
      </c>
      <c r="C226" s="84" t="s">
        <v>208</v>
      </c>
      <c r="D226" s="108">
        <v>96251</v>
      </c>
      <c r="E226" s="109">
        <f t="shared" si="63"/>
        <v>24965</v>
      </c>
      <c r="F226" s="108"/>
      <c r="G226" s="108"/>
      <c r="H226" s="108"/>
      <c r="I226" s="108">
        <v>24906</v>
      </c>
      <c r="J226" s="108"/>
      <c r="K226" s="110">
        <v>59</v>
      </c>
      <c r="L226" s="137">
        <f t="shared" si="65"/>
        <v>0.2593739285825602</v>
      </c>
    </row>
    <row r="227" spans="1:12" ht="12.75" customHeight="1" x14ac:dyDescent="0.25">
      <c r="A227" s="94">
        <v>5179</v>
      </c>
      <c r="B227" s="136">
        <v>412200</v>
      </c>
      <c r="C227" s="84" t="s">
        <v>209</v>
      </c>
      <c r="D227" s="108">
        <v>45064</v>
      </c>
      <c r="E227" s="109">
        <f t="shared" si="63"/>
        <v>11687</v>
      </c>
      <c r="F227" s="108"/>
      <c r="G227" s="108"/>
      <c r="H227" s="108"/>
      <c r="I227" s="108">
        <v>11660</v>
      </c>
      <c r="J227" s="108"/>
      <c r="K227" s="110">
        <v>27</v>
      </c>
      <c r="L227" s="137">
        <f t="shared" si="65"/>
        <v>0.25934226877330019</v>
      </c>
    </row>
    <row r="228" spans="1:12" ht="12.75" hidden="1" customHeight="1" x14ac:dyDescent="0.25">
      <c r="A228" s="94">
        <v>5180</v>
      </c>
      <c r="B228" s="136">
        <v>412300</v>
      </c>
      <c r="C228" s="84" t="s">
        <v>210</v>
      </c>
      <c r="D228" s="108"/>
      <c r="E228" s="109">
        <f t="shared" si="63"/>
        <v>0</v>
      </c>
      <c r="F228" s="108"/>
      <c r="G228" s="108"/>
      <c r="H228" s="108"/>
      <c r="I228" s="108"/>
      <c r="J228" s="108"/>
      <c r="K228" s="110"/>
      <c r="L228" s="137" t="e">
        <f t="shared" si="65"/>
        <v>#DIV/0!</v>
      </c>
    </row>
    <row r="229" spans="1:12" ht="12.75" hidden="1" customHeight="1" x14ac:dyDescent="0.25">
      <c r="A229" s="93">
        <v>5181</v>
      </c>
      <c r="B229" s="131">
        <v>413000</v>
      </c>
      <c r="C229" s="82" t="s">
        <v>211</v>
      </c>
      <c r="D229" s="100">
        <f>D230</f>
        <v>0</v>
      </c>
      <c r="E229" s="100">
        <f t="shared" si="63"/>
        <v>0</v>
      </c>
      <c r="F229" s="100">
        <f t="shared" ref="F229:K229" si="70">F230</f>
        <v>0</v>
      </c>
      <c r="G229" s="100">
        <f t="shared" si="70"/>
        <v>0</v>
      </c>
      <c r="H229" s="100">
        <f t="shared" si="70"/>
        <v>0</v>
      </c>
      <c r="I229" s="100">
        <f t="shared" si="70"/>
        <v>0</v>
      </c>
      <c r="J229" s="100">
        <f t="shared" si="70"/>
        <v>0</v>
      </c>
      <c r="K229" s="101">
        <f t="shared" si="70"/>
        <v>0</v>
      </c>
      <c r="L229" s="137" t="e">
        <f t="shared" si="65"/>
        <v>#DIV/0!</v>
      </c>
    </row>
    <row r="230" spans="1:12" ht="12.75" hidden="1" customHeight="1" x14ac:dyDescent="0.25">
      <c r="A230" s="94">
        <v>5182</v>
      </c>
      <c r="B230" s="136">
        <v>413100</v>
      </c>
      <c r="C230" s="84" t="s">
        <v>212</v>
      </c>
      <c r="D230" s="108"/>
      <c r="E230" s="109">
        <f t="shared" si="63"/>
        <v>0</v>
      </c>
      <c r="F230" s="108"/>
      <c r="G230" s="108"/>
      <c r="H230" s="108"/>
      <c r="I230" s="108"/>
      <c r="J230" s="108"/>
      <c r="K230" s="110"/>
      <c r="L230" s="137" t="e">
        <f t="shared" si="65"/>
        <v>#DIV/0!</v>
      </c>
    </row>
    <row r="231" spans="1:12" ht="12.75" customHeight="1" x14ac:dyDescent="0.25">
      <c r="A231" s="93">
        <v>5183</v>
      </c>
      <c r="B231" s="131">
        <v>414000</v>
      </c>
      <c r="C231" s="82" t="s">
        <v>213</v>
      </c>
      <c r="D231" s="100">
        <f>SUM(D232:D239)</f>
        <v>13972</v>
      </c>
      <c r="E231" s="100">
        <f t="shared" si="63"/>
        <v>10756</v>
      </c>
      <c r="F231" s="100">
        <f t="shared" ref="F231:K231" si="71">SUM(F232:F239)</f>
        <v>0</v>
      </c>
      <c r="G231" s="100">
        <f t="shared" si="71"/>
        <v>0</v>
      </c>
      <c r="H231" s="100">
        <f t="shared" si="71"/>
        <v>0</v>
      </c>
      <c r="I231" s="100">
        <f t="shared" si="71"/>
        <v>10708</v>
      </c>
      <c r="J231" s="100">
        <f t="shared" si="71"/>
        <v>0</v>
      </c>
      <c r="K231" s="101">
        <f t="shared" si="71"/>
        <v>48</v>
      </c>
      <c r="L231" s="137">
        <f t="shared" si="65"/>
        <v>0.76982536501574583</v>
      </c>
    </row>
    <row r="232" spans="1:12" ht="12.75" hidden="1" customHeight="1" x14ac:dyDescent="0.25">
      <c r="A232" s="94">
        <v>5184</v>
      </c>
      <c r="B232" s="136">
        <v>414100</v>
      </c>
      <c r="C232" s="84" t="s">
        <v>214</v>
      </c>
      <c r="D232" s="108"/>
      <c r="E232" s="109">
        <f t="shared" si="63"/>
        <v>0</v>
      </c>
      <c r="F232" s="108"/>
      <c r="G232" s="108"/>
      <c r="H232" s="108"/>
      <c r="I232" s="108"/>
      <c r="J232" s="108"/>
      <c r="K232" s="110"/>
      <c r="L232" s="137" t="e">
        <f t="shared" si="65"/>
        <v>#DIV/0!</v>
      </c>
    </row>
    <row r="233" spans="1:12" ht="12.75" hidden="1" customHeight="1" x14ac:dyDescent="0.25">
      <c r="A233" s="94">
        <v>5185</v>
      </c>
      <c r="B233" s="136">
        <v>414200</v>
      </c>
      <c r="C233" s="84" t="s">
        <v>215</v>
      </c>
      <c r="D233" s="108"/>
      <c r="E233" s="109">
        <f t="shared" si="63"/>
        <v>0</v>
      </c>
      <c r="F233" s="108"/>
      <c r="G233" s="108"/>
      <c r="H233" s="108"/>
      <c r="I233" s="108"/>
      <c r="J233" s="108"/>
      <c r="K233" s="110"/>
      <c r="L233" s="137" t="e">
        <f t="shared" si="65"/>
        <v>#DIV/0!</v>
      </c>
    </row>
    <row r="234" spans="1:12" ht="12.75" customHeight="1" x14ac:dyDescent="0.25">
      <c r="A234" s="94">
        <v>5186</v>
      </c>
      <c r="B234" s="136">
        <v>414300</v>
      </c>
      <c r="C234" s="84" t="s">
        <v>216</v>
      </c>
      <c r="D234" s="108">
        <v>5300</v>
      </c>
      <c r="E234" s="109">
        <f t="shared" si="63"/>
        <v>2619</v>
      </c>
      <c r="F234" s="108"/>
      <c r="G234" s="108"/>
      <c r="H234" s="108"/>
      <c r="I234" s="108">
        <v>2571</v>
      </c>
      <c r="J234" s="108"/>
      <c r="K234" s="110">
        <v>48</v>
      </c>
      <c r="L234" s="137">
        <f t="shared" si="65"/>
        <v>0.49415094339622639</v>
      </c>
    </row>
    <row r="235" spans="1:12" ht="12.75" hidden="1" customHeight="1" x14ac:dyDescent="0.25">
      <c r="A235" s="583" t="s">
        <v>0</v>
      </c>
      <c r="B235" s="584" t="s">
        <v>1</v>
      </c>
      <c r="C235" s="585" t="s">
        <v>2</v>
      </c>
      <c r="D235" s="585"/>
      <c r="E235" s="575" t="s">
        <v>198</v>
      </c>
      <c r="F235" s="589"/>
      <c r="G235" s="589"/>
      <c r="H235" s="589"/>
      <c r="I235" s="589"/>
      <c r="J235" s="589"/>
      <c r="K235" s="592"/>
      <c r="L235" s="137"/>
    </row>
    <row r="236" spans="1:12" ht="12.75" hidden="1" customHeight="1" x14ac:dyDescent="0.25">
      <c r="A236" s="583"/>
      <c r="B236" s="584"/>
      <c r="C236" s="585"/>
      <c r="D236" s="585"/>
      <c r="E236" s="575" t="s">
        <v>199</v>
      </c>
      <c r="F236" s="575" t="s">
        <v>200</v>
      </c>
      <c r="G236" s="589"/>
      <c r="H236" s="589"/>
      <c r="I236" s="589"/>
      <c r="J236" s="575" t="s">
        <v>7</v>
      </c>
      <c r="K236" s="582" t="s">
        <v>8</v>
      </c>
      <c r="L236" s="137"/>
    </row>
    <row r="237" spans="1:12" ht="12.75" hidden="1" customHeight="1" x14ac:dyDescent="0.25">
      <c r="A237" s="583"/>
      <c r="B237" s="584"/>
      <c r="C237" s="585"/>
      <c r="D237" s="585"/>
      <c r="E237" s="589"/>
      <c r="F237" s="131" t="s">
        <v>201</v>
      </c>
      <c r="G237" s="131" t="s">
        <v>10</v>
      </c>
      <c r="H237" s="131" t="s">
        <v>11</v>
      </c>
      <c r="I237" s="131" t="s">
        <v>12</v>
      </c>
      <c r="J237" s="589"/>
      <c r="K237" s="592"/>
      <c r="L237" s="137"/>
    </row>
    <row r="238" spans="1:12" ht="12.75" hidden="1" customHeight="1" x14ac:dyDescent="0.25">
      <c r="A238" s="95" t="s">
        <v>18</v>
      </c>
      <c r="B238" s="133" t="s">
        <v>19</v>
      </c>
      <c r="C238" s="133" t="s">
        <v>20</v>
      </c>
      <c r="D238" s="133"/>
      <c r="E238" s="133" t="s">
        <v>22</v>
      </c>
      <c r="F238" s="133" t="s">
        <v>23</v>
      </c>
      <c r="G238" s="133" t="s">
        <v>24</v>
      </c>
      <c r="H238" s="133" t="s">
        <v>25</v>
      </c>
      <c r="I238" s="133" t="s">
        <v>26</v>
      </c>
      <c r="J238" s="133" t="s">
        <v>27</v>
      </c>
      <c r="K238" s="99" t="s">
        <v>28</v>
      </c>
      <c r="L238" s="137" t="e">
        <f t="shared" si="65"/>
        <v>#DIV/0!</v>
      </c>
    </row>
    <row r="239" spans="1:12" ht="25.5" customHeight="1" x14ac:dyDescent="0.25">
      <c r="A239" s="94">
        <v>5187</v>
      </c>
      <c r="B239" s="136">
        <v>414400</v>
      </c>
      <c r="C239" s="84" t="s">
        <v>218</v>
      </c>
      <c r="D239" s="108">
        <f>600+8072</f>
        <v>8672</v>
      </c>
      <c r="E239" s="109">
        <f t="shared" si="63"/>
        <v>8137</v>
      </c>
      <c r="F239" s="108"/>
      <c r="G239" s="108"/>
      <c r="H239" s="108"/>
      <c r="I239" s="108">
        <v>8137</v>
      </c>
      <c r="J239" s="108"/>
      <c r="K239" s="110"/>
      <c r="L239" s="137">
        <f t="shared" si="65"/>
        <v>0.93830719557195574</v>
      </c>
    </row>
    <row r="240" spans="1:12" ht="12.75" customHeight="1" x14ac:dyDescent="0.25">
      <c r="A240" s="93">
        <v>5188</v>
      </c>
      <c r="B240" s="131">
        <v>415000</v>
      </c>
      <c r="C240" s="82" t="s">
        <v>219</v>
      </c>
      <c r="D240" s="100">
        <f>D241</f>
        <v>20976</v>
      </c>
      <c r="E240" s="100">
        <f t="shared" si="63"/>
        <v>4871</v>
      </c>
      <c r="F240" s="100">
        <f t="shared" ref="F240:K240" si="72">F241</f>
        <v>0</v>
      </c>
      <c r="G240" s="100">
        <f t="shared" si="72"/>
        <v>0</v>
      </c>
      <c r="H240" s="100">
        <f t="shared" si="72"/>
        <v>0</v>
      </c>
      <c r="I240" s="100">
        <f t="shared" si="72"/>
        <v>4871</v>
      </c>
      <c r="J240" s="100">
        <f t="shared" si="72"/>
        <v>0</v>
      </c>
      <c r="K240" s="101">
        <f t="shared" si="72"/>
        <v>0</v>
      </c>
      <c r="L240" s="137">
        <f t="shared" si="65"/>
        <v>0.23221777269260108</v>
      </c>
    </row>
    <row r="241" spans="1:12" ht="12.75" customHeight="1" x14ac:dyDescent="0.25">
      <c r="A241" s="94">
        <v>5189</v>
      </c>
      <c r="B241" s="136">
        <v>415100</v>
      </c>
      <c r="C241" s="84" t="s">
        <v>220</v>
      </c>
      <c r="D241" s="108">
        <v>20976</v>
      </c>
      <c r="E241" s="109">
        <f t="shared" si="63"/>
        <v>4871</v>
      </c>
      <c r="F241" s="108"/>
      <c r="G241" s="108"/>
      <c r="H241" s="108"/>
      <c r="I241" s="108">
        <v>4871</v>
      </c>
      <c r="J241" s="108"/>
      <c r="K241" s="110"/>
      <c r="L241" s="137">
        <f t="shared" si="65"/>
        <v>0.23221777269260108</v>
      </c>
    </row>
    <row r="242" spans="1:12" ht="12.75" customHeight="1" x14ac:dyDescent="0.25">
      <c r="A242" s="93">
        <v>5190</v>
      </c>
      <c r="B242" s="131">
        <v>416000</v>
      </c>
      <c r="C242" s="82" t="s">
        <v>221</v>
      </c>
      <c r="D242" s="100">
        <f>D243</f>
        <v>12500</v>
      </c>
      <c r="E242" s="119">
        <f t="shared" si="63"/>
        <v>2970</v>
      </c>
      <c r="F242" s="119">
        <f t="shared" ref="F242:K242" si="73">F243</f>
        <v>0</v>
      </c>
      <c r="G242" s="119">
        <f t="shared" si="73"/>
        <v>0</v>
      </c>
      <c r="H242" s="119">
        <f t="shared" si="73"/>
        <v>0</v>
      </c>
      <c r="I242" s="119">
        <f t="shared" si="73"/>
        <v>2970</v>
      </c>
      <c r="J242" s="119">
        <f t="shared" si="73"/>
        <v>0</v>
      </c>
      <c r="K242" s="120">
        <f t="shared" si="73"/>
        <v>0</v>
      </c>
      <c r="L242" s="137">
        <f t="shared" si="65"/>
        <v>0.23760000000000001</v>
      </c>
    </row>
    <row r="243" spans="1:12" ht="12.75" customHeight="1" x14ac:dyDescent="0.25">
      <c r="A243" s="94">
        <v>5191</v>
      </c>
      <c r="B243" s="136">
        <v>416100</v>
      </c>
      <c r="C243" s="84" t="s">
        <v>222</v>
      </c>
      <c r="D243" s="108">
        <v>12500</v>
      </c>
      <c r="E243" s="109">
        <f t="shared" si="63"/>
        <v>2970</v>
      </c>
      <c r="F243" s="108"/>
      <c r="G243" s="108"/>
      <c r="H243" s="108"/>
      <c r="I243" s="108">
        <v>2970</v>
      </c>
      <c r="J243" s="108"/>
      <c r="K243" s="110"/>
      <c r="L243" s="137">
        <f t="shared" si="65"/>
        <v>0.23760000000000001</v>
      </c>
    </row>
    <row r="244" spans="1:12" ht="12.75" hidden="1" customHeight="1" x14ac:dyDescent="0.25">
      <c r="A244" s="93">
        <v>5192</v>
      </c>
      <c r="B244" s="131">
        <v>417000</v>
      </c>
      <c r="C244" s="82" t="s">
        <v>223</v>
      </c>
      <c r="D244" s="100">
        <f>D245</f>
        <v>0</v>
      </c>
      <c r="E244" s="100">
        <f t="shared" si="63"/>
        <v>0</v>
      </c>
      <c r="F244" s="100">
        <f t="shared" ref="F244:K244" si="74">F245</f>
        <v>0</v>
      </c>
      <c r="G244" s="100">
        <f t="shared" si="74"/>
        <v>0</v>
      </c>
      <c r="H244" s="100">
        <f t="shared" si="74"/>
        <v>0</v>
      </c>
      <c r="I244" s="100">
        <f t="shared" si="74"/>
        <v>0</v>
      </c>
      <c r="J244" s="100">
        <f t="shared" si="74"/>
        <v>0</v>
      </c>
      <c r="K244" s="101">
        <f t="shared" si="74"/>
        <v>0</v>
      </c>
      <c r="L244" s="137" t="e">
        <f t="shared" si="65"/>
        <v>#DIV/0!</v>
      </c>
    </row>
    <row r="245" spans="1:12" ht="12.75" hidden="1" customHeight="1" x14ac:dyDescent="0.25">
      <c r="A245" s="94">
        <v>5193</v>
      </c>
      <c r="B245" s="136">
        <v>417100</v>
      </c>
      <c r="C245" s="84" t="s">
        <v>224</v>
      </c>
      <c r="D245" s="108"/>
      <c r="E245" s="109">
        <f t="shared" si="63"/>
        <v>0</v>
      </c>
      <c r="F245" s="108"/>
      <c r="G245" s="108"/>
      <c r="H245" s="108"/>
      <c r="I245" s="108"/>
      <c r="J245" s="108"/>
      <c r="K245" s="110"/>
      <c r="L245" s="137" t="e">
        <f t="shared" si="65"/>
        <v>#DIV/0!</v>
      </c>
    </row>
    <row r="246" spans="1:12" ht="12.75" hidden="1" customHeight="1" x14ac:dyDescent="0.25">
      <c r="A246" s="93">
        <v>5194</v>
      </c>
      <c r="B246" s="131">
        <v>418000</v>
      </c>
      <c r="C246" s="82" t="s">
        <v>225</v>
      </c>
      <c r="D246" s="100">
        <f>D247</f>
        <v>0</v>
      </c>
      <c r="E246" s="100">
        <f t="shared" si="63"/>
        <v>0</v>
      </c>
      <c r="F246" s="100">
        <f t="shared" ref="F246:K246" si="75">F247</f>
        <v>0</v>
      </c>
      <c r="G246" s="100">
        <f t="shared" si="75"/>
        <v>0</v>
      </c>
      <c r="H246" s="100">
        <f t="shared" si="75"/>
        <v>0</v>
      </c>
      <c r="I246" s="100">
        <f t="shared" si="75"/>
        <v>0</v>
      </c>
      <c r="J246" s="100">
        <f t="shared" si="75"/>
        <v>0</v>
      </c>
      <c r="K246" s="101">
        <f t="shared" si="75"/>
        <v>0</v>
      </c>
      <c r="L246" s="137" t="e">
        <f t="shared" si="65"/>
        <v>#DIV/0!</v>
      </c>
    </row>
    <row r="247" spans="1:12" ht="12.75" hidden="1" customHeight="1" x14ac:dyDescent="0.25">
      <c r="A247" s="94">
        <v>5195</v>
      </c>
      <c r="B247" s="136">
        <v>418100</v>
      </c>
      <c r="C247" s="84" t="s">
        <v>226</v>
      </c>
      <c r="D247" s="108"/>
      <c r="E247" s="109">
        <f t="shared" si="63"/>
        <v>0</v>
      </c>
      <c r="F247" s="108"/>
      <c r="G247" s="108"/>
      <c r="H247" s="108"/>
      <c r="I247" s="108"/>
      <c r="J247" s="108"/>
      <c r="K247" s="110"/>
      <c r="L247" s="137" t="e">
        <f t="shared" si="65"/>
        <v>#DIV/0!</v>
      </c>
    </row>
    <row r="248" spans="1:12" ht="12.75" customHeight="1" x14ac:dyDescent="0.25">
      <c r="A248" s="93">
        <v>5196</v>
      </c>
      <c r="B248" s="131">
        <v>420000</v>
      </c>
      <c r="C248" s="82" t="s">
        <v>227</v>
      </c>
      <c r="D248" s="100">
        <f>D249+D257+D263+D276+D284+D287</f>
        <v>394480</v>
      </c>
      <c r="E248" s="100">
        <f t="shared" si="63"/>
        <v>113414</v>
      </c>
      <c r="F248" s="100">
        <f t="shared" ref="F248:K248" si="76">F249+F257+F263+F276+F284+F287</f>
        <v>0</v>
      </c>
      <c r="G248" s="100">
        <f t="shared" si="76"/>
        <v>0</v>
      </c>
      <c r="H248" s="100">
        <f t="shared" si="76"/>
        <v>0</v>
      </c>
      <c r="I248" s="100">
        <f t="shared" si="76"/>
        <v>108935</v>
      </c>
      <c r="J248" s="100">
        <f t="shared" si="76"/>
        <v>0</v>
      </c>
      <c r="K248" s="101">
        <f t="shared" si="76"/>
        <v>4479</v>
      </c>
      <c r="L248" s="137">
        <f t="shared" si="65"/>
        <v>0.28750253498276213</v>
      </c>
    </row>
    <row r="249" spans="1:12" ht="12.75" customHeight="1" x14ac:dyDescent="0.25">
      <c r="A249" s="93">
        <v>5197</v>
      </c>
      <c r="B249" s="131">
        <v>421000</v>
      </c>
      <c r="C249" s="82" t="s">
        <v>228</v>
      </c>
      <c r="D249" s="100">
        <f>SUM(D250:D256)</f>
        <v>90840</v>
      </c>
      <c r="E249" s="100">
        <f t="shared" si="63"/>
        <v>32261</v>
      </c>
      <c r="F249" s="100">
        <f t="shared" ref="F249:K249" si="77">SUM(F250:F256)</f>
        <v>0</v>
      </c>
      <c r="G249" s="100">
        <f t="shared" si="77"/>
        <v>0</v>
      </c>
      <c r="H249" s="100">
        <f t="shared" si="77"/>
        <v>0</v>
      </c>
      <c r="I249" s="100">
        <f t="shared" si="77"/>
        <v>30619</v>
      </c>
      <c r="J249" s="100">
        <f t="shared" si="77"/>
        <v>0</v>
      </c>
      <c r="K249" s="101">
        <f t="shared" si="77"/>
        <v>1642</v>
      </c>
      <c r="L249" s="137">
        <f t="shared" si="65"/>
        <v>0.35514090708938795</v>
      </c>
    </row>
    <row r="250" spans="1:12" ht="12.75" customHeight="1" x14ac:dyDescent="0.25">
      <c r="A250" s="94">
        <v>5198</v>
      </c>
      <c r="B250" s="136">
        <v>421100</v>
      </c>
      <c r="C250" s="84" t="s">
        <v>229</v>
      </c>
      <c r="D250" s="108">
        <v>1513</v>
      </c>
      <c r="E250" s="109">
        <f t="shared" si="63"/>
        <v>340</v>
      </c>
      <c r="F250" s="108"/>
      <c r="G250" s="108"/>
      <c r="H250" s="108"/>
      <c r="I250" s="108">
        <v>328</v>
      </c>
      <c r="J250" s="108"/>
      <c r="K250" s="110">
        <v>12</v>
      </c>
      <c r="L250" s="137">
        <f t="shared" si="65"/>
        <v>0.2247191011235955</v>
      </c>
    </row>
    <row r="251" spans="1:12" ht="12.75" customHeight="1" x14ac:dyDescent="0.25">
      <c r="A251" s="94">
        <v>5199</v>
      </c>
      <c r="B251" s="136">
        <v>421200</v>
      </c>
      <c r="C251" s="84" t="s">
        <v>230</v>
      </c>
      <c r="D251" s="108">
        <v>73600</v>
      </c>
      <c r="E251" s="109">
        <f t="shared" si="63"/>
        <v>29129</v>
      </c>
      <c r="F251" s="108"/>
      <c r="G251" s="108"/>
      <c r="H251" s="108"/>
      <c r="I251" s="108">
        <v>29087</v>
      </c>
      <c r="J251" s="108"/>
      <c r="K251" s="110">
        <v>42</v>
      </c>
      <c r="L251" s="137">
        <f t="shared" si="65"/>
        <v>0.39577445652173915</v>
      </c>
    </row>
    <row r="252" spans="1:12" ht="12.75" customHeight="1" x14ac:dyDescent="0.25">
      <c r="A252" s="94">
        <v>5200</v>
      </c>
      <c r="B252" s="136">
        <v>421300</v>
      </c>
      <c r="C252" s="84" t="s">
        <v>231</v>
      </c>
      <c r="D252" s="108">
        <v>10627</v>
      </c>
      <c r="E252" s="109">
        <f t="shared" si="63"/>
        <v>1952</v>
      </c>
      <c r="F252" s="108"/>
      <c r="G252" s="108"/>
      <c r="H252" s="108"/>
      <c r="I252" s="108">
        <v>708</v>
      </c>
      <c r="J252" s="108"/>
      <c r="K252" s="110">
        <v>1244</v>
      </c>
      <c r="L252" s="137">
        <f t="shared" si="65"/>
        <v>0.18368307142185</v>
      </c>
    </row>
    <row r="253" spans="1:12" ht="12.75" customHeight="1" x14ac:dyDescent="0.25">
      <c r="A253" s="94">
        <v>5201</v>
      </c>
      <c r="B253" s="136">
        <v>421400</v>
      </c>
      <c r="C253" s="84" t="s">
        <v>232</v>
      </c>
      <c r="D253" s="108">
        <v>2208</v>
      </c>
      <c r="E253" s="109">
        <f t="shared" si="63"/>
        <v>508</v>
      </c>
      <c r="F253" s="108"/>
      <c r="G253" s="108"/>
      <c r="H253" s="108"/>
      <c r="I253" s="108">
        <v>275</v>
      </c>
      <c r="J253" s="108"/>
      <c r="K253" s="110">
        <v>233</v>
      </c>
      <c r="L253" s="137">
        <f t="shared" si="65"/>
        <v>0.23007246376811594</v>
      </c>
    </row>
    <row r="254" spans="1:12" ht="12.75" customHeight="1" x14ac:dyDescent="0.25">
      <c r="A254" s="94">
        <v>5202</v>
      </c>
      <c r="B254" s="136">
        <v>421500</v>
      </c>
      <c r="C254" s="84" t="s">
        <v>233</v>
      </c>
      <c r="D254" s="108">
        <v>2892</v>
      </c>
      <c r="E254" s="109">
        <f t="shared" si="63"/>
        <v>332</v>
      </c>
      <c r="F254" s="108"/>
      <c r="G254" s="108"/>
      <c r="H254" s="108"/>
      <c r="I254" s="108">
        <v>221</v>
      </c>
      <c r="J254" s="108"/>
      <c r="K254" s="110">
        <v>111</v>
      </c>
      <c r="L254" s="137">
        <f t="shared" si="65"/>
        <v>0.11479944674965421</v>
      </c>
    </row>
    <row r="255" spans="1:12" ht="12.75" hidden="1" customHeight="1" x14ac:dyDescent="0.25">
      <c r="A255" s="94">
        <v>5203</v>
      </c>
      <c r="B255" s="136">
        <v>421600</v>
      </c>
      <c r="C255" s="84" t="s">
        <v>234</v>
      </c>
      <c r="D255" s="108"/>
      <c r="E255" s="109">
        <f t="shared" si="63"/>
        <v>0</v>
      </c>
      <c r="F255" s="108"/>
      <c r="G255" s="108"/>
      <c r="H255" s="108"/>
      <c r="I255" s="108"/>
      <c r="J255" s="108"/>
      <c r="K255" s="110"/>
      <c r="L255" s="137" t="e">
        <f t="shared" si="65"/>
        <v>#DIV/0!</v>
      </c>
    </row>
    <row r="256" spans="1:12" ht="12.75" hidden="1" customHeight="1" x14ac:dyDescent="0.25">
      <c r="A256" s="94">
        <v>5204</v>
      </c>
      <c r="B256" s="136">
        <v>421900</v>
      </c>
      <c r="C256" s="84" t="s">
        <v>235</v>
      </c>
      <c r="D256" s="108"/>
      <c r="E256" s="109">
        <f t="shared" si="63"/>
        <v>0</v>
      </c>
      <c r="F256" s="108"/>
      <c r="G256" s="108"/>
      <c r="H256" s="108"/>
      <c r="I256" s="108"/>
      <c r="J256" s="108"/>
      <c r="K256" s="110"/>
      <c r="L256" s="137" t="e">
        <f t="shared" si="65"/>
        <v>#DIV/0!</v>
      </c>
    </row>
    <row r="257" spans="1:12" ht="12.75" customHeight="1" x14ac:dyDescent="0.25">
      <c r="A257" s="93">
        <v>5205</v>
      </c>
      <c r="B257" s="131">
        <v>422000</v>
      </c>
      <c r="C257" s="82" t="s">
        <v>236</v>
      </c>
      <c r="D257" s="100">
        <f>SUM(D258:D262)</f>
        <v>650</v>
      </c>
      <c r="E257" s="100">
        <f t="shared" si="63"/>
        <v>68</v>
      </c>
      <c r="F257" s="100">
        <f t="shared" ref="F257:K257" si="78">SUM(F258:F262)</f>
        <v>0</v>
      </c>
      <c r="G257" s="100">
        <f t="shared" si="78"/>
        <v>0</v>
      </c>
      <c r="H257" s="100">
        <f t="shared" si="78"/>
        <v>0</v>
      </c>
      <c r="I257" s="100">
        <f t="shared" si="78"/>
        <v>19</v>
      </c>
      <c r="J257" s="100">
        <f t="shared" si="78"/>
        <v>0</v>
      </c>
      <c r="K257" s="101">
        <f t="shared" si="78"/>
        <v>49</v>
      </c>
      <c r="L257" s="137">
        <f t="shared" si="65"/>
        <v>0.10461538461538461</v>
      </c>
    </row>
    <row r="258" spans="1:12" ht="12.75" customHeight="1" x14ac:dyDescent="0.25">
      <c r="A258" s="94">
        <v>5206</v>
      </c>
      <c r="B258" s="136">
        <v>422100</v>
      </c>
      <c r="C258" s="84" t="s">
        <v>237</v>
      </c>
      <c r="D258" s="108">
        <v>650</v>
      </c>
      <c r="E258" s="109">
        <f t="shared" si="63"/>
        <v>68</v>
      </c>
      <c r="F258" s="108"/>
      <c r="G258" s="108"/>
      <c r="H258" s="108"/>
      <c r="I258" s="108">
        <v>19</v>
      </c>
      <c r="J258" s="108"/>
      <c r="K258" s="110">
        <v>49</v>
      </c>
      <c r="L258" s="137">
        <f t="shared" si="65"/>
        <v>0.10461538461538461</v>
      </c>
    </row>
    <row r="259" spans="1:12" ht="12.75" hidden="1" customHeight="1" x14ac:dyDescent="0.25">
      <c r="A259" s="94">
        <v>5207</v>
      </c>
      <c r="B259" s="136">
        <v>422200</v>
      </c>
      <c r="C259" s="84" t="s">
        <v>238</v>
      </c>
      <c r="D259" s="108"/>
      <c r="E259" s="109">
        <f t="shared" si="63"/>
        <v>0</v>
      </c>
      <c r="F259" s="108"/>
      <c r="G259" s="108"/>
      <c r="H259" s="108"/>
      <c r="I259" s="108"/>
      <c r="J259" s="108"/>
      <c r="K259" s="110"/>
      <c r="L259" s="137" t="e">
        <f t="shared" si="65"/>
        <v>#DIV/0!</v>
      </c>
    </row>
    <row r="260" spans="1:12" ht="12.75" hidden="1" customHeight="1" x14ac:dyDescent="0.25">
      <c r="A260" s="94">
        <v>5208</v>
      </c>
      <c r="B260" s="136">
        <v>422300</v>
      </c>
      <c r="C260" s="84" t="s">
        <v>239</v>
      </c>
      <c r="D260" s="108"/>
      <c r="E260" s="109">
        <f t="shared" si="63"/>
        <v>0</v>
      </c>
      <c r="F260" s="108"/>
      <c r="G260" s="108"/>
      <c r="H260" s="108"/>
      <c r="I260" s="108"/>
      <c r="J260" s="108"/>
      <c r="K260" s="110"/>
      <c r="L260" s="137" t="e">
        <f t="shared" si="65"/>
        <v>#DIV/0!</v>
      </c>
    </row>
    <row r="261" spans="1:12" ht="12.75" hidden="1" customHeight="1" x14ac:dyDescent="0.25">
      <c r="A261" s="94">
        <v>5209</v>
      </c>
      <c r="B261" s="136">
        <v>422400</v>
      </c>
      <c r="C261" s="84" t="s">
        <v>240</v>
      </c>
      <c r="D261" s="108"/>
      <c r="E261" s="109">
        <f t="shared" si="63"/>
        <v>0</v>
      </c>
      <c r="F261" s="108"/>
      <c r="G261" s="108"/>
      <c r="H261" s="108"/>
      <c r="I261" s="108"/>
      <c r="J261" s="108"/>
      <c r="K261" s="110"/>
      <c r="L261" s="137" t="e">
        <f t="shared" si="65"/>
        <v>#DIV/0!</v>
      </c>
    </row>
    <row r="262" spans="1:12" ht="12.75" hidden="1" customHeight="1" x14ac:dyDescent="0.25">
      <c r="A262" s="94">
        <v>5210</v>
      </c>
      <c r="B262" s="136">
        <v>422900</v>
      </c>
      <c r="C262" s="84" t="s">
        <v>241</v>
      </c>
      <c r="D262" s="108"/>
      <c r="E262" s="109">
        <f t="shared" si="63"/>
        <v>0</v>
      </c>
      <c r="F262" s="108"/>
      <c r="G262" s="108"/>
      <c r="H262" s="108"/>
      <c r="I262" s="108"/>
      <c r="J262" s="108"/>
      <c r="K262" s="110"/>
      <c r="L262" s="137" t="e">
        <f t="shared" si="65"/>
        <v>#DIV/0!</v>
      </c>
    </row>
    <row r="263" spans="1:12" ht="12.75" customHeight="1" x14ac:dyDescent="0.25">
      <c r="A263" s="93">
        <v>5211</v>
      </c>
      <c r="B263" s="131">
        <v>423000</v>
      </c>
      <c r="C263" s="82" t="s">
        <v>242</v>
      </c>
      <c r="D263" s="100">
        <f>SUM(D264:D275)</f>
        <v>8511</v>
      </c>
      <c r="E263" s="100">
        <f t="shared" si="63"/>
        <v>2370</v>
      </c>
      <c r="F263" s="100">
        <f t="shared" ref="F263:K263" si="79">SUM(F264:F275)</f>
        <v>0</v>
      </c>
      <c r="G263" s="100">
        <f t="shared" si="79"/>
        <v>0</v>
      </c>
      <c r="H263" s="100">
        <f t="shared" si="79"/>
        <v>0</v>
      </c>
      <c r="I263" s="100">
        <f t="shared" si="79"/>
        <v>1532</v>
      </c>
      <c r="J263" s="100">
        <f t="shared" si="79"/>
        <v>0</v>
      </c>
      <c r="K263" s="101">
        <f t="shared" si="79"/>
        <v>838</v>
      </c>
      <c r="L263" s="137">
        <f t="shared" si="65"/>
        <v>0.2784631653154741</v>
      </c>
    </row>
    <row r="264" spans="1:12" ht="12.75" hidden="1" customHeight="1" x14ac:dyDescent="0.25">
      <c r="A264" s="94">
        <v>5212</v>
      </c>
      <c r="B264" s="136">
        <v>423100</v>
      </c>
      <c r="C264" s="84" t="s">
        <v>243</v>
      </c>
      <c r="D264" s="108"/>
      <c r="E264" s="109">
        <f t="shared" si="63"/>
        <v>0</v>
      </c>
      <c r="F264" s="108"/>
      <c r="G264" s="108"/>
      <c r="H264" s="108"/>
      <c r="I264" s="108"/>
      <c r="J264" s="108"/>
      <c r="K264" s="110"/>
      <c r="L264" s="137" t="e">
        <f t="shared" si="65"/>
        <v>#DIV/0!</v>
      </c>
    </row>
    <row r="265" spans="1:12" ht="12.75" customHeight="1" x14ac:dyDescent="0.25">
      <c r="A265" s="94">
        <v>5213</v>
      </c>
      <c r="B265" s="136">
        <v>423200</v>
      </c>
      <c r="C265" s="84" t="s">
        <v>244</v>
      </c>
      <c r="D265" s="108">
        <v>3606</v>
      </c>
      <c r="E265" s="109">
        <f t="shared" si="63"/>
        <v>1187</v>
      </c>
      <c r="F265" s="108"/>
      <c r="G265" s="108"/>
      <c r="H265" s="108"/>
      <c r="I265" s="108">
        <v>1187</v>
      </c>
      <c r="J265" s="108"/>
      <c r="K265" s="110"/>
      <c r="L265" s="137">
        <f t="shared" si="65"/>
        <v>0.32917359955629505</v>
      </c>
    </row>
    <row r="266" spans="1:12" ht="12.75" customHeight="1" x14ac:dyDescent="0.25">
      <c r="A266" s="94">
        <v>5214</v>
      </c>
      <c r="B266" s="136">
        <v>423300</v>
      </c>
      <c r="C266" s="84" t="s">
        <v>245</v>
      </c>
      <c r="D266" s="108">
        <v>3060</v>
      </c>
      <c r="E266" s="109">
        <f t="shared" si="63"/>
        <v>755</v>
      </c>
      <c r="F266" s="108"/>
      <c r="G266" s="108"/>
      <c r="H266" s="108"/>
      <c r="I266" s="108">
        <v>345</v>
      </c>
      <c r="J266" s="108"/>
      <c r="K266" s="110">
        <v>410</v>
      </c>
      <c r="L266" s="137">
        <f t="shared" si="65"/>
        <v>0.24673202614379086</v>
      </c>
    </row>
    <row r="267" spans="1:12" ht="12.75" customHeight="1" x14ac:dyDescent="0.25">
      <c r="A267" s="94">
        <v>5215</v>
      </c>
      <c r="B267" s="136">
        <v>423400</v>
      </c>
      <c r="C267" s="84" t="s">
        <v>246</v>
      </c>
      <c r="D267" s="108">
        <v>260</v>
      </c>
      <c r="E267" s="109">
        <f t="shared" si="63"/>
        <v>30</v>
      </c>
      <c r="F267" s="108"/>
      <c r="G267" s="108"/>
      <c r="H267" s="108"/>
      <c r="I267" s="108"/>
      <c r="J267" s="108"/>
      <c r="K267" s="110">
        <v>30</v>
      </c>
      <c r="L267" s="137">
        <f t="shared" si="65"/>
        <v>0.11538461538461539</v>
      </c>
    </row>
    <row r="268" spans="1:12" ht="12.75" customHeight="1" x14ac:dyDescent="0.25">
      <c r="A268" s="94">
        <v>5216</v>
      </c>
      <c r="B268" s="136">
        <v>423500</v>
      </c>
      <c r="C268" s="84" t="s">
        <v>247</v>
      </c>
      <c r="D268" s="108">
        <v>1125</v>
      </c>
      <c r="E268" s="109">
        <f t="shared" si="63"/>
        <v>281</v>
      </c>
      <c r="F268" s="108"/>
      <c r="G268" s="108"/>
      <c r="H268" s="108"/>
      <c r="I268" s="108"/>
      <c r="J268" s="108"/>
      <c r="K268" s="110">
        <v>281</v>
      </c>
      <c r="L268" s="137">
        <f t="shared" si="65"/>
        <v>0.24977777777777777</v>
      </c>
    </row>
    <row r="269" spans="1:12" ht="12.75" hidden="1" customHeight="1" x14ac:dyDescent="0.25">
      <c r="A269" s="94">
        <v>5217</v>
      </c>
      <c r="B269" s="136">
        <v>423600</v>
      </c>
      <c r="C269" s="84" t="s">
        <v>248</v>
      </c>
      <c r="D269" s="108"/>
      <c r="E269" s="109">
        <f t="shared" si="63"/>
        <v>0</v>
      </c>
      <c r="F269" s="108"/>
      <c r="G269" s="108"/>
      <c r="H269" s="108"/>
      <c r="I269" s="108"/>
      <c r="J269" s="108"/>
      <c r="K269" s="110"/>
      <c r="L269" s="137" t="e">
        <f t="shared" si="65"/>
        <v>#DIV/0!</v>
      </c>
    </row>
    <row r="270" spans="1:12" ht="12.75" customHeight="1" x14ac:dyDescent="0.25">
      <c r="A270" s="94">
        <v>5218</v>
      </c>
      <c r="B270" s="136">
        <v>423700</v>
      </c>
      <c r="C270" s="84" t="s">
        <v>249</v>
      </c>
      <c r="D270" s="108">
        <v>200</v>
      </c>
      <c r="E270" s="109">
        <f t="shared" si="63"/>
        <v>70</v>
      </c>
      <c r="F270" s="108"/>
      <c r="G270" s="108"/>
      <c r="H270" s="108"/>
      <c r="I270" s="108"/>
      <c r="J270" s="108"/>
      <c r="K270" s="110">
        <v>70</v>
      </c>
      <c r="L270" s="137">
        <f t="shared" si="65"/>
        <v>0.35</v>
      </c>
    </row>
    <row r="271" spans="1:12" ht="12.75" hidden="1" customHeight="1" x14ac:dyDescent="0.25">
      <c r="A271" s="583" t="s">
        <v>0</v>
      </c>
      <c r="B271" s="584" t="s">
        <v>1</v>
      </c>
      <c r="C271" s="585" t="s">
        <v>2</v>
      </c>
      <c r="D271" s="585"/>
      <c r="E271" s="575" t="s">
        <v>198</v>
      </c>
      <c r="F271" s="589"/>
      <c r="G271" s="589"/>
      <c r="H271" s="589"/>
      <c r="I271" s="589"/>
      <c r="J271" s="589"/>
      <c r="K271" s="592"/>
      <c r="L271" s="137" t="e">
        <f t="shared" si="65"/>
        <v>#VALUE!</v>
      </c>
    </row>
    <row r="272" spans="1:12" ht="12.75" hidden="1" customHeight="1" x14ac:dyDescent="0.25">
      <c r="A272" s="583"/>
      <c r="B272" s="584"/>
      <c r="C272" s="585"/>
      <c r="D272" s="585"/>
      <c r="E272" s="575" t="s">
        <v>199</v>
      </c>
      <c r="F272" s="575" t="s">
        <v>200</v>
      </c>
      <c r="G272" s="589"/>
      <c r="H272" s="589"/>
      <c r="I272" s="589"/>
      <c r="J272" s="575" t="s">
        <v>7</v>
      </c>
      <c r="K272" s="582" t="s">
        <v>8</v>
      </c>
      <c r="L272" s="137" t="e">
        <f t="shared" si="65"/>
        <v>#VALUE!</v>
      </c>
    </row>
    <row r="273" spans="1:12" ht="12.75" hidden="1" customHeight="1" x14ac:dyDescent="0.25">
      <c r="A273" s="583"/>
      <c r="B273" s="584"/>
      <c r="C273" s="585"/>
      <c r="D273" s="585"/>
      <c r="E273" s="589"/>
      <c r="F273" s="131" t="s">
        <v>201</v>
      </c>
      <c r="G273" s="131" t="s">
        <v>10</v>
      </c>
      <c r="H273" s="131" t="s">
        <v>11</v>
      </c>
      <c r="I273" s="131" t="s">
        <v>12</v>
      </c>
      <c r="J273" s="589"/>
      <c r="K273" s="592"/>
      <c r="L273" s="137" t="e">
        <f t="shared" si="65"/>
        <v>#DIV/0!</v>
      </c>
    </row>
    <row r="274" spans="1:12" ht="12.75" hidden="1" customHeight="1" x14ac:dyDescent="0.25">
      <c r="A274" s="95" t="s">
        <v>18</v>
      </c>
      <c r="B274" s="133" t="s">
        <v>19</v>
      </c>
      <c r="C274" s="133" t="s">
        <v>20</v>
      </c>
      <c r="D274" s="133"/>
      <c r="E274" s="133" t="s">
        <v>22</v>
      </c>
      <c r="F274" s="133" t="s">
        <v>23</v>
      </c>
      <c r="G274" s="133" t="s">
        <v>24</v>
      </c>
      <c r="H274" s="133" t="s">
        <v>25</v>
      </c>
      <c r="I274" s="133" t="s">
        <v>26</v>
      </c>
      <c r="J274" s="133" t="s">
        <v>27</v>
      </c>
      <c r="K274" s="99" t="s">
        <v>28</v>
      </c>
      <c r="L274" s="137" t="e">
        <f t="shared" si="65"/>
        <v>#DIV/0!</v>
      </c>
    </row>
    <row r="275" spans="1:12" ht="12.75" customHeight="1" x14ac:dyDescent="0.25">
      <c r="A275" s="94">
        <v>5219</v>
      </c>
      <c r="B275" s="136">
        <v>423900</v>
      </c>
      <c r="C275" s="84" t="s">
        <v>250</v>
      </c>
      <c r="D275" s="108">
        <v>260</v>
      </c>
      <c r="E275" s="109">
        <f t="shared" si="63"/>
        <v>47</v>
      </c>
      <c r="F275" s="108"/>
      <c r="G275" s="108"/>
      <c r="H275" s="108"/>
      <c r="I275" s="108"/>
      <c r="J275" s="108"/>
      <c r="K275" s="110">
        <v>47</v>
      </c>
      <c r="L275" s="137">
        <f t="shared" si="65"/>
        <v>0.18076923076923077</v>
      </c>
    </row>
    <row r="276" spans="1:12" ht="12.75" customHeight="1" x14ac:dyDescent="0.25">
      <c r="A276" s="93">
        <v>5220</v>
      </c>
      <c r="B276" s="131">
        <v>424000</v>
      </c>
      <c r="C276" s="82" t="s">
        <v>251</v>
      </c>
      <c r="D276" s="100">
        <f>SUM(D277:D283)</f>
        <v>3007</v>
      </c>
      <c r="E276" s="100">
        <f t="shared" si="63"/>
        <v>1047</v>
      </c>
      <c r="F276" s="100">
        <f t="shared" ref="F276:K276" si="80">SUM(F277:F283)</f>
        <v>0</v>
      </c>
      <c r="G276" s="100">
        <f t="shared" si="80"/>
        <v>0</v>
      </c>
      <c r="H276" s="100">
        <f t="shared" si="80"/>
        <v>0</v>
      </c>
      <c r="I276" s="100">
        <f t="shared" si="80"/>
        <v>240</v>
      </c>
      <c r="J276" s="100">
        <f t="shared" si="80"/>
        <v>0</v>
      </c>
      <c r="K276" s="101">
        <f t="shared" si="80"/>
        <v>807</v>
      </c>
      <c r="L276" s="137">
        <f t="shared" si="65"/>
        <v>0.34818756235450615</v>
      </c>
    </row>
    <row r="277" spans="1:12" ht="12.75" hidden="1" customHeight="1" x14ac:dyDescent="0.25">
      <c r="A277" s="94">
        <v>5221</v>
      </c>
      <c r="B277" s="136">
        <v>424100</v>
      </c>
      <c r="C277" s="84" t="s">
        <v>252</v>
      </c>
      <c r="D277" s="108"/>
      <c r="E277" s="109">
        <f t="shared" si="63"/>
        <v>0</v>
      </c>
      <c r="F277" s="108"/>
      <c r="G277" s="108"/>
      <c r="H277" s="108"/>
      <c r="I277" s="108"/>
      <c r="J277" s="108"/>
      <c r="K277" s="110"/>
      <c r="L277" s="137" t="e">
        <f t="shared" si="65"/>
        <v>#DIV/0!</v>
      </c>
    </row>
    <row r="278" spans="1:12" ht="12.75" hidden="1" customHeight="1" x14ac:dyDescent="0.25">
      <c r="A278" s="94">
        <v>5222</v>
      </c>
      <c r="B278" s="136">
        <v>424200</v>
      </c>
      <c r="C278" s="84" t="s">
        <v>253</v>
      </c>
      <c r="D278" s="108"/>
      <c r="E278" s="109">
        <f t="shared" si="63"/>
        <v>0</v>
      </c>
      <c r="F278" s="108"/>
      <c r="G278" s="108"/>
      <c r="H278" s="108"/>
      <c r="I278" s="108"/>
      <c r="J278" s="108"/>
      <c r="K278" s="110"/>
      <c r="L278" s="137" t="e">
        <f t="shared" si="65"/>
        <v>#DIV/0!</v>
      </c>
    </row>
    <row r="279" spans="1:12" ht="12.75" customHeight="1" x14ac:dyDescent="0.25">
      <c r="A279" s="94">
        <v>5223</v>
      </c>
      <c r="B279" s="136">
        <v>424300</v>
      </c>
      <c r="C279" s="84" t="s">
        <v>254</v>
      </c>
      <c r="D279" s="108">
        <v>1480</v>
      </c>
      <c r="E279" s="109">
        <f t="shared" si="63"/>
        <v>345</v>
      </c>
      <c r="F279" s="108"/>
      <c r="G279" s="108"/>
      <c r="H279" s="108"/>
      <c r="I279" s="108">
        <v>239</v>
      </c>
      <c r="J279" s="108"/>
      <c r="K279" s="110">
        <v>106</v>
      </c>
      <c r="L279" s="137">
        <f t="shared" si="65"/>
        <v>0.23310810810810811</v>
      </c>
    </row>
    <row r="280" spans="1:12" ht="12.75" hidden="1" customHeight="1" x14ac:dyDescent="0.25">
      <c r="A280" s="94">
        <v>5224</v>
      </c>
      <c r="B280" s="136">
        <v>424400</v>
      </c>
      <c r="C280" s="84" t="s">
        <v>255</v>
      </c>
      <c r="D280" s="108"/>
      <c r="E280" s="109">
        <f t="shared" si="63"/>
        <v>0</v>
      </c>
      <c r="F280" s="108"/>
      <c r="G280" s="108"/>
      <c r="H280" s="108"/>
      <c r="I280" s="108"/>
      <c r="J280" s="108"/>
      <c r="K280" s="110"/>
      <c r="L280" s="137" t="e">
        <f t="shared" si="65"/>
        <v>#DIV/0!</v>
      </c>
    </row>
    <row r="281" spans="1:12" ht="12.75" hidden="1" customHeight="1" x14ac:dyDescent="0.25">
      <c r="A281" s="94">
        <v>5225</v>
      </c>
      <c r="B281" s="136">
        <v>424500</v>
      </c>
      <c r="C281" s="84" t="s">
        <v>256</v>
      </c>
      <c r="D281" s="108"/>
      <c r="E281" s="109">
        <f t="shared" si="63"/>
        <v>0</v>
      </c>
      <c r="F281" s="108"/>
      <c r="G281" s="108"/>
      <c r="H281" s="108"/>
      <c r="I281" s="108"/>
      <c r="J281" s="108"/>
      <c r="K281" s="110"/>
      <c r="L281" s="137" t="e">
        <f t="shared" si="65"/>
        <v>#DIV/0!</v>
      </c>
    </row>
    <row r="282" spans="1:12" ht="12.75" customHeight="1" x14ac:dyDescent="0.25">
      <c r="A282" s="94">
        <v>5226</v>
      </c>
      <c r="B282" s="136">
        <v>424600</v>
      </c>
      <c r="C282" s="84" t="s">
        <v>257</v>
      </c>
      <c r="D282" s="108">
        <v>300</v>
      </c>
      <c r="E282" s="109">
        <f t="shared" si="63"/>
        <v>162</v>
      </c>
      <c r="F282" s="108"/>
      <c r="G282" s="108"/>
      <c r="H282" s="108"/>
      <c r="I282" s="108">
        <v>1</v>
      </c>
      <c r="J282" s="108"/>
      <c r="K282" s="110">
        <v>161</v>
      </c>
      <c r="L282" s="137">
        <f t="shared" si="65"/>
        <v>0.54</v>
      </c>
    </row>
    <row r="283" spans="1:12" ht="12.75" customHeight="1" x14ac:dyDescent="0.25">
      <c r="A283" s="94">
        <v>5227</v>
      </c>
      <c r="B283" s="136">
        <v>424900</v>
      </c>
      <c r="C283" s="84" t="s">
        <v>258</v>
      </c>
      <c r="D283" s="108">
        <v>1227</v>
      </c>
      <c r="E283" s="109">
        <f t="shared" si="63"/>
        <v>540</v>
      </c>
      <c r="F283" s="108"/>
      <c r="G283" s="108"/>
      <c r="H283" s="108"/>
      <c r="I283" s="108"/>
      <c r="J283" s="108"/>
      <c r="K283" s="110">
        <v>540</v>
      </c>
      <c r="L283" s="137">
        <f t="shared" si="65"/>
        <v>0.44009779951100242</v>
      </c>
    </row>
    <row r="284" spans="1:12" ht="12.75" customHeight="1" x14ac:dyDescent="0.25">
      <c r="A284" s="93">
        <v>5228</v>
      </c>
      <c r="B284" s="131">
        <v>425000</v>
      </c>
      <c r="C284" s="82" t="s">
        <v>259</v>
      </c>
      <c r="D284" s="100">
        <f>D285+D286</f>
        <v>12430</v>
      </c>
      <c r="E284" s="100">
        <f t="shared" si="63"/>
        <v>3475</v>
      </c>
      <c r="F284" s="100">
        <f t="shared" ref="F284:K284" si="81">F285+F286</f>
        <v>0</v>
      </c>
      <c r="G284" s="100">
        <f t="shared" si="81"/>
        <v>0</v>
      </c>
      <c r="H284" s="100">
        <f t="shared" si="81"/>
        <v>0</v>
      </c>
      <c r="I284" s="100">
        <f t="shared" si="81"/>
        <v>3257</v>
      </c>
      <c r="J284" s="100">
        <f t="shared" si="81"/>
        <v>0</v>
      </c>
      <c r="K284" s="101">
        <f t="shared" si="81"/>
        <v>218</v>
      </c>
      <c r="L284" s="137">
        <f t="shared" ref="L284:L347" si="82">E284/D284</f>
        <v>0.27956556717618664</v>
      </c>
    </row>
    <row r="285" spans="1:12" ht="12.75" customHeight="1" x14ac:dyDescent="0.25">
      <c r="A285" s="94">
        <v>5229</v>
      </c>
      <c r="B285" s="136">
        <v>425100</v>
      </c>
      <c r="C285" s="84" t="s">
        <v>260</v>
      </c>
      <c r="D285" s="108">
        <v>720</v>
      </c>
      <c r="E285" s="109">
        <f t="shared" si="63"/>
        <v>200</v>
      </c>
      <c r="F285" s="108"/>
      <c r="G285" s="108"/>
      <c r="H285" s="108"/>
      <c r="I285" s="108">
        <v>200</v>
      </c>
      <c r="J285" s="108"/>
      <c r="K285" s="110"/>
      <c r="L285" s="137">
        <f t="shared" si="82"/>
        <v>0.27777777777777779</v>
      </c>
    </row>
    <row r="286" spans="1:12" ht="12.75" customHeight="1" x14ac:dyDescent="0.25">
      <c r="A286" s="94">
        <v>5230</v>
      </c>
      <c r="B286" s="136">
        <v>425200</v>
      </c>
      <c r="C286" s="84" t="s">
        <v>261</v>
      </c>
      <c r="D286" s="108">
        <v>11710</v>
      </c>
      <c r="E286" s="109">
        <f t="shared" si="63"/>
        <v>3275</v>
      </c>
      <c r="F286" s="108"/>
      <c r="G286" s="108"/>
      <c r="H286" s="108"/>
      <c r="I286" s="108">
        <v>3057</v>
      </c>
      <c r="J286" s="108"/>
      <c r="K286" s="110">
        <v>218</v>
      </c>
      <c r="L286" s="137">
        <f t="shared" si="82"/>
        <v>0.27967549103330486</v>
      </c>
    </row>
    <row r="287" spans="1:12" ht="12.75" customHeight="1" x14ac:dyDescent="0.25">
      <c r="A287" s="93">
        <v>5231</v>
      </c>
      <c r="B287" s="131">
        <v>426000</v>
      </c>
      <c r="C287" s="82" t="s">
        <v>262</v>
      </c>
      <c r="D287" s="100">
        <f>SUM(D288:D296)</f>
        <v>279042</v>
      </c>
      <c r="E287" s="100">
        <f t="shared" si="63"/>
        <v>74193</v>
      </c>
      <c r="F287" s="100">
        <f t="shared" ref="F287:K287" si="83">SUM(F288:F296)</f>
        <v>0</v>
      </c>
      <c r="G287" s="100">
        <f t="shared" si="83"/>
        <v>0</v>
      </c>
      <c r="H287" s="100">
        <f t="shared" si="83"/>
        <v>0</v>
      </c>
      <c r="I287" s="100">
        <f t="shared" si="83"/>
        <v>73268</v>
      </c>
      <c r="J287" s="100">
        <f t="shared" si="83"/>
        <v>0</v>
      </c>
      <c r="K287" s="101">
        <f t="shared" si="83"/>
        <v>925</v>
      </c>
      <c r="L287" s="137">
        <f t="shared" si="82"/>
        <v>0.26588470552820004</v>
      </c>
    </row>
    <row r="288" spans="1:12" ht="12.75" customHeight="1" x14ac:dyDescent="0.25">
      <c r="A288" s="94">
        <v>5232</v>
      </c>
      <c r="B288" s="136">
        <v>426100</v>
      </c>
      <c r="C288" s="84" t="s">
        <v>263</v>
      </c>
      <c r="D288" s="108">
        <v>4200</v>
      </c>
      <c r="E288" s="109">
        <f t="shared" si="63"/>
        <v>805</v>
      </c>
      <c r="F288" s="108"/>
      <c r="G288" s="108"/>
      <c r="H288" s="108"/>
      <c r="I288" s="108">
        <v>805</v>
      </c>
      <c r="J288" s="108"/>
      <c r="K288" s="110"/>
      <c r="L288" s="137">
        <f t="shared" si="82"/>
        <v>0.19166666666666668</v>
      </c>
    </row>
    <row r="289" spans="1:12" ht="12.75" hidden="1" customHeight="1" x14ac:dyDescent="0.25">
      <c r="A289" s="94">
        <v>5233</v>
      </c>
      <c r="B289" s="136">
        <v>426200</v>
      </c>
      <c r="C289" s="84" t="s">
        <v>264</v>
      </c>
      <c r="D289" s="108"/>
      <c r="E289" s="109">
        <f t="shared" si="63"/>
        <v>0</v>
      </c>
      <c r="F289" s="108"/>
      <c r="G289" s="108"/>
      <c r="H289" s="108"/>
      <c r="I289" s="108"/>
      <c r="J289" s="108"/>
      <c r="K289" s="110"/>
      <c r="L289" s="137" t="e">
        <f t="shared" si="82"/>
        <v>#DIV/0!</v>
      </c>
    </row>
    <row r="290" spans="1:12" ht="12.75" customHeight="1" x14ac:dyDescent="0.25">
      <c r="A290" s="94">
        <v>5234</v>
      </c>
      <c r="B290" s="136">
        <v>426300</v>
      </c>
      <c r="C290" s="84" t="s">
        <v>265</v>
      </c>
      <c r="D290" s="108">
        <v>200</v>
      </c>
      <c r="E290" s="109">
        <f t="shared" si="63"/>
        <v>0</v>
      </c>
      <c r="F290" s="108"/>
      <c r="G290" s="108"/>
      <c r="H290" s="108"/>
      <c r="I290" s="108"/>
      <c r="J290" s="108"/>
      <c r="K290" s="110"/>
      <c r="L290" s="137">
        <f t="shared" si="82"/>
        <v>0</v>
      </c>
    </row>
    <row r="291" spans="1:12" ht="12.75" customHeight="1" x14ac:dyDescent="0.25">
      <c r="A291" s="94">
        <v>5235</v>
      </c>
      <c r="B291" s="136">
        <v>426400</v>
      </c>
      <c r="C291" s="84" t="s">
        <v>266</v>
      </c>
      <c r="D291" s="108">
        <v>1950</v>
      </c>
      <c r="E291" s="109">
        <f t="shared" si="63"/>
        <v>397</v>
      </c>
      <c r="F291" s="111"/>
      <c r="G291" s="111"/>
      <c r="H291" s="111"/>
      <c r="I291" s="111">
        <v>316</v>
      </c>
      <c r="J291" s="111"/>
      <c r="K291" s="112">
        <v>81</v>
      </c>
      <c r="L291" s="137">
        <f t="shared" si="82"/>
        <v>0.20358974358974358</v>
      </c>
    </row>
    <row r="292" spans="1:12" ht="12.75" hidden="1" customHeight="1" x14ac:dyDescent="0.25">
      <c r="A292" s="94">
        <v>5236</v>
      </c>
      <c r="B292" s="136">
        <v>426500</v>
      </c>
      <c r="C292" s="84" t="s">
        <v>267</v>
      </c>
      <c r="D292" s="108"/>
      <c r="E292" s="109">
        <f t="shared" ref="E292:E367" si="84">SUM(F292:K292)</f>
        <v>0</v>
      </c>
      <c r="F292" s="108"/>
      <c r="G292" s="108"/>
      <c r="H292" s="108"/>
      <c r="I292" s="108"/>
      <c r="J292" s="108"/>
      <c r="K292" s="110"/>
      <c r="L292" s="137" t="e">
        <f t="shared" si="82"/>
        <v>#DIV/0!</v>
      </c>
    </row>
    <row r="293" spans="1:12" ht="12.75" hidden="1" customHeight="1" x14ac:dyDescent="0.25">
      <c r="A293" s="94">
        <v>5237</v>
      </c>
      <c r="B293" s="136">
        <v>426600</v>
      </c>
      <c r="C293" s="84" t="s">
        <v>268</v>
      </c>
      <c r="D293" s="108"/>
      <c r="E293" s="109">
        <f t="shared" si="84"/>
        <v>0</v>
      </c>
      <c r="F293" s="108"/>
      <c r="G293" s="108"/>
      <c r="H293" s="108"/>
      <c r="I293" s="108"/>
      <c r="J293" s="108"/>
      <c r="K293" s="110"/>
      <c r="L293" s="137" t="e">
        <f t="shared" si="82"/>
        <v>#DIV/0!</v>
      </c>
    </row>
    <row r="294" spans="1:12" ht="12.75" customHeight="1" x14ac:dyDescent="0.25">
      <c r="A294" s="94">
        <v>5238</v>
      </c>
      <c r="B294" s="136">
        <v>426700</v>
      </c>
      <c r="C294" s="84" t="s">
        <v>269</v>
      </c>
      <c r="D294" s="108">
        <v>250607</v>
      </c>
      <c r="E294" s="109">
        <f t="shared" si="84"/>
        <v>67067</v>
      </c>
      <c r="F294" s="108"/>
      <c r="G294" s="108"/>
      <c r="H294" s="108"/>
      <c r="I294" s="108">
        <v>66436</v>
      </c>
      <c r="J294" s="108"/>
      <c r="K294" s="110">
        <v>631</v>
      </c>
      <c r="L294" s="137">
        <f t="shared" si="82"/>
        <v>0.26761822295466609</v>
      </c>
    </row>
    <row r="295" spans="1:12" ht="12.75" customHeight="1" x14ac:dyDescent="0.25">
      <c r="A295" s="94">
        <v>5239</v>
      </c>
      <c r="B295" s="136">
        <v>426800</v>
      </c>
      <c r="C295" s="84" t="s">
        <v>515</v>
      </c>
      <c r="D295" s="108">
        <v>13287</v>
      </c>
      <c r="E295" s="109">
        <f t="shared" si="84"/>
        <v>3354</v>
      </c>
      <c r="F295" s="108"/>
      <c r="G295" s="108"/>
      <c r="H295" s="108"/>
      <c r="I295" s="108">
        <v>3354</v>
      </c>
      <c r="J295" s="108"/>
      <c r="K295" s="110"/>
      <c r="L295" s="137">
        <f t="shared" si="82"/>
        <v>0.25242718446601942</v>
      </c>
    </row>
    <row r="296" spans="1:12" ht="12.75" customHeight="1" x14ac:dyDescent="0.25">
      <c r="A296" s="94">
        <v>5240</v>
      </c>
      <c r="B296" s="136">
        <v>426900</v>
      </c>
      <c r="C296" s="84" t="s">
        <v>270</v>
      </c>
      <c r="D296" s="108">
        <v>8798</v>
      </c>
      <c r="E296" s="109">
        <f t="shared" si="84"/>
        <v>2570</v>
      </c>
      <c r="F296" s="108"/>
      <c r="G296" s="108"/>
      <c r="H296" s="108"/>
      <c r="I296" s="108">
        <v>2357</v>
      </c>
      <c r="J296" s="108"/>
      <c r="K296" s="110">
        <v>213</v>
      </c>
      <c r="L296" s="137">
        <f t="shared" si="82"/>
        <v>0.29211184360081838</v>
      </c>
    </row>
    <row r="297" spans="1:12" ht="12.75" hidden="1" customHeight="1" x14ac:dyDescent="0.25">
      <c r="A297" s="93">
        <v>5241</v>
      </c>
      <c r="B297" s="131">
        <v>430000</v>
      </c>
      <c r="C297" s="82" t="s">
        <v>271</v>
      </c>
      <c r="D297" s="100">
        <f>D298+D306+D308+D310+D314</f>
        <v>0</v>
      </c>
      <c r="E297" s="100">
        <f t="shared" si="84"/>
        <v>0</v>
      </c>
      <c r="F297" s="100">
        <f t="shared" ref="F297:K297" si="85">F298+F306+F308+F310+F314</f>
        <v>0</v>
      </c>
      <c r="G297" s="100">
        <f t="shared" si="85"/>
        <v>0</v>
      </c>
      <c r="H297" s="100">
        <f t="shared" si="85"/>
        <v>0</v>
      </c>
      <c r="I297" s="100">
        <f t="shared" si="85"/>
        <v>0</v>
      </c>
      <c r="J297" s="100">
        <f t="shared" si="85"/>
        <v>0</v>
      </c>
      <c r="K297" s="101">
        <f t="shared" si="85"/>
        <v>0</v>
      </c>
      <c r="L297" s="137" t="e">
        <f t="shared" si="82"/>
        <v>#DIV/0!</v>
      </c>
    </row>
    <row r="298" spans="1:12" ht="12.75" hidden="1" customHeight="1" x14ac:dyDescent="0.25">
      <c r="A298" s="93">
        <v>5242</v>
      </c>
      <c r="B298" s="131">
        <v>431000</v>
      </c>
      <c r="C298" s="82" t="s">
        <v>272</v>
      </c>
      <c r="D298" s="100">
        <f>SUM(D299:D301)</f>
        <v>0</v>
      </c>
      <c r="E298" s="100">
        <f t="shared" si="84"/>
        <v>0</v>
      </c>
      <c r="F298" s="100">
        <f t="shared" ref="F298:K298" si="86">SUM(F299:F301)</f>
        <v>0</v>
      </c>
      <c r="G298" s="100">
        <f t="shared" si="86"/>
        <v>0</v>
      </c>
      <c r="H298" s="100">
        <f t="shared" si="86"/>
        <v>0</v>
      </c>
      <c r="I298" s="100">
        <f t="shared" si="86"/>
        <v>0</v>
      </c>
      <c r="J298" s="100">
        <f t="shared" si="86"/>
        <v>0</v>
      </c>
      <c r="K298" s="101">
        <f t="shared" si="86"/>
        <v>0</v>
      </c>
      <c r="L298" s="137" t="e">
        <f t="shared" si="82"/>
        <v>#DIV/0!</v>
      </c>
    </row>
    <row r="299" spans="1:12" ht="12.75" hidden="1" customHeight="1" x14ac:dyDescent="0.25">
      <c r="A299" s="94">
        <v>5243</v>
      </c>
      <c r="B299" s="136">
        <v>431100</v>
      </c>
      <c r="C299" s="84" t="s">
        <v>273</v>
      </c>
      <c r="D299" s="108"/>
      <c r="E299" s="109">
        <f t="shared" si="84"/>
        <v>0</v>
      </c>
      <c r="F299" s="108"/>
      <c r="G299" s="108"/>
      <c r="H299" s="108"/>
      <c r="I299" s="108"/>
      <c r="J299" s="108"/>
      <c r="K299" s="110"/>
      <c r="L299" s="137" t="e">
        <f t="shared" si="82"/>
        <v>#DIV/0!</v>
      </c>
    </row>
    <row r="300" spans="1:12" ht="12.75" hidden="1" customHeight="1" x14ac:dyDescent="0.25">
      <c r="A300" s="94">
        <v>5244</v>
      </c>
      <c r="B300" s="136">
        <v>431200</v>
      </c>
      <c r="C300" s="84" t="s">
        <v>274</v>
      </c>
      <c r="D300" s="108"/>
      <c r="E300" s="109">
        <f t="shared" si="84"/>
        <v>0</v>
      </c>
      <c r="F300" s="108"/>
      <c r="G300" s="108"/>
      <c r="H300" s="108"/>
      <c r="I300" s="108"/>
      <c r="J300" s="108"/>
      <c r="K300" s="110"/>
      <c r="L300" s="137" t="e">
        <f t="shared" si="82"/>
        <v>#DIV/0!</v>
      </c>
    </row>
    <row r="301" spans="1:12" ht="12.75" hidden="1" customHeight="1" x14ac:dyDescent="0.25">
      <c r="A301" s="94">
        <v>5245</v>
      </c>
      <c r="B301" s="136">
        <v>431300</v>
      </c>
      <c r="C301" s="84" t="s">
        <v>275</v>
      </c>
      <c r="D301" s="108"/>
      <c r="E301" s="109">
        <f t="shared" si="84"/>
        <v>0</v>
      </c>
      <c r="F301" s="108"/>
      <c r="G301" s="108"/>
      <c r="H301" s="108"/>
      <c r="I301" s="108"/>
      <c r="J301" s="108"/>
      <c r="K301" s="110"/>
      <c r="L301" s="137" t="e">
        <f t="shared" si="82"/>
        <v>#DIV/0!</v>
      </c>
    </row>
    <row r="302" spans="1:12" ht="12.75" hidden="1" customHeight="1" x14ac:dyDescent="0.25">
      <c r="A302" s="583" t="s">
        <v>0</v>
      </c>
      <c r="B302" s="584" t="s">
        <v>1</v>
      </c>
      <c r="C302" s="585" t="s">
        <v>2</v>
      </c>
      <c r="D302" s="585" t="s">
        <v>217</v>
      </c>
      <c r="E302" s="575" t="s">
        <v>198</v>
      </c>
      <c r="F302" s="589"/>
      <c r="G302" s="589"/>
      <c r="H302" s="589"/>
      <c r="I302" s="589"/>
      <c r="J302" s="589"/>
      <c r="K302" s="592"/>
      <c r="L302" s="137" t="e">
        <f t="shared" si="82"/>
        <v>#VALUE!</v>
      </c>
    </row>
    <row r="303" spans="1:12" ht="12.75" hidden="1" customHeight="1" x14ac:dyDescent="0.25">
      <c r="A303" s="583"/>
      <c r="B303" s="584"/>
      <c r="C303" s="585"/>
      <c r="D303" s="585"/>
      <c r="E303" s="575" t="s">
        <v>199</v>
      </c>
      <c r="F303" s="575" t="s">
        <v>200</v>
      </c>
      <c r="G303" s="589"/>
      <c r="H303" s="589"/>
      <c r="I303" s="589"/>
      <c r="J303" s="575" t="s">
        <v>7</v>
      </c>
      <c r="K303" s="582" t="s">
        <v>8</v>
      </c>
      <c r="L303" s="137" t="e">
        <f t="shared" si="82"/>
        <v>#VALUE!</v>
      </c>
    </row>
    <row r="304" spans="1:12" ht="12.75" hidden="1" customHeight="1" x14ac:dyDescent="0.25">
      <c r="A304" s="583"/>
      <c r="B304" s="584"/>
      <c r="C304" s="585"/>
      <c r="D304" s="585"/>
      <c r="E304" s="589"/>
      <c r="F304" s="131" t="s">
        <v>201</v>
      </c>
      <c r="G304" s="131" t="s">
        <v>10</v>
      </c>
      <c r="H304" s="131" t="s">
        <v>11</v>
      </c>
      <c r="I304" s="131" t="s">
        <v>12</v>
      </c>
      <c r="J304" s="589"/>
      <c r="K304" s="592"/>
      <c r="L304" s="137" t="e">
        <f t="shared" si="82"/>
        <v>#DIV/0!</v>
      </c>
    </row>
    <row r="305" spans="1:12" ht="12.75" hidden="1" customHeight="1" x14ac:dyDescent="0.25">
      <c r="A305" s="95" t="s">
        <v>18</v>
      </c>
      <c r="B305" s="133" t="s">
        <v>19</v>
      </c>
      <c r="C305" s="133" t="s">
        <v>20</v>
      </c>
      <c r="D305" s="133" t="s">
        <v>21</v>
      </c>
      <c r="E305" s="133" t="s">
        <v>22</v>
      </c>
      <c r="F305" s="133" t="s">
        <v>23</v>
      </c>
      <c r="G305" s="133" t="s">
        <v>24</v>
      </c>
      <c r="H305" s="133" t="s">
        <v>25</v>
      </c>
      <c r="I305" s="133" t="s">
        <v>26</v>
      </c>
      <c r="J305" s="133" t="s">
        <v>27</v>
      </c>
      <c r="K305" s="99" t="s">
        <v>28</v>
      </c>
      <c r="L305" s="137">
        <f t="shared" si="82"/>
        <v>1.25</v>
      </c>
    </row>
    <row r="306" spans="1:12" ht="12.75" hidden="1" customHeight="1" x14ac:dyDescent="0.25">
      <c r="A306" s="93">
        <v>5246</v>
      </c>
      <c r="B306" s="131">
        <v>432000</v>
      </c>
      <c r="C306" s="82" t="s">
        <v>276</v>
      </c>
      <c r="D306" s="100">
        <f>D307</f>
        <v>0</v>
      </c>
      <c r="E306" s="100">
        <f t="shared" si="84"/>
        <v>0</v>
      </c>
      <c r="F306" s="100">
        <f t="shared" ref="F306:K306" si="87">F307</f>
        <v>0</v>
      </c>
      <c r="G306" s="100">
        <f t="shared" si="87"/>
        <v>0</v>
      </c>
      <c r="H306" s="100">
        <f t="shared" si="87"/>
        <v>0</v>
      </c>
      <c r="I306" s="100">
        <f t="shared" si="87"/>
        <v>0</v>
      </c>
      <c r="J306" s="100">
        <f t="shared" si="87"/>
        <v>0</v>
      </c>
      <c r="K306" s="101">
        <f t="shared" si="87"/>
        <v>0</v>
      </c>
      <c r="L306" s="137" t="e">
        <f t="shared" si="82"/>
        <v>#DIV/0!</v>
      </c>
    </row>
    <row r="307" spans="1:12" ht="12.75" hidden="1" customHeight="1" x14ac:dyDescent="0.25">
      <c r="A307" s="94">
        <v>5247</v>
      </c>
      <c r="B307" s="136">
        <v>432100</v>
      </c>
      <c r="C307" s="84" t="s">
        <v>277</v>
      </c>
      <c r="D307" s="108"/>
      <c r="E307" s="109">
        <f t="shared" si="84"/>
        <v>0</v>
      </c>
      <c r="F307" s="108"/>
      <c r="G307" s="108"/>
      <c r="H307" s="108"/>
      <c r="I307" s="108"/>
      <c r="J307" s="108"/>
      <c r="K307" s="110"/>
      <c r="L307" s="137" t="e">
        <f t="shared" si="82"/>
        <v>#DIV/0!</v>
      </c>
    </row>
    <row r="308" spans="1:12" ht="12.75" hidden="1" customHeight="1" x14ac:dyDescent="0.25">
      <c r="A308" s="93">
        <v>5248</v>
      </c>
      <c r="B308" s="131">
        <v>433000</v>
      </c>
      <c r="C308" s="82" t="s">
        <v>278</v>
      </c>
      <c r="D308" s="100">
        <f>D309</f>
        <v>0</v>
      </c>
      <c r="E308" s="100">
        <f t="shared" si="84"/>
        <v>0</v>
      </c>
      <c r="F308" s="100">
        <f t="shared" ref="F308:K308" si="88">F309</f>
        <v>0</v>
      </c>
      <c r="G308" s="100">
        <f t="shared" si="88"/>
        <v>0</v>
      </c>
      <c r="H308" s="100">
        <f t="shared" si="88"/>
        <v>0</v>
      </c>
      <c r="I308" s="100">
        <f t="shared" si="88"/>
        <v>0</v>
      </c>
      <c r="J308" s="100">
        <f t="shared" si="88"/>
        <v>0</v>
      </c>
      <c r="K308" s="101">
        <f t="shared" si="88"/>
        <v>0</v>
      </c>
      <c r="L308" s="137" t="e">
        <f t="shared" si="82"/>
        <v>#DIV/0!</v>
      </c>
    </row>
    <row r="309" spans="1:12" ht="12.75" hidden="1" customHeight="1" x14ac:dyDescent="0.25">
      <c r="A309" s="94">
        <v>5249</v>
      </c>
      <c r="B309" s="136">
        <v>433100</v>
      </c>
      <c r="C309" s="84" t="s">
        <v>279</v>
      </c>
      <c r="D309" s="108"/>
      <c r="E309" s="109">
        <f t="shared" si="84"/>
        <v>0</v>
      </c>
      <c r="F309" s="108"/>
      <c r="G309" s="108"/>
      <c r="H309" s="108"/>
      <c r="I309" s="108"/>
      <c r="J309" s="108"/>
      <c r="K309" s="110"/>
      <c r="L309" s="137" t="e">
        <f t="shared" si="82"/>
        <v>#DIV/0!</v>
      </c>
    </row>
    <row r="310" spans="1:12" ht="12.75" hidden="1" customHeight="1" x14ac:dyDescent="0.25">
      <c r="A310" s="93">
        <v>5250</v>
      </c>
      <c r="B310" s="131">
        <v>434000</v>
      </c>
      <c r="C310" s="82" t="s">
        <v>280</v>
      </c>
      <c r="D310" s="100">
        <f>SUM(D311:D313)</f>
        <v>0</v>
      </c>
      <c r="E310" s="100">
        <f t="shared" si="84"/>
        <v>0</v>
      </c>
      <c r="F310" s="100">
        <f t="shared" ref="F310:K310" si="89">SUM(F311:F313)</f>
        <v>0</v>
      </c>
      <c r="G310" s="100">
        <f t="shared" si="89"/>
        <v>0</v>
      </c>
      <c r="H310" s="100">
        <f t="shared" si="89"/>
        <v>0</v>
      </c>
      <c r="I310" s="100">
        <f t="shared" si="89"/>
        <v>0</v>
      </c>
      <c r="J310" s="100">
        <f t="shared" si="89"/>
        <v>0</v>
      </c>
      <c r="K310" s="101">
        <f t="shared" si="89"/>
        <v>0</v>
      </c>
      <c r="L310" s="137" t="e">
        <f t="shared" si="82"/>
        <v>#DIV/0!</v>
      </c>
    </row>
    <row r="311" spans="1:12" ht="12.75" hidden="1" customHeight="1" x14ac:dyDescent="0.25">
      <c r="A311" s="94">
        <v>5251</v>
      </c>
      <c r="B311" s="136">
        <v>434100</v>
      </c>
      <c r="C311" s="84" t="s">
        <v>281</v>
      </c>
      <c r="D311" s="108"/>
      <c r="E311" s="109">
        <f t="shared" si="84"/>
        <v>0</v>
      </c>
      <c r="F311" s="108"/>
      <c r="G311" s="108"/>
      <c r="H311" s="108"/>
      <c r="I311" s="108"/>
      <c r="J311" s="108"/>
      <c r="K311" s="110"/>
      <c r="L311" s="137" t="e">
        <f t="shared" si="82"/>
        <v>#DIV/0!</v>
      </c>
    </row>
    <row r="312" spans="1:12" ht="12.75" hidden="1" customHeight="1" x14ac:dyDescent="0.25">
      <c r="A312" s="94">
        <v>5252</v>
      </c>
      <c r="B312" s="136">
        <v>434200</v>
      </c>
      <c r="C312" s="84" t="s">
        <v>282</v>
      </c>
      <c r="D312" s="108"/>
      <c r="E312" s="109">
        <f t="shared" si="84"/>
        <v>0</v>
      </c>
      <c r="F312" s="108"/>
      <c r="G312" s="108"/>
      <c r="H312" s="108"/>
      <c r="I312" s="108"/>
      <c r="J312" s="108"/>
      <c r="K312" s="110"/>
      <c r="L312" s="137" t="e">
        <f t="shared" si="82"/>
        <v>#DIV/0!</v>
      </c>
    </row>
    <row r="313" spans="1:12" ht="12.75" hidden="1" customHeight="1" x14ac:dyDescent="0.25">
      <c r="A313" s="94">
        <v>5253</v>
      </c>
      <c r="B313" s="136">
        <v>434300</v>
      </c>
      <c r="C313" s="84" t="s">
        <v>283</v>
      </c>
      <c r="D313" s="108"/>
      <c r="E313" s="109">
        <f t="shared" si="84"/>
        <v>0</v>
      </c>
      <c r="F313" s="108"/>
      <c r="G313" s="108"/>
      <c r="H313" s="108"/>
      <c r="I313" s="108"/>
      <c r="J313" s="108"/>
      <c r="K313" s="110"/>
      <c r="L313" s="137" t="e">
        <f t="shared" si="82"/>
        <v>#DIV/0!</v>
      </c>
    </row>
    <row r="314" spans="1:12" ht="12.75" hidden="1" customHeight="1" x14ac:dyDescent="0.25">
      <c r="A314" s="93">
        <v>5254</v>
      </c>
      <c r="B314" s="131">
        <v>435000</v>
      </c>
      <c r="C314" s="82" t="s">
        <v>284</v>
      </c>
      <c r="D314" s="100">
        <f>D315</f>
        <v>0</v>
      </c>
      <c r="E314" s="100">
        <f t="shared" si="84"/>
        <v>0</v>
      </c>
      <c r="F314" s="100">
        <f t="shared" ref="F314:K314" si="90">F315</f>
        <v>0</v>
      </c>
      <c r="G314" s="100">
        <f t="shared" si="90"/>
        <v>0</v>
      </c>
      <c r="H314" s="100">
        <f t="shared" si="90"/>
        <v>0</v>
      </c>
      <c r="I314" s="100">
        <f t="shared" si="90"/>
        <v>0</v>
      </c>
      <c r="J314" s="100">
        <f t="shared" si="90"/>
        <v>0</v>
      </c>
      <c r="K314" s="101">
        <f t="shared" si="90"/>
        <v>0</v>
      </c>
      <c r="L314" s="137" t="e">
        <f t="shared" si="82"/>
        <v>#DIV/0!</v>
      </c>
    </row>
    <row r="315" spans="1:12" ht="12.75" hidden="1" customHeight="1" x14ac:dyDescent="0.25">
      <c r="A315" s="94">
        <v>5255</v>
      </c>
      <c r="B315" s="136">
        <v>435100</v>
      </c>
      <c r="C315" s="84" t="s">
        <v>285</v>
      </c>
      <c r="D315" s="108"/>
      <c r="E315" s="109">
        <f t="shared" si="84"/>
        <v>0</v>
      </c>
      <c r="F315" s="108"/>
      <c r="G315" s="108"/>
      <c r="H315" s="108"/>
      <c r="I315" s="108"/>
      <c r="J315" s="108"/>
      <c r="K315" s="110"/>
      <c r="L315" s="137" t="e">
        <f t="shared" si="82"/>
        <v>#DIV/0!</v>
      </c>
    </row>
    <row r="316" spans="1:12" ht="12.75" customHeight="1" x14ac:dyDescent="0.25">
      <c r="A316" s="93">
        <v>5256</v>
      </c>
      <c r="B316" s="131">
        <v>440000</v>
      </c>
      <c r="C316" s="82" t="s">
        <v>286</v>
      </c>
      <c r="D316" s="100">
        <f>D317+D327+D338+D340</f>
        <v>681</v>
      </c>
      <c r="E316" s="100">
        <f t="shared" si="84"/>
        <v>305</v>
      </c>
      <c r="F316" s="100">
        <f t="shared" ref="F316:K316" si="91">F317+F327+F338+F340</f>
        <v>0</v>
      </c>
      <c r="G316" s="100">
        <f t="shared" si="91"/>
        <v>0</v>
      </c>
      <c r="H316" s="100">
        <f t="shared" si="91"/>
        <v>0</v>
      </c>
      <c r="I316" s="100">
        <f t="shared" si="91"/>
        <v>0</v>
      </c>
      <c r="J316" s="100">
        <f t="shared" si="91"/>
        <v>0</v>
      </c>
      <c r="K316" s="101">
        <f t="shared" si="91"/>
        <v>305</v>
      </c>
      <c r="L316" s="137">
        <f t="shared" si="82"/>
        <v>0.44787077826725402</v>
      </c>
    </row>
    <row r="317" spans="1:12" ht="12.75" customHeight="1" x14ac:dyDescent="0.25">
      <c r="A317" s="93">
        <v>5257</v>
      </c>
      <c r="B317" s="131">
        <v>441000</v>
      </c>
      <c r="C317" s="82" t="s">
        <v>287</v>
      </c>
      <c r="D317" s="100">
        <f>SUM(D318:D326)</f>
        <v>681</v>
      </c>
      <c r="E317" s="100">
        <f t="shared" si="84"/>
        <v>305</v>
      </c>
      <c r="F317" s="100">
        <f t="shared" ref="F317:K317" si="92">SUM(F318:F326)</f>
        <v>0</v>
      </c>
      <c r="G317" s="100">
        <f t="shared" si="92"/>
        <v>0</v>
      </c>
      <c r="H317" s="100">
        <f t="shared" si="92"/>
        <v>0</v>
      </c>
      <c r="I317" s="100">
        <f t="shared" si="92"/>
        <v>0</v>
      </c>
      <c r="J317" s="100">
        <f t="shared" si="92"/>
        <v>0</v>
      </c>
      <c r="K317" s="101">
        <f t="shared" si="92"/>
        <v>305</v>
      </c>
      <c r="L317" s="137">
        <f t="shared" si="82"/>
        <v>0.44787077826725402</v>
      </c>
    </row>
    <row r="318" spans="1:12" ht="12.75" hidden="1" customHeight="1" x14ac:dyDescent="0.25">
      <c r="A318" s="94">
        <v>5258</v>
      </c>
      <c r="B318" s="136">
        <v>441100</v>
      </c>
      <c r="C318" s="84" t="s">
        <v>288</v>
      </c>
      <c r="D318" s="108"/>
      <c r="E318" s="109">
        <f t="shared" si="84"/>
        <v>0</v>
      </c>
      <c r="F318" s="108"/>
      <c r="G318" s="108"/>
      <c r="H318" s="108"/>
      <c r="I318" s="108"/>
      <c r="J318" s="108"/>
      <c r="K318" s="110"/>
      <c r="L318" s="137" t="e">
        <f t="shared" si="82"/>
        <v>#DIV/0!</v>
      </c>
    </row>
    <row r="319" spans="1:12" ht="12.75" hidden="1" customHeight="1" x14ac:dyDescent="0.25">
      <c r="A319" s="94">
        <v>5259</v>
      </c>
      <c r="B319" s="136">
        <v>441200</v>
      </c>
      <c r="C319" s="84" t="s">
        <v>289</v>
      </c>
      <c r="D319" s="108"/>
      <c r="E319" s="109">
        <f t="shared" si="84"/>
        <v>0</v>
      </c>
      <c r="F319" s="108"/>
      <c r="G319" s="108"/>
      <c r="H319" s="108"/>
      <c r="I319" s="108"/>
      <c r="J319" s="108"/>
      <c r="K319" s="110"/>
      <c r="L319" s="137" t="e">
        <f t="shared" si="82"/>
        <v>#DIV/0!</v>
      </c>
    </row>
    <row r="320" spans="1:12" ht="12.75" hidden="1" customHeight="1" x14ac:dyDescent="0.25">
      <c r="A320" s="94">
        <v>5260</v>
      </c>
      <c r="B320" s="136">
        <v>441300</v>
      </c>
      <c r="C320" s="84" t="s">
        <v>290</v>
      </c>
      <c r="D320" s="108"/>
      <c r="E320" s="109">
        <f t="shared" si="84"/>
        <v>0</v>
      </c>
      <c r="F320" s="108"/>
      <c r="G320" s="108"/>
      <c r="H320" s="108"/>
      <c r="I320" s="108"/>
      <c r="J320" s="108"/>
      <c r="K320" s="110"/>
      <c r="L320" s="137" t="e">
        <f t="shared" si="82"/>
        <v>#DIV/0!</v>
      </c>
    </row>
    <row r="321" spans="1:12" ht="12.75" hidden="1" customHeight="1" x14ac:dyDescent="0.25">
      <c r="A321" s="94">
        <v>5261</v>
      </c>
      <c r="B321" s="136">
        <v>441400</v>
      </c>
      <c r="C321" s="84" t="s">
        <v>291</v>
      </c>
      <c r="D321" s="108"/>
      <c r="E321" s="109">
        <f t="shared" si="84"/>
        <v>0</v>
      </c>
      <c r="F321" s="108"/>
      <c r="G321" s="108"/>
      <c r="H321" s="108"/>
      <c r="I321" s="108"/>
      <c r="J321" s="108"/>
      <c r="K321" s="110"/>
      <c r="L321" s="137" t="e">
        <f t="shared" si="82"/>
        <v>#DIV/0!</v>
      </c>
    </row>
    <row r="322" spans="1:12" ht="12.75" customHeight="1" x14ac:dyDescent="0.25">
      <c r="A322" s="94">
        <v>5262</v>
      </c>
      <c r="B322" s="136">
        <v>441500</v>
      </c>
      <c r="C322" s="84" t="s">
        <v>292</v>
      </c>
      <c r="D322" s="108">
        <v>681</v>
      </c>
      <c r="E322" s="109">
        <f t="shared" si="84"/>
        <v>305</v>
      </c>
      <c r="F322" s="108"/>
      <c r="G322" s="108"/>
      <c r="H322" s="108"/>
      <c r="I322" s="108"/>
      <c r="J322" s="108"/>
      <c r="K322" s="110">
        <v>305</v>
      </c>
      <c r="L322" s="137">
        <f t="shared" si="82"/>
        <v>0.44787077826725402</v>
      </c>
    </row>
    <row r="323" spans="1:12" ht="12.75" hidden="1" customHeight="1" x14ac:dyDescent="0.25">
      <c r="A323" s="94">
        <v>5263</v>
      </c>
      <c r="B323" s="136">
        <v>441600</v>
      </c>
      <c r="C323" s="84" t="s">
        <v>293</v>
      </c>
      <c r="D323" s="108"/>
      <c r="E323" s="109">
        <f t="shared" si="84"/>
        <v>0</v>
      </c>
      <c r="F323" s="108"/>
      <c r="G323" s="108"/>
      <c r="H323" s="108"/>
      <c r="I323" s="108"/>
      <c r="J323" s="108"/>
      <c r="K323" s="110"/>
      <c r="L323" s="137" t="e">
        <f t="shared" si="82"/>
        <v>#DIV/0!</v>
      </c>
    </row>
    <row r="324" spans="1:12" ht="12.75" hidden="1" customHeight="1" x14ac:dyDescent="0.25">
      <c r="A324" s="94">
        <v>5264</v>
      </c>
      <c r="B324" s="136">
        <v>441700</v>
      </c>
      <c r="C324" s="84" t="s">
        <v>294</v>
      </c>
      <c r="D324" s="108"/>
      <c r="E324" s="109">
        <f t="shared" si="84"/>
        <v>0</v>
      </c>
      <c r="F324" s="108"/>
      <c r="G324" s="108"/>
      <c r="H324" s="108"/>
      <c r="I324" s="108"/>
      <c r="J324" s="108"/>
      <c r="K324" s="110"/>
      <c r="L324" s="137" t="e">
        <f t="shared" si="82"/>
        <v>#DIV/0!</v>
      </c>
    </row>
    <row r="325" spans="1:12" ht="12.75" hidden="1" customHeight="1" x14ac:dyDescent="0.25">
      <c r="A325" s="94">
        <v>5265</v>
      </c>
      <c r="B325" s="136">
        <v>441800</v>
      </c>
      <c r="C325" s="84" t="s">
        <v>295</v>
      </c>
      <c r="D325" s="108"/>
      <c r="E325" s="109">
        <f t="shared" si="84"/>
        <v>0</v>
      </c>
      <c r="F325" s="108"/>
      <c r="G325" s="108"/>
      <c r="H325" s="108"/>
      <c r="I325" s="108"/>
      <c r="J325" s="108"/>
      <c r="K325" s="110"/>
      <c r="L325" s="137" t="e">
        <f t="shared" si="82"/>
        <v>#DIV/0!</v>
      </c>
    </row>
    <row r="326" spans="1:12" ht="12.75" hidden="1" customHeight="1" x14ac:dyDescent="0.25">
      <c r="A326" s="94">
        <v>5266</v>
      </c>
      <c r="B326" s="136">
        <v>441900</v>
      </c>
      <c r="C326" s="84" t="s">
        <v>99</v>
      </c>
      <c r="D326" s="108"/>
      <c r="E326" s="109">
        <f t="shared" si="84"/>
        <v>0</v>
      </c>
      <c r="F326" s="108"/>
      <c r="G326" s="108"/>
      <c r="H326" s="108"/>
      <c r="I326" s="108"/>
      <c r="J326" s="108"/>
      <c r="K326" s="110"/>
      <c r="L326" s="137" t="e">
        <f t="shared" si="82"/>
        <v>#DIV/0!</v>
      </c>
    </row>
    <row r="327" spans="1:12" ht="12.75" hidden="1" customHeight="1" x14ac:dyDescent="0.25">
      <c r="A327" s="93">
        <v>5267</v>
      </c>
      <c r="B327" s="131">
        <v>442000</v>
      </c>
      <c r="C327" s="82" t="s">
        <v>296</v>
      </c>
      <c r="D327" s="100">
        <f>SUM(D328:D337)</f>
        <v>0</v>
      </c>
      <c r="E327" s="100">
        <f t="shared" si="84"/>
        <v>0</v>
      </c>
      <c r="F327" s="100">
        <f t="shared" ref="F327:K327" si="93">SUM(F328:F337)</f>
        <v>0</v>
      </c>
      <c r="G327" s="100">
        <f t="shared" si="93"/>
        <v>0</v>
      </c>
      <c r="H327" s="100">
        <f t="shared" si="93"/>
        <v>0</v>
      </c>
      <c r="I327" s="100">
        <f t="shared" si="93"/>
        <v>0</v>
      </c>
      <c r="J327" s="100">
        <f t="shared" si="93"/>
        <v>0</v>
      </c>
      <c r="K327" s="101">
        <f t="shared" si="93"/>
        <v>0</v>
      </c>
      <c r="L327" s="137" t="e">
        <f t="shared" si="82"/>
        <v>#DIV/0!</v>
      </c>
    </row>
    <row r="328" spans="1:12" ht="12.75" hidden="1" customHeight="1" x14ac:dyDescent="0.25">
      <c r="A328" s="94">
        <v>5268</v>
      </c>
      <c r="B328" s="136">
        <v>442100</v>
      </c>
      <c r="C328" s="84" t="s">
        <v>297</v>
      </c>
      <c r="D328" s="108"/>
      <c r="E328" s="109">
        <f t="shared" si="84"/>
        <v>0</v>
      </c>
      <c r="F328" s="108"/>
      <c r="G328" s="108"/>
      <c r="H328" s="108"/>
      <c r="I328" s="108"/>
      <c r="J328" s="108"/>
      <c r="K328" s="110"/>
      <c r="L328" s="137" t="e">
        <f t="shared" si="82"/>
        <v>#DIV/0!</v>
      </c>
    </row>
    <row r="329" spans="1:12" ht="12.75" hidden="1" customHeight="1" x14ac:dyDescent="0.25">
      <c r="A329" s="94">
        <v>5269</v>
      </c>
      <c r="B329" s="136">
        <v>442200</v>
      </c>
      <c r="C329" s="84" t="s">
        <v>298</v>
      </c>
      <c r="D329" s="108"/>
      <c r="E329" s="109">
        <f t="shared" si="84"/>
        <v>0</v>
      </c>
      <c r="F329" s="108"/>
      <c r="G329" s="108"/>
      <c r="H329" s="108"/>
      <c r="I329" s="108"/>
      <c r="J329" s="108"/>
      <c r="K329" s="110"/>
      <c r="L329" s="137" t="e">
        <f t="shared" si="82"/>
        <v>#DIV/0!</v>
      </c>
    </row>
    <row r="330" spans="1:12" ht="12.75" hidden="1" customHeight="1" x14ac:dyDescent="0.25">
      <c r="A330" s="94">
        <v>5270</v>
      </c>
      <c r="B330" s="136">
        <v>442300</v>
      </c>
      <c r="C330" s="84" t="s">
        <v>299</v>
      </c>
      <c r="D330" s="108"/>
      <c r="E330" s="109">
        <f t="shared" si="84"/>
        <v>0</v>
      </c>
      <c r="F330" s="108"/>
      <c r="G330" s="108"/>
      <c r="H330" s="108"/>
      <c r="I330" s="108"/>
      <c r="J330" s="108"/>
      <c r="K330" s="110"/>
      <c r="L330" s="137" t="e">
        <f t="shared" si="82"/>
        <v>#DIV/0!</v>
      </c>
    </row>
    <row r="331" spans="1:12" ht="12.75" hidden="1" customHeight="1" x14ac:dyDescent="0.25">
      <c r="A331" s="94">
        <v>5271</v>
      </c>
      <c r="B331" s="136">
        <v>442400</v>
      </c>
      <c r="C331" s="84" t="s">
        <v>300</v>
      </c>
      <c r="D331" s="108"/>
      <c r="E331" s="109">
        <f t="shared" si="84"/>
        <v>0</v>
      </c>
      <c r="F331" s="108"/>
      <c r="G331" s="108"/>
      <c r="H331" s="108"/>
      <c r="I331" s="108"/>
      <c r="J331" s="108"/>
      <c r="K331" s="110"/>
      <c r="L331" s="137" t="e">
        <f t="shared" si="82"/>
        <v>#DIV/0!</v>
      </c>
    </row>
    <row r="332" spans="1:12" ht="12.75" hidden="1" customHeight="1" x14ac:dyDescent="0.25">
      <c r="A332" s="583" t="s">
        <v>0</v>
      </c>
      <c r="B332" s="584" t="s">
        <v>1</v>
      </c>
      <c r="C332" s="585" t="s">
        <v>2</v>
      </c>
      <c r="D332" s="585" t="s">
        <v>217</v>
      </c>
      <c r="E332" s="575" t="s">
        <v>198</v>
      </c>
      <c r="F332" s="589"/>
      <c r="G332" s="589"/>
      <c r="H332" s="589"/>
      <c r="I332" s="589"/>
      <c r="J332" s="589"/>
      <c r="K332" s="592"/>
      <c r="L332" s="137" t="e">
        <f t="shared" si="82"/>
        <v>#VALUE!</v>
      </c>
    </row>
    <row r="333" spans="1:12" ht="12.75" hidden="1" customHeight="1" x14ac:dyDescent="0.25">
      <c r="A333" s="583"/>
      <c r="B333" s="584"/>
      <c r="C333" s="585"/>
      <c r="D333" s="585"/>
      <c r="E333" s="575" t="s">
        <v>199</v>
      </c>
      <c r="F333" s="575" t="s">
        <v>200</v>
      </c>
      <c r="G333" s="589"/>
      <c r="H333" s="589"/>
      <c r="I333" s="589"/>
      <c r="J333" s="575" t="s">
        <v>7</v>
      </c>
      <c r="K333" s="582" t="s">
        <v>8</v>
      </c>
      <c r="L333" s="137" t="e">
        <f t="shared" si="82"/>
        <v>#VALUE!</v>
      </c>
    </row>
    <row r="334" spans="1:12" ht="12.75" hidden="1" customHeight="1" x14ac:dyDescent="0.25">
      <c r="A334" s="583"/>
      <c r="B334" s="584"/>
      <c r="C334" s="585"/>
      <c r="D334" s="585"/>
      <c r="E334" s="589"/>
      <c r="F334" s="131" t="s">
        <v>201</v>
      </c>
      <c r="G334" s="131" t="s">
        <v>10</v>
      </c>
      <c r="H334" s="131" t="s">
        <v>11</v>
      </c>
      <c r="I334" s="131" t="s">
        <v>12</v>
      </c>
      <c r="J334" s="589"/>
      <c r="K334" s="592"/>
      <c r="L334" s="137" t="e">
        <f t="shared" si="82"/>
        <v>#DIV/0!</v>
      </c>
    </row>
    <row r="335" spans="1:12" ht="12.75" hidden="1" customHeight="1" x14ac:dyDescent="0.25">
      <c r="A335" s="95" t="s">
        <v>18</v>
      </c>
      <c r="B335" s="133" t="s">
        <v>19</v>
      </c>
      <c r="C335" s="133" t="s">
        <v>20</v>
      </c>
      <c r="D335" s="133" t="s">
        <v>21</v>
      </c>
      <c r="E335" s="133" t="s">
        <v>22</v>
      </c>
      <c r="F335" s="133" t="s">
        <v>23</v>
      </c>
      <c r="G335" s="133" t="s">
        <v>24</v>
      </c>
      <c r="H335" s="133" t="s">
        <v>25</v>
      </c>
      <c r="I335" s="133" t="s">
        <v>26</v>
      </c>
      <c r="J335" s="133" t="s">
        <v>27</v>
      </c>
      <c r="K335" s="99" t="s">
        <v>28</v>
      </c>
      <c r="L335" s="137">
        <f t="shared" si="82"/>
        <v>1.25</v>
      </c>
    </row>
    <row r="336" spans="1:12" ht="12.75" hidden="1" customHeight="1" x14ac:dyDescent="0.25">
      <c r="A336" s="94">
        <v>5272</v>
      </c>
      <c r="B336" s="136">
        <v>442500</v>
      </c>
      <c r="C336" s="84" t="s">
        <v>301</v>
      </c>
      <c r="D336" s="108"/>
      <c r="E336" s="109">
        <f t="shared" si="84"/>
        <v>0</v>
      </c>
      <c r="F336" s="108"/>
      <c r="G336" s="108"/>
      <c r="H336" s="108"/>
      <c r="I336" s="108"/>
      <c r="J336" s="108"/>
      <c r="K336" s="110"/>
      <c r="L336" s="137" t="e">
        <f t="shared" si="82"/>
        <v>#DIV/0!</v>
      </c>
    </row>
    <row r="337" spans="1:12" ht="12.75" hidden="1" customHeight="1" x14ac:dyDescent="0.25">
      <c r="A337" s="94">
        <v>5273</v>
      </c>
      <c r="B337" s="136">
        <v>442600</v>
      </c>
      <c r="C337" s="84" t="s">
        <v>302</v>
      </c>
      <c r="D337" s="108"/>
      <c r="E337" s="109">
        <f t="shared" si="84"/>
        <v>0</v>
      </c>
      <c r="F337" s="108"/>
      <c r="G337" s="108"/>
      <c r="H337" s="108"/>
      <c r="I337" s="108"/>
      <c r="J337" s="108"/>
      <c r="K337" s="110"/>
      <c r="L337" s="137" t="e">
        <f t="shared" si="82"/>
        <v>#DIV/0!</v>
      </c>
    </row>
    <row r="338" spans="1:12" ht="12.75" hidden="1" customHeight="1" x14ac:dyDescent="0.25">
      <c r="A338" s="93">
        <v>5274</v>
      </c>
      <c r="B338" s="131">
        <v>443000</v>
      </c>
      <c r="C338" s="82" t="s">
        <v>303</v>
      </c>
      <c r="D338" s="100">
        <f>D339</f>
        <v>0</v>
      </c>
      <c r="E338" s="100">
        <f t="shared" si="84"/>
        <v>0</v>
      </c>
      <c r="F338" s="100">
        <f t="shared" ref="F338:K338" si="94">F339</f>
        <v>0</v>
      </c>
      <c r="G338" s="100">
        <f t="shared" si="94"/>
        <v>0</v>
      </c>
      <c r="H338" s="100">
        <f t="shared" si="94"/>
        <v>0</v>
      </c>
      <c r="I338" s="100">
        <f t="shared" si="94"/>
        <v>0</v>
      </c>
      <c r="J338" s="100">
        <f t="shared" si="94"/>
        <v>0</v>
      </c>
      <c r="K338" s="101">
        <f t="shared" si="94"/>
        <v>0</v>
      </c>
      <c r="L338" s="137" t="e">
        <f t="shared" si="82"/>
        <v>#DIV/0!</v>
      </c>
    </row>
    <row r="339" spans="1:12" ht="12.75" hidden="1" customHeight="1" x14ac:dyDescent="0.25">
      <c r="A339" s="94">
        <v>5275</v>
      </c>
      <c r="B339" s="136">
        <v>443100</v>
      </c>
      <c r="C339" s="84" t="s">
        <v>304</v>
      </c>
      <c r="D339" s="108"/>
      <c r="E339" s="109">
        <f t="shared" si="84"/>
        <v>0</v>
      </c>
      <c r="F339" s="108"/>
      <c r="G339" s="108"/>
      <c r="H339" s="108"/>
      <c r="I339" s="108"/>
      <c r="J339" s="108"/>
      <c r="K339" s="110"/>
      <c r="L339" s="137" t="e">
        <f t="shared" si="82"/>
        <v>#DIV/0!</v>
      </c>
    </row>
    <row r="340" spans="1:12" ht="12.75" hidden="1" customHeight="1" x14ac:dyDescent="0.25">
      <c r="A340" s="93">
        <v>5276</v>
      </c>
      <c r="B340" s="131">
        <v>444000</v>
      </c>
      <c r="C340" s="82" t="s">
        <v>305</v>
      </c>
      <c r="D340" s="100">
        <f>SUM(D341:D343)</f>
        <v>0</v>
      </c>
      <c r="E340" s="100">
        <f t="shared" si="84"/>
        <v>0</v>
      </c>
      <c r="F340" s="100">
        <f t="shared" ref="F340:K340" si="95">SUM(F341:F343)</f>
        <v>0</v>
      </c>
      <c r="G340" s="100">
        <f t="shared" si="95"/>
        <v>0</v>
      </c>
      <c r="H340" s="100">
        <f t="shared" si="95"/>
        <v>0</v>
      </c>
      <c r="I340" s="100">
        <f t="shared" si="95"/>
        <v>0</v>
      </c>
      <c r="J340" s="100">
        <f t="shared" si="95"/>
        <v>0</v>
      </c>
      <c r="K340" s="101">
        <f t="shared" si="95"/>
        <v>0</v>
      </c>
      <c r="L340" s="137" t="e">
        <f t="shared" si="82"/>
        <v>#DIV/0!</v>
      </c>
    </row>
    <row r="341" spans="1:12" ht="12.75" hidden="1" customHeight="1" x14ac:dyDescent="0.25">
      <c r="A341" s="94">
        <v>5277</v>
      </c>
      <c r="B341" s="136">
        <v>444100</v>
      </c>
      <c r="C341" s="84" t="s">
        <v>306</v>
      </c>
      <c r="D341" s="108"/>
      <c r="E341" s="109">
        <f t="shared" si="84"/>
        <v>0</v>
      </c>
      <c r="F341" s="108"/>
      <c r="G341" s="108"/>
      <c r="H341" s="108"/>
      <c r="I341" s="108"/>
      <c r="J341" s="108"/>
      <c r="K341" s="110"/>
      <c r="L341" s="137" t="e">
        <f t="shared" si="82"/>
        <v>#DIV/0!</v>
      </c>
    </row>
    <row r="342" spans="1:12" ht="12.75" hidden="1" customHeight="1" x14ac:dyDescent="0.25">
      <c r="A342" s="94">
        <v>5278</v>
      </c>
      <c r="B342" s="136">
        <v>444200</v>
      </c>
      <c r="C342" s="84" t="s">
        <v>307</v>
      </c>
      <c r="D342" s="108"/>
      <c r="E342" s="109">
        <f t="shared" si="84"/>
        <v>0</v>
      </c>
      <c r="F342" s="108"/>
      <c r="G342" s="108"/>
      <c r="H342" s="108"/>
      <c r="I342" s="108"/>
      <c r="J342" s="108"/>
      <c r="K342" s="110"/>
      <c r="L342" s="137" t="e">
        <f t="shared" si="82"/>
        <v>#DIV/0!</v>
      </c>
    </row>
    <row r="343" spans="1:12" ht="12.75" hidden="1" customHeight="1" x14ac:dyDescent="0.25">
      <c r="A343" s="94">
        <v>5279</v>
      </c>
      <c r="B343" s="136">
        <v>444300</v>
      </c>
      <c r="C343" s="84" t="s">
        <v>308</v>
      </c>
      <c r="D343" s="108"/>
      <c r="E343" s="109">
        <f t="shared" si="84"/>
        <v>0</v>
      </c>
      <c r="F343" s="108"/>
      <c r="G343" s="108"/>
      <c r="H343" s="108"/>
      <c r="I343" s="108"/>
      <c r="J343" s="108"/>
      <c r="K343" s="110"/>
      <c r="L343" s="137" t="e">
        <f t="shared" si="82"/>
        <v>#DIV/0!</v>
      </c>
    </row>
    <row r="344" spans="1:12" ht="12.75" hidden="1" customHeight="1" x14ac:dyDescent="0.25">
      <c r="A344" s="93">
        <v>5280</v>
      </c>
      <c r="B344" s="131">
        <v>450000</v>
      </c>
      <c r="C344" s="82" t="s">
        <v>309</v>
      </c>
      <c r="D344" s="100">
        <f>D345+D348+D351+D354</f>
        <v>0</v>
      </c>
      <c r="E344" s="100">
        <f t="shared" si="84"/>
        <v>0</v>
      </c>
      <c r="F344" s="100">
        <f t="shared" ref="F344:K344" si="96">F345+F348+F351+F354</f>
        <v>0</v>
      </c>
      <c r="G344" s="100">
        <f t="shared" si="96"/>
        <v>0</v>
      </c>
      <c r="H344" s="100">
        <f t="shared" si="96"/>
        <v>0</v>
      </c>
      <c r="I344" s="100">
        <f t="shared" si="96"/>
        <v>0</v>
      </c>
      <c r="J344" s="100">
        <f t="shared" si="96"/>
        <v>0</v>
      </c>
      <c r="K344" s="101">
        <f t="shared" si="96"/>
        <v>0</v>
      </c>
      <c r="L344" s="137" t="e">
        <f t="shared" si="82"/>
        <v>#DIV/0!</v>
      </c>
    </row>
    <row r="345" spans="1:12" ht="12.75" hidden="1" customHeight="1" x14ac:dyDescent="0.25">
      <c r="A345" s="93">
        <v>5281</v>
      </c>
      <c r="B345" s="131">
        <v>451000</v>
      </c>
      <c r="C345" s="82" t="s">
        <v>310</v>
      </c>
      <c r="D345" s="100">
        <f>D346+D347</f>
        <v>0</v>
      </c>
      <c r="E345" s="100">
        <f t="shared" si="84"/>
        <v>0</v>
      </c>
      <c r="F345" s="100">
        <f t="shared" ref="F345:K345" si="97">F346+F347</f>
        <v>0</v>
      </c>
      <c r="G345" s="100">
        <f t="shared" si="97"/>
        <v>0</v>
      </c>
      <c r="H345" s="100">
        <f t="shared" si="97"/>
        <v>0</v>
      </c>
      <c r="I345" s="100">
        <f t="shared" si="97"/>
        <v>0</v>
      </c>
      <c r="J345" s="100">
        <f t="shared" si="97"/>
        <v>0</v>
      </c>
      <c r="K345" s="101">
        <f t="shared" si="97"/>
        <v>0</v>
      </c>
      <c r="L345" s="137" t="e">
        <f t="shared" si="82"/>
        <v>#DIV/0!</v>
      </c>
    </row>
    <row r="346" spans="1:12" ht="12.75" hidden="1" customHeight="1" x14ac:dyDescent="0.25">
      <c r="A346" s="94">
        <v>5282</v>
      </c>
      <c r="B346" s="136">
        <v>451100</v>
      </c>
      <c r="C346" s="84" t="s">
        <v>311</v>
      </c>
      <c r="D346" s="108"/>
      <c r="E346" s="109">
        <f t="shared" si="84"/>
        <v>0</v>
      </c>
      <c r="F346" s="108"/>
      <c r="G346" s="108"/>
      <c r="H346" s="108"/>
      <c r="I346" s="108"/>
      <c r="J346" s="108"/>
      <c r="K346" s="110"/>
      <c r="L346" s="137" t="e">
        <f t="shared" si="82"/>
        <v>#DIV/0!</v>
      </c>
    </row>
    <row r="347" spans="1:12" ht="12.75" hidden="1" customHeight="1" x14ac:dyDescent="0.25">
      <c r="A347" s="94">
        <v>5283</v>
      </c>
      <c r="B347" s="136">
        <v>451200</v>
      </c>
      <c r="C347" s="84" t="s">
        <v>312</v>
      </c>
      <c r="D347" s="108"/>
      <c r="E347" s="109">
        <f t="shared" si="84"/>
        <v>0</v>
      </c>
      <c r="F347" s="108"/>
      <c r="G347" s="108"/>
      <c r="H347" s="108"/>
      <c r="I347" s="108"/>
      <c r="J347" s="108"/>
      <c r="K347" s="110"/>
      <c r="L347" s="137" t="e">
        <f t="shared" si="82"/>
        <v>#DIV/0!</v>
      </c>
    </row>
    <row r="348" spans="1:12" ht="12.75" hidden="1" customHeight="1" x14ac:dyDescent="0.25">
      <c r="A348" s="93">
        <v>5284</v>
      </c>
      <c r="B348" s="131">
        <v>452000</v>
      </c>
      <c r="C348" s="82" t="s">
        <v>313</v>
      </c>
      <c r="D348" s="100">
        <f>D349+D350</f>
        <v>0</v>
      </c>
      <c r="E348" s="100">
        <f t="shared" si="84"/>
        <v>0</v>
      </c>
      <c r="F348" s="100">
        <f t="shared" ref="F348:K348" si="98">F349+F350</f>
        <v>0</v>
      </c>
      <c r="G348" s="100">
        <f t="shared" si="98"/>
        <v>0</v>
      </c>
      <c r="H348" s="100">
        <f t="shared" si="98"/>
        <v>0</v>
      </c>
      <c r="I348" s="100">
        <f t="shared" si="98"/>
        <v>0</v>
      </c>
      <c r="J348" s="100">
        <f t="shared" si="98"/>
        <v>0</v>
      </c>
      <c r="K348" s="101">
        <f t="shared" si="98"/>
        <v>0</v>
      </c>
      <c r="L348" s="137" t="e">
        <f t="shared" ref="L348:L411" si="99">E348/D348</f>
        <v>#DIV/0!</v>
      </c>
    </row>
    <row r="349" spans="1:12" ht="12.75" hidden="1" customHeight="1" x14ac:dyDescent="0.25">
      <c r="A349" s="94">
        <v>5285</v>
      </c>
      <c r="B349" s="136">
        <v>452100</v>
      </c>
      <c r="C349" s="84" t="s">
        <v>314</v>
      </c>
      <c r="D349" s="108"/>
      <c r="E349" s="109">
        <f t="shared" si="84"/>
        <v>0</v>
      </c>
      <c r="F349" s="108"/>
      <c r="G349" s="108"/>
      <c r="H349" s="108"/>
      <c r="I349" s="108"/>
      <c r="J349" s="108"/>
      <c r="K349" s="110"/>
      <c r="L349" s="137" t="e">
        <f t="shared" si="99"/>
        <v>#DIV/0!</v>
      </c>
    </row>
    <row r="350" spans="1:12" ht="12.75" hidden="1" customHeight="1" x14ac:dyDescent="0.25">
      <c r="A350" s="94">
        <v>5286</v>
      </c>
      <c r="B350" s="136">
        <v>452200</v>
      </c>
      <c r="C350" s="84" t="s">
        <v>315</v>
      </c>
      <c r="D350" s="108"/>
      <c r="E350" s="109">
        <f t="shared" si="84"/>
        <v>0</v>
      </c>
      <c r="F350" s="108"/>
      <c r="G350" s="108"/>
      <c r="H350" s="108"/>
      <c r="I350" s="108"/>
      <c r="J350" s="108"/>
      <c r="K350" s="110"/>
      <c r="L350" s="137" t="e">
        <f t="shared" si="99"/>
        <v>#DIV/0!</v>
      </c>
    </row>
    <row r="351" spans="1:12" ht="12.75" hidden="1" customHeight="1" x14ac:dyDescent="0.25">
      <c r="A351" s="93">
        <v>5287</v>
      </c>
      <c r="B351" s="131">
        <v>453000</v>
      </c>
      <c r="C351" s="82" t="s">
        <v>316</v>
      </c>
      <c r="D351" s="100">
        <f>D352+D353</f>
        <v>0</v>
      </c>
      <c r="E351" s="100">
        <f t="shared" si="84"/>
        <v>0</v>
      </c>
      <c r="F351" s="100">
        <f t="shared" ref="F351:K351" si="100">F352+F353</f>
        <v>0</v>
      </c>
      <c r="G351" s="100">
        <f t="shared" si="100"/>
        <v>0</v>
      </c>
      <c r="H351" s="100">
        <f t="shared" si="100"/>
        <v>0</v>
      </c>
      <c r="I351" s="100">
        <f t="shared" si="100"/>
        <v>0</v>
      </c>
      <c r="J351" s="100">
        <f t="shared" si="100"/>
        <v>0</v>
      </c>
      <c r="K351" s="101">
        <f t="shared" si="100"/>
        <v>0</v>
      </c>
      <c r="L351" s="137" t="e">
        <f t="shared" si="99"/>
        <v>#DIV/0!</v>
      </c>
    </row>
    <row r="352" spans="1:12" ht="12.75" hidden="1" customHeight="1" x14ac:dyDescent="0.25">
      <c r="A352" s="94">
        <v>5288</v>
      </c>
      <c r="B352" s="136">
        <v>453100</v>
      </c>
      <c r="C352" s="84" t="s">
        <v>317</v>
      </c>
      <c r="D352" s="108"/>
      <c r="E352" s="109">
        <f t="shared" si="84"/>
        <v>0</v>
      </c>
      <c r="F352" s="108"/>
      <c r="G352" s="108"/>
      <c r="H352" s="108"/>
      <c r="I352" s="108"/>
      <c r="J352" s="108"/>
      <c r="K352" s="110"/>
      <c r="L352" s="137" t="e">
        <f t="shared" si="99"/>
        <v>#DIV/0!</v>
      </c>
    </row>
    <row r="353" spans="1:12" ht="12.75" hidden="1" customHeight="1" x14ac:dyDescent="0.25">
      <c r="A353" s="94">
        <v>5289</v>
      </c>
      <c r="B353" s="136">
        <v>453200</v>
      </c>
      <c r="C353" s="84" t="s">
        <v>318</v>
      </c>
      <c r="D353" s="108"/>
      <c r="E353" s="109">
        <f t="shared" si="84"/>
        <v>0</v>
      </c>
      <c r="F353" s="108"/>
      <c r="G353" s="108"/>
      <c r="H353" s="108"/>
      <c r="I353" s="108"/>
      <c r="J353" s="108"/>
      <c r="K353" s="110"/>
      <c r="L353" s="137" t="e">
        <f t="shared" si="99"/>
        <v>#DIV/0!</v>
      </c>
    </row>
    <row r="354" spans="1:12" ht="12.75" hidden="1" customHeight="1" x14ac:dyDescent="0.25">
      <c r="A354" s="93">
        <v>5290</v>
      </c>
      <c r="B354" s="131">
        <v>454000</v>
      </c>
      <c r="C354" s="82" t="s">
        <v>319</v>
      </c>
      <c r="D354" s="100">
        <f>D355+D356</f>
        <v>0</v>
      </c>
      <c r="E354" s="100">
        <f t="shared" si="84"/>
        <v>0</v>
      </c>
      <c r="F354" s="100">
        <f t="shared" ref="F354:K354" si="101">F355+F356</f>
        <v>0</v>
      </c>
      <c r="G354" s="100">
        <f t="shared" si="101"/>
        <v>0</v>
      </c>
      <c r="H354" s="100">
        <f t="shared" si="101"/>
        <v>0</v>
      </c>
      <c r="I354" s="100">
        <f t="shared" si="101"/>
        <v>0</v>
      </c>
      <c r="J354" s="100">
        <f t="shared" si="101"/>
        <v>0</v>
      </c>
      <c r="K354" s="101">
        <f t="shared" si="101"/>
        <v>0</v>
      </c>
      <c r="L354" s="137" t="e">
        <f t="shared" si="99"/>
        <v>#DIV/0!</v>
      </c>
    </row>
    <row r="355" spans="1:12" ht="12.75" hidden="1" customHeight="1" x14ac:dyDescent="0.25">
      <c r="A355" s="94">
        <v>5291</v>
      </c>
      <c r="B355" s="136">
        <v>454100</v>
      </c>
      <c r="C355" s="84" t="s">
        <v>320</v>
      </c>
      <c r="D355" s="108"/>
      <c r="E355" s="109">
        <f t="shared" si="84"/>
        <v>0</v>
      </c>
      <c r="F355" s="108"/>
      <c r="G355" s="108"/>
      <c r="H355" s="108"/>
      <c r="I355" s="108"/>
      <c r="J355" s="108"/>
      <c r="K355" s="110"/>
      <c r="L355" s="137" t="e">
        <f t="shared" si="99"/>
        <v>#DIV/0!</v>
      </c>
    </row>
    <row r="356" spans="1:12" ht="12.75" hidden="1" customHeight="1" x14ac:dyDescent="0.25">
      <c r="A356" s="94">
        <v>5292</v>
      </c>
      <c r="B356" s="136">
        <v>454200</v>
      </c>
      <c r="C356" s="84" t="s">
        <v>321</v>
      </c>
      <c r="D356" s="108"/>
      <c r="E356" s="109">
        <f t="shared" si="84"/>
        <v>0</v>
      </c>
      <c r="F356" s="108"/>
      <c r="G356" s="108"/>
      <c r="H356" s="108"/>
      <c r="I356" s="108"/>
      <c r="J356" s="108"/>
      <c r="K356" s="110"/>
      <c r="L356" s="137" t="e">
        <f t="shared" si="99"/>
        <v>#DIV/0!</v>
      </c>
    </row>
    <row r="357" spans="1:12" ht="12.75" customHeight="1" x14ac:dyDescent="0.25">
      <c r="A357" s="93">
        <v>5293</v>
      </c>
      <c r="B357" s="131">
        <v>460000</v>
      </c>
      <c r="C357" s="82" t="s">
        <v>322</v>
      </c>
      <c r="D357" s="100">
        <f>D362+D365+D368+D371+D374</f>
        <v>7710</v>
      </c>
      <c r="E357" s="100">
        <f t="shared" si="84"/>
        <v>2020</v>
      </c>
      <c r="F357" s="100">
        <f t="shared" ref="F357:K357" si="102">F362+F365+F368+F371+F374</f>
        <v>0</v>
      </c>
      <c r="G357" s="100">
        <f t="shared" si="102"/>
        <v>0</v>
      </c>
      <c r="H357" s="100">
        <f t="shared" si="102"/>
        <v>0</v>
      </c>
      <c r="I357" s="100">
        <f t="shared" si="102"/>
        <v>2020</v>
      </c>
      <c r="J357" s="100">
        <f t="shared" si="102"/>
        <v>0</v>
      </c>
      <c r="K357" s="101">
        <f t="shared" si="102"/>
        <v>0</v>
      </c>
      <c r="L357" s="137">
        <f t="shared" si="99"/>
        <v>0.26199740596627757</v>
      </c>
    </row>
    <row r="358" spans="1:12" ht="12.75" hidden="1" customHeight="1" x14ac:dyDescent="0.25">
      <c r="A358" s="583" t="s">
        <v>0</v>
      </c>
      <c r="B358" s="584" t="s">
        <v>1</v>
      </c>
      <c r="C358" s="585" t="s">
        <v>2</v>
      </c>
      <c r="D358" s="585" t="s">
        <v>217</v>
      </c>
      <c r="E358" s="575" t="s">
        <v>198</v>
      </c>
      <c r="F358" s="589"/>
      <c r="G358" s="589"/>
      <c r="H358" s="589"/>
      <c r="I358" s="589"/>
      <c r="J358" s="589"/>
      <c r="K358" s="592"/>
      <c r="L358" s="137" t="e">
        <f t="shared" si="99"/>
        <v>#VALUE!</v>
      </c>
    </row>
    <row r="359" spans="1:12" ht="12.75" hidden="1" customHeight="1" x14ac:dyDescent="0.25">
      <c r="A359" s="583"/>
      <c r="B359" s="584"/>
      <c r="C359" s="585"/>
      <c r="D359" s="585"/>
      <c r="E359" s="575" t="s">
        <v>199</v>
      </c>
      <c r="F359" s="575" t="s">
        <v>200</v>
      </c>
      <c r="G359" s="589"/>
      <c r="H359" s="589"/>
      <c r="I359" s="589"/>
      <c r="J359" s="575" t="s">
        <v>7</v>
      </c>
      <c r="K359" s="582" t="s">
        <v>8</v>
      </c>
      <c r="L359" s="137" t="e">
        <f t="shared" si="99"/>
        <v>#VALUE!</v>
      </c>
    </row>
    <row r="360" spans="1:12" ht="12.75" hidden="1" customHeight="1" x14ac:dyDescent="0.25">
      <c r="A360" s="583"/>
      <c r="B360" s="584"/>
      <c r="C360" s="585"/>
      <c r="D360" s="585"/>
      <c r="E360" s="589"/>
      <c r="F360" s="131" t="s">
        <v>201</v>
      </c>
      <c r="G360" s="131" t="s">
        <v>10</v>
      </c>
      <c r="H360" s="131" t="s">
        <v>11</v>
      </c>
      <c r="I360" s="131" t="s">
        <v>12</v>
      </c>
      <c r="J360" s="589"/>
      <c r="K360" s="592"/>
      <c r="L360" s="137" t="e">
        <f t="shared" si="99"/>
        <v>#DIV/0!</v>
      </c>
    </row>
    <row r="361" spans="1:12" ht="12.75" hidden="1" customHeight="1" x14ac:dyDescent="0.25">
      <c r="A361" s="95" t="s">
        <v>18</v>
      </c>
      <c r="B361" s="133" t="s">
        <v>19</v>
      </c>
      <c r="C361" s="133" t="s">
        <v>20</v>
      </c>
      <c r="D361" s="133" t="s">
        <v>21</v>
      </c>
      <c r="E361" s="133" t="s">
        <v>22</v>
      </c>
      <c r="F361" s="133" t="s">
        <v>23</v>
      </c>
      <c r="G361" s="133" t="s">
        <v>24</v>
      </c>
      <c r="H361" s="133" t="s">
        <v>25</v>
      </c>
      <c r="I361" s="133" t="s">
        <v>26</v>
      </c>
      <c r="J361" s="133" t="s">
        <v>27</v>
      </c>
      <c r="K361" s="99" t="s">
        <v>28</v>
      </c>
      <c r="L361" s="137">
        <f t="shared" si="99"/>
        <v>1.25</v>
      </c>
    </row>
    <row r="362" spans="1:12" ht="12.75" hidden="1" customHeight="1" x14ac:dyDescent="0.25">
      <c r="A362" s="93">
        <v>5294</v>
      </c>
      <c r="B362" s="131">
        <v>461000</v>
      </c>
      <c r="C362" s="82" t="s">
        <v>323</v>
      </c>
      <c r="D362" s="100">
        <f>D363+D364</f>
        <v>0</v>
      </c>
      <c r="E362" s="100">
        <f t="shared" si="84"/>
        <v>0</v>
      </c>
      <c r="F362" s="100">
        <f t="shared" ref="F362:K362" si="103">F363+F364</f>
        <v>0</v>
      </c>
      <c r="G362" s="100">
        <f t="shared" si="103"/>
        <v>0</v>
      </c>
      <c r="H362" s="100">
        <f t="shared" si="103"/>
        <v>0</v>
      </c>
      <c r="I362" s="100">
        <f t="shared" si="103"/>
        <v>0</v>
      </c>
      <c r="J362" s="100">
        <f t="shared" si="103"/>
        <v>0</v>
      </c>
      <c r="K362" s="101">
        <f t="shared" si="103"/>
        <v>0</v>
      </c>
      <c r="L362" s="137" t="e">
        <f t="shared" si="99"/>
        <v>#DIV/0!</v>
      </c>
    </row>
    <row r="363" spans="1:12" ht="12.75" hidden="1" customHeight="1" x14ac:dyDescent="0.25">
      <c r="A363" s="94">
        <v>5295</v>
      </c>
      <c r="B363" s="136">
        <v>461100</v>
      </c>
      <c r="C363" s="84" t="s">
        <v>324</v>
      </c>
      <c r="D363" s="108"/>
      <c r="E363" s="109">
        <f t="shared" si="84"/>
        <v>0</v>
      </c>
      <c r="F363" s="108"/>
      <c r="G363" s="108"/>
      <c r="H363" s="108"/>
      <c r="I363" s="108"/>
      <c r="J363" s="108"/>
      <c r="K363" s="110"/>
      <c r="L363" s="137" t="e">
        <f t="shared" si="99"/>
        <v>#DIV/0!</v>
      </c>
    </row>
    <row r="364" spans="1:12" ht="12.75" hidden="1" customHeight="1" x14ac:dyDescent="0.25">
      <c r="A364" s="94">
        <v>5296</v>
      </c>
      <c r="B364" s="136">
        <v>461200</v>
      </c>
      <c r="C364" s="84" t="s">
        <v>325</v>
      </c>
      <c r="D364" s="108"/>
      <c r="E364" s="109">
        <f t="shared" si="84"/>
        <v>0</v>
      </c>
      <c r="F364" s="108"/>
      <c r="G364" s="108"/>
      <c r="H364" s="108"/>
      <c r="I364" s="108"/>
      <c r="J364" s="108"/>
      <c r="K364" s="110"/>
      <c r="L364" s="137" t="e">
        <f t="shared" si="99"/>
        <v>#DIV/0!</v>
      </c>
    </row>
    <row r="365" spans="1:12" ht="12.75" hidden="1" customHeight="1" x14ac:dyDescent="0.25">
      <c r="A365" s="93">
        <v>5297</v>
      </c>
      <c r="B365" s="131">
        <v>462000</v>
      </c>
      <c r="C365" s="82" t="s">
        <v>326</v>
      </c>
      <c r="D365" s="100">
        <f>D366+D367</f>
        <v>0</v>
      </c>
      <c r="E365" s="100">
        <f t="shared" si="84"/>
        <v>0</v>
      </c>
      <c r="F365" s="100">
        <f t="shared" ref="F365:K365" si="104">F366+F367</f>
        <v>0</v>
      </c>
      <c r="G365" s="100">
        <f t="shared" si="104"/>
        <v>0</v>
      </c>
      <c r="H365" s="100">
        <f t="shared" si="104"/>
        <v>0</v>
      </c>
      <c r="I365" s="100">
        <f t="shared" si="104"/>
        <v>0</v>
      </c>
      <c r="J365" s="100">
        <f t="shared" si="104"/>
        <v>0</v>
      </c>
      <c r="K365" s="101">
        <f t="shared" si="104"/>
        <v>0</v>
      </c>
      <c r="L365" s="137" t="e">
        <f t="shared" si="99"/>
        <v>#DIV/0!</v>
      </c>
    </row>
    <row r="366" spans="1:12" ht="12.75" hidden="1" customHeight="1" x14ac:dyDescent="0.25">
      <c r="A366" s="94">
        <v>5298</v>
      </c>
      <c r="B366" s="136">
        <v>462100</v>
      </c>
      <c r="C366" s="84" t="s">
        <v>327</v>
      </c>
      <c r="D366" s="108"/>
      <c r="E366" s="109">
        <f t="shared" si="84"/>
        <v>0</v>
      </c>
      <c r="F366" s="108"/>
      <c r="G366" s="108"/>
      <c r="H366" s="108"/>
      <c r="I366" s="108"/>
      <c r="J366" s="108"/>
      <c r="K366" s="110"/>
      <c r="L366" s="137" t="e">
        <f t="shared" si="99"/>
        <v>#DIV/0!</v>
      </c>
    </row>
    <row r="367" spans="1:12" ht="12.75" hidden="1" customHeight="1" x14ac:dyDescent="0.25">
      <c r="A367" s="94">
        <v>5299</v>
      </c>
      <c r="B367" s="136">
        <v>462200</v>
      </c>
      <c r="C367" s="84" t="s">
        <v>328</v>
      </c>
      <c r="D367" s="108"/>
      <c r="E367" s="109">
        <f t="shared" si="84"/>
        <v>0</v>
      </c>
      <c r="F367" s="108"/>
      <c r="G367" s="108"/>
      <c r="H367" s="108"/>
      <c r="I367" s="108"/>
      <c r="J367" s="108"/>
      <c r="K367" s="110"/>
      <c r="L367" s="137" t="e">
        <f t="shared" si="99"/>
        <v>#DIV/0!</v>
      </c>
    </row>
    <row r="368" spans="1:12" ht="12.75" hidden="1" customHeight="1" x14ac:dyDescent="0.25">
      <c r="A368" s="93">
        <v>5300</v>
      </c>
      <c r="B368" s="131">
        <v>463000</v>
      </c>
      <c r="C368" s="82" t="s">
        <v>329</v>
      </c>
      <c r="D368" s="100">
        <f>D369+D370</f>
        <v>0</v>
      </c>
      <c r="E368" s="100">
        <f t="shared" ref="E368:E440" si="105">SUM(F368:K368)</f>
        <v>0</v>
      </c>
      <c r="F368" s="100">
        <f t="shared" ref="F368:K368" si="106">F369+F370</f>
        <v>0</v>
      </c>
      <c r="G368" s="100">
        <f t="shared" si="106"/>
        <v>0</v>
      </c>
      <c r="H368" s="100">
        <f t="shared" si="106"/>
        <v>0</v>
      </c>
      <c r="I368" s="100">
        <f t="shared" si="106"/>
        <v>0</v>
      </c>
      <c r="J368" s="100">
        <f t="shared" si="106"/>
        <v>0</v>
      </c>
      <c r="K368" s="101">
        <f t="shared" si="106"/>
        <v>0</v>
      </c>
      <c r="L368" s="137" t="e">
        <f t="shared" si="99"/>
        <v>#DIV/0!</v>
      </c>
    </row>
    <row r="369" spans="1:12" ht="12.75" hidden="1" customHeight="1" x14ac:dyDescent="0.25">
      <c r="A369" s="94">
        <v>5301</v>
      </c>
      <c r="B369" s="136">
        <v>463100</v>
      </c>
      <c r="C369" s="84" t="s">
        <v>330</v>
      </c>
      <c r="D369" s="108"/>
      <c r="E369" s="109">
        <f t="shared" si="105"/>
        <v>0</v>
      </c>
      <c r="F369" s="108"/>
      <c r="G369" s="108"/>
      <c r="H369" s="108"/>
      <c r="I369" s="108"/>
      <c r="J369" s="108"/>
      <c r="K369" s="110"/>
      <c r="L369" s="137" t="e">
        <f t="shared" si="99"/>
        <v>#DIV/0!</v>
      </c>
    </row>
    <row r="370" spans="1:12" ht="12.75" hidden="1" customHeight="1" x14ac:dyDescent="0.25">
      <c r="A370" s="94">
        <v>5302</v>
      </c>
      <c r="B370" s="136">
        <v>463200</v>
      </c>
      <c r="C370" s="84" t="s">
        <v>331</v>
      </c>
      <c r="D370" s="108"/>
      <c r="E370" s="109">
        <f t="shared" si="105"/>
        <v>0</v>
      </c>
      <c r="F370" s="108"/>
      <c r="G370" s="108"/>
      <c r="H370" s="108"/>
      <c r="I370" s="108"/>
      <c r="J370" s="108"/>
      <c r="K370" s="110"/>
      <c r="L370" s="137" t="e">
        <f t="shared" si="99"/>
        <v>#DIV/0!</v>
      </c>
    </row>
    <row r="371" spans="1:12" ht="12.75" hidden="1" customHeight="1" x14ac:dyDescent="0.25">
      <c r="A371" s="93">
        <v>5303</v>
      </c>
      <c r="B371" s="131">
        <v>464000</v>
      </c>
      <c r="C371" s="82" t="s">
        <v>332</v>
      </c>
      <c r="D371" s="100">
        <f>D372+D373</f>
        <v>0</v>
      </c>
      <c r="E371" s="100">
        <f t="shared" si="105"/>
        <v>0</v>
      </c>
      <c r="F371" s="100">
        <f t="shared" ref="F371:K371" si="107">F372+F373</f>
        <v>0</v>
      </c>
      <c r="G371" s="100">
        <f t="shared" si="107"/>
        <v>0</v>
      </c>
      <c r="H371" s="100">
        <f t="shared" si="107"/>
        <v>0</v>
      </c>
      <c r="I371" s="100">
        <f t="shared" si="107"/>
        <v>0</v>
      </c>
      <c r="J371" s="100">
        <f t="shared" si="107"/>
        <v>0</v>
      </c>
      <c r="K371" s="101">
        <f t="shared" si="107"/>
        <v>0</v>
      </c>
      <c r="L371" s="137" t="e">
        <f t="shared" si="99"/>
        <v>#DIV/0!</v>
      </c>
    </row>
    <row r="372" spans="1:12" ht="12.75" hidden="1" customHeight="1" x14ac:dyDescent="0.25">
      <c r="A372" s="94">
        <v>5304</v>
      </c>
      <c r="B372" s="136">
        <v>464100</v>
      </c>
      <c r="C372" s="84" t="s">
        <v>333</v>
      </c>
      <c r="D372" s="108"/>
      <c r="E372" s="109">
        <f t="shared" si="105"/>
        <v>0</v>
      </c>
      <c r="F372" s="108"/>
      <c r="G372" s="108"/>
      <c r="H372" s="108"/>
      <c r="I372" s="108"/>
      <c r="J372" s="108"/>
      <c r="K372" s="110"/>
      <c r="L372" s="137" t="e">
        <f t="shared" si="99"/>
        <v>#DIV/0!</v>
      </c>
    </row>
    <row r="373" spans="1:12" ht="12.75" hidden="1" customHeight="1" x14ac:dyDescent="0.25">
      <c r="A373" s="94">
        <v>5305</v>
      </c>
      <c r="B373" s="136">
        <v>464200</v>
      </c>
      <c r="C373" s="84" t="s">
        <v>334</v>
      </c>
      <c r="D373" s="108"/>
      <c r="E373" s="109">
        <f t="shared" si="105"/>
        <v>0</v>
      </c>
      <c r="F373" s="108"/>
      <c r="G373" s="108"/>
      <c r="H373" s="108"/>
      <c r="I373" s="108"/>
      <c r="J373" s="108"/>
      <c r="K373" s="110"/>
      <c r="L373" s="137" t="e">
        <f t="shared" si="99"/>
        <v>#DIV/0!</v>
      </c>
    </row>
    <row r="374" spans="1:12" ht="12.75" customHeight="1" x14ac:dyDescent="0.25">
      <c r="A374" s="93">
        <v>5306</v>
      </c>
      <c r="B374" s="131">
        <v>465000</v>
      </c>
      <c r="C374" s="82" t="s">
        <v>335</v>
      </c>
      <c r="D374" s="100">
        <f>D375+D376</f>
        <v>7710</v>
      </c>
      <c r="E374" s="100">
        <f t="shared" si="105"/>
        <v>2020</v>
      </c>
      <c r="F374" s="100">
        <f t="shared" ref="F374:K374" si="108">F375+F376</f>
        <v>0</v>
      </c>
      <c r="G374" s="100">
        <f t="shared" si="108"/>
        <v>0</v>
      </c>
      <c r="H374" s="100">
        <f t="shared" si="108"/>
        <v>0</v>
      </c>
      <c r="I374" s="100">
        <f t="shared" si="108"/>
        <v>2020</v>
      </c>
      <c r="J374" s="100">
        <f t="shared" si="108"/>
        <v>0</v>
      </c>
      <c r="K374" s="101">
        <f t="shared" si="108"/>
        <v>0</v>
      </c>
      <c r="L374" s="137">
        <f t="shared" si="99"/>
        <v>0.26199740596627757</v>
      </c>
    </row>
    <row r="375" spans="1:12" ht="12.75" customHeight="1" x14ac:dyDescent="0.25">
      <c r="A375" s="94">
        <v>5307</v>
      </c>
      <c r="B375" s="136">
        <v>465100</v>
      </c>
      <c r="C375" s="84" t="s">
        <v>336</v>
      </c>
      <c r="D375" s="108">
        <v>7710</v>
      </c>
      <c r="E375" s="109">
        <f t="shared" si="105"/>
        <v>2020</v>
      </c>
      <c r="F375" s="108"/>
      <c r="G375" s="108"/>
      <c r="H375" s="108"/>
      <c r="I375" s="108">
        <v>2020</v>
      </c>
      <c r="J375" s="108"/>
      <c r="K375" s="110"/>
      <c r="L375" s="137">
        <f t="shared" si="99"/>
        <v>0.26199740596627757</v>
      </c>
    </row>
    <row r="376" spans="1:12" ht="12.75" hidden="1" customHeight="1" x14ac:dyDescent="0.25">
      <c r="A376" s="94">
        <v>5308</v>
      </c>
      <c r="B376" s="136">
        <v>465200</v>
      </c>
      <c r="C376" s="84" t="s">
        <v>337</v>
      </c>
      <c r="D376" s="108"/>
      <c r="E376" s="109">
        <f t="shared" si="105"/>
        <v>0</v>
      </c>
      <c r="F376" s="108"/>
      <c r="G376" s="108"/>
      <c r="H376" s="108"/>
      <c r="I376" s="108"/>
      <c r="J376" s="108"/>
      <c r="K376" s="110"/>
      <c r="L376" s="137" t="e">
        <f t="shared" si="99"/>
        <v>#DIV/0!</v>
      </c>
    </row>
    <row r="377" spans="1:12" ht="12.75" hidden="1" customHeight="1" x14ac:dyDescent="0.25">
      <c r="A377" s="93">
        <v>5309</v>
      </c>
      <c r="B377" s="131">
        <v>470000</v>
      </c>
      <c r="C377" s="82" t="s">
        <v>338</v>
      </c>
      <c r="D377" s="100">
        <f>D378+D382</f>
        <v>0</v>
      </c>
      <c r="E377" s="100">
        <f t="shared" si="105"/>
        <v>0</v>
      </c>
      <c r="F377" s="100">
        <f t="shared" ref="F377:K377" si="109">F378+F382</f>
        <v>0</v>
      </c>
      <c r="G377" s="100">
        <f t="shared" si="109"/>
        <v>0</v>
      </c>
      <c r="H377" s="100">
        <f t="shared" si="109"/>
        <v>0</v>
      </c>
      <c r="I377" s="100">
        <f t="shared" si="109"/>
        <v>0</v>
      </c>
      <c r="J377" s="100">
        <f t="shared" si="109"/>
        <v>0</v>
      </c>
      <c r="K377" s="101">
        <f t="shared" si="109"/>
        <v>0</v>
      </c>
      <c r="L377" s="137" t="e">
        <f t="shared" si="99"/>
        <v>#DIV/0!</v>
      </c>
    </row>
    <row r="378" spans="1:12" ht="12.75" hidden="1" customHeight="1" x14ac:dyDescent="0.25">
      <c r="A378" s="93">
        <v>5310</v>
      </c>
      <c r="B378" s="131">
        <v>471000</v>
      </c>
      <c r="C378" s="82" t="s">
        <v>339</v>
      </c>
      <c r="D378" s="100">
        <f>SUM(D379:D381)</f>
        <v>0</v>
      </c>
      <c r="E378" s="100">
        <f t="shared" si="105"/>
        <v>0</v>
      </c>
      <c r="F378" s="100">
        <f t="shared" ref="F378:K378" si="110">SUM(F379:F381)</f>
        <v>0</v>
      </c>
      <c r="G378" s="100">
        <f t="shared" si="110"/>
        <v>0</v>
      </c>
      <c r="H378" s="100">
        <f t="shared" si="110"/>
        <v>0</v>
      </c>
      <c r="I378" s="100">
        <f t="shared" si="110"/>
        <v>0</v>
      </c>
      <c r="J378" s="100">
        <f t="shared" si="110"/>
        <v>0</v>
      </c>
      <c r="K378" s="101">
        <f t="shared" si="110"/>
        <v>0</v>
      </c>
      <c r="L378" s="137" t="e">
        <f t="shared" si="99"/>
        <v>#DIV/0!</v>
      </c>
    </row>
    <row r="379" spans="1:12" ht="12.75" hidden="1" customHeight="1" x14ac:dyDescent="0.25">
      <c r="A379" s="94">
        <v>5311</v>
      </c>
      <c r="B379" s="136">
        <v>471100</v>
      </c>
      <c r="C379" s="84" t="s">
        <v>340</v>
      </c>
      <c r="D379" s="108"/>
      <c r="E379" s="109">
        <f t="shared" si="105"/>
        <v>0</v>
      </c>
      <c r="F379" s="108"/>
      <c r="G379" s="108"/>
      <c r="H379" s="108"/>
      <c r="I379" s="108"/>
      <c r="J379" s="108"/>
      <c r="K379" s="110"/>
      <c r="L379" s="137" t="e">
        <f t="shared" si="99"/>
        <v>#DIV/0!</v>
      </c>
    </row>
    <row r="380" spans="1:12" ht="12.75" hidden="1" customHeight="1" x14ac:dyDescent="0.25">
      <c r="A380" s="94">
        <v>5312</v>
      </c>
      <c r="B380" s="136">
        <v>471200</v>
      </c>
      <c r="C380" s="84" t="s">
        <v>341</v>
      </c>
      <c r="D380" s="108"/>
      <c r="E380" s="109">
        <f t="shared" si="105"/>
        <v>0</v>
      </c>
      <c r="F380" s="108"/>
      <c r="G380" s="108"/>
      <c r="H380" s="108"/>
      <c r="I380" s="108"/>
      <c r="J380" s="108"/>
      <c r="K380" s="110"/>
      <c r="L380" s="137" t="e">
        <f t="shared" si="99"/>
        <v>#DIV/0!</v>
      </c>
    </row>
    <row r="381" spans="1:12" ht="12.75" hidden="1" customHeight="1" x14ac:dyDescent="0.25">
      <c r="A381" s="94">
        <v>5313</v>
      </c>
      <c r="B381" s="136">
        <v>471900</v>
      </c>
      <c r="C381" s="84" t="s">
        <v>342</v>
      </c>
      <c r="D381" s="108"/>
      <c r="E381" s="109">
        <f t="shared" si="105"/>
        <v>0</v>
      </c>
      <c r="F381" s="108"/>
      <c r="G381" s="108"/>
      <c r="H381" s="108"/>
      <c r="I381" s="108"/>
      <c r="J381" s="108"/>
      <c r="K381" s="110"/>
      <c r="L381" s="137" t="e">
        <f t="shared" si="99"/>
        <v>#DIV/0!</v>
      </c>
    </row>
    <row r="382" spans="1:12" ht="12.75" hidden="1" customHeight="1" x14ac:dyDescent="0.25">
      <c r="A382" s="93">
        <v>5314</v>
      </c>
      <c r="B382" s="131">
        <v>472000</v>
      </c>
      <c r="C382" s="82" t="s">
        <v>343</v>
      </c>
      <c r="D382" s="100">
        <f>SUM(D387:D395)</f>
        <v>0</v>
      </c>
      <c r="E382" s="100">
        <f t="shared" si="105"/>
        <v>0</v>
      </c>
      <c r="F382" s="100">
        <f t="shared" ref="F382:K382" si="111">SUM(F387:F395)</f>
        <v>0</v>
      </c>
      <c r="G382" s="100">
        <f t="shared" si="111"/>
        <v>0</v>
      </c>
      <c r="H382" s="100">
        <f t="shared" si="111"/>
        <v>0</v>
      </c>
      <c r="I382" s="100">
        <f t="shared" si="111"/>
        <v>0</v>
      </c>
      <c r="J382" s="100">
        <f t="shared" si="111"/>
        <v>0</v>
      </c>
      <c r="K382" s="101">
        <f t="shared" si="111"/>
        <v>0</v>
      </c>
      <c r="L382" s="137" t="e">
        <f t="shared" si="99"/>
        <v>#DIV/0!</v>
      </c>
    </row>
    <row r="383" spans="1:12" ht="12.75" hidden="1" customHeight="1" x14ac:dyDescent="0.25">
      <c r="A383" s="583" t="s">
        <v>0</v>
      </c>
      <c r="B383" s="584" t="s">
        <v>1</v>
      </c>
      <c r="C383" s="585" t="s">
        <v>2</v>
      </c>
      <c r="D383" s="585" t="s">
        <v>217</v>
      </c>
      <c r="E383" s="575" t="s">
        <v>198</v>
      </c>
      <c r="F383" s="589"/>
      <c r="G383" s="589"/>
      <c r="H383" s="589"/>
      <c r="I383" s="589"/>
      <c r="J383" s="589"/>
      <c r="K383" s="592"/>
      <c r="L383" s="137" t="e">
        <f t="shared" si="99"/>
        <v>#VALUE!</v>
      </c>
    </row>
    <row r="384" spans="1:12" ht="12.75" hidden="1" customHeight="1" x14ac:dyDescent="0.25">
      <c r="A384" s="583"/>
      <c r="B384" s="584"/>
      <c r="C384" s="585"/>
      <c r="D384" s="585"/>
      <c r="E384" s="575" t="s">
        <v>199</v>
      </c>
      <c r="F384" s="575" t="s">
        <v>200</v>
      </c>
      <c r="G384" s="589"/>
      <c r="H384" s="589"/>
      <c r="I384" s="589"/>
      <c r="J384" s="575" t="s">
        <v>7</v>
      </c>
      <c r="K384" s="582" t="s">
        <v>8</v>
      </c>
      <c r="L384" s="137" t="e">
        <f t="shared" si="99"/>
        <v>#VALUE!</v>
      </c>
    </row>
    <row r="385" spans="1:12" ht="12.75" hidden="1" customHeight="1" x14ac:dyDescent="0.25">
      <c r="A385" s="583"/>
      <c r="B385" s="584"/>
      <c r="C385" s="585"/>
      <c r="D385" s="585"/>
      <c r="E385" s="589"/>
      <c r="F385" s="131" t="s">
        <v>201</v>
      </c>
      <c r="G385" s="131" t="s">
        <v>10</v>
      </c>
      <c r="H385" s="131" t="s">
        <v>11</v>
      </c>
      <c r="I385" s="131" t="s">
        <v>12</v>
      </c>
      <c r="J385" s="589"/>
      <c r="K385" s="592"/>
      <c r="L385" s="137" t="e">
        <f t="shared" si="99"/>
        <v>#DIV/0!</v>
      </c>
    </row>
    <row r="386" spans="1:12" ht="12.75" hidden="1" customHeight="1" x14ac:dyDescent="0.25">
      <c r="A386" s="95" t="s">
        <v>18</v>
      </c>
      <c r="B386" s="133" t="s">
        <v>19</v>
      </c>
      <c r="C386" s="133" t="s">
        <v>20</v>
      </c>
      <c r="D386" s="133" t="s">
        <v>21</v>
      </c>
      <c r="E386" s="133" t="s">
        <v>22</v>
      </c>
      <c r="F386" s="133" t="s">
        <v>23</v>
      </c>
      <c r="G386" s="133" t="s">
        <v>24</v>
      </c>
      <c r="H386" s="133" t="s">
        <v>25</v>
      </c>
      <c r="I386" s="133" t="s">
        <v>26</v>
      </c>
      <c r="J386" s="133" t="s">
        <v>27</v>
      </c>
      <c r="K386" s="99" t="s">
        <v>28</v>
      </c>
      <c r="L386" s="137">
        <f t="shared" si="99"/>
        <v>1.25</v>
      </c>
    </row>
    <row r="387" spans="1:12" ht="12.75" hidden="1" customHeight="1" x14ac:dyDescent="0.25">
      <c r="A387" s="94">
        <v>5315</v>
      </c>
      <c r="B387" s="136">
        <v>472100</v>
      </c>
      <c r="C387" s="84" t="s">
        <v>344</v>
      </c>
      <c r="D387" s="108"/>
      <c r="E387" s="109">
        <f t="shared" si="105"/>
        <v>0</v>
      </c>
      <c r="F387" s="108"/>
      <c r="G387" s="108"/>
      <c r="H387" s="108"/>
      <c r="I387" s="108"/>
      <c r="J387" s="108"/>
      <c r="K387" s="110"/>
      <c r="L387" s="137" t="e">
        <f t="shared" si="99"/>
        <v>#DIV/0!</v>
      </c>
    </row>
    <row r="388" spans="1:12" ht="12.75" hidden="1" customHeight="1" x14ac:dyDescent="0.25">
      <c r="A388" s="94">
        <v>5316</v>
      </c>
      <c r="B388" s="136">
        <v>472200</v>
      </c>
      <c r="C388" s="84" t="s">
        <v>345</v>
      </c>
      <c r="D388" s="108"/>
      <c r="E388" s="109">
        <f t="shared" si="105"/>
        <v>0</v>
      </c>
      <c r="F388" s="108"/>
      <c r="G388" s="108"/>
      <c r="H388" s="108"/>
      <c r="I388" s="108"/>
      <c r="J388" s="108"/>
      <c r="K388" s="110"/>
      <c r="L388" s="137" t="e">
        <f t="shared" si="99"/>
        <v>#DIV/0!</v>
      </c>
    </row>
    <row r="389" spans="1:12" ht="12.75" hidden="1" customHeight="1" x14ac:dyDescent="0.25">
      <c r="A389" s="94">
        <v>5317</v>
      </c>
      <c r="B389" s="136">
        <v>472300</v>
      </c>
      <c r="C389" s="84" t="s">
        <v>346</v>
      </c>
      <c r="D389" s="108"/>
      <c r="E389" s="109">
        <f t="shared" si="105"/>
        <v>0</v>
      </c>
      <c r="F389" s="108"/>
      <c r="G389" s="108"/>
      <c r="H389" s="108"/>
      <c r="I389" s="108"/>
      <c r="J389" s="108"/>
      <c r="K389" s="110"/>
      <c r="L389" s="137" t="e">
        <f t="shared" si="99"/>
        <v>#DIV/0!</v>
      </c>
    </row>
    <row r="390" spans="1:12" ht="12.75" hidden="1" customHeight="1" x14ac:dyDescent="0.25">
      <c r="A390" s="94">
        <v>5318</v>
      </c>
      <c r="B390" s="136">
        <v>472400</v>
      </c>
      <c r="C390" s="84" t="s">
        <v>347</v>
      </c>
      <c r="D390" s="108"/>
      <c r="E390" s="109">
        <f t="shared" si="105"/>
        <v>0</v>
      </c>
      <c r="F390" s="108"/>
      <c r="G390" s="108"/>
      <c r="H390" s="108"/>
      <c r="I390" s="108"/>
      <c r="J390" s="108"/>
      <c r="K390" s="110"/>
      <c r="L390" s="137" t="e">
        <f t="shared" si="99"/>
        <v>#DIV/0!</v>
      </c>
    </row>
    <row r="391" spans="1:12" ht="12.75" hidden="1" customHeight="1" x14ac:dyDescent="0.25">
      <c r="A391" s="94">
        <v>5319</v>
      </c>
      <c r="B391" s="136">
        <v>472500</v>
      </c>
      <c r="C391" s="84" t="s">
        <v>348</v>
      </c>
      <c r="D391" s="108"/>
      <c r="E391" s="109">
        <f t="shared" si="105"/>
        <v>0</v>
      </c>
      <c r="F391" s="108"/>
      <c r="G391" s="108"/>
      <c r="H391" s="108"/>
      <c r="I391" s="108"/>
      <c r="J391" s="108"/>
      <c r="K391" s="110"/>
      <c r="L391" s="137" t="e">
        <f t="shared" si="99"/>
        <v>#DIV/0!</v>
      </c>
    </row>
    <row r="392" spans="1:12" ht="12.75" hidden="1" customHeight="1" x14ac:dyDescent="0.25">
      <c r="A392" s="94">
        <v>5320</v>
      </c>
      <c r="B392" s="136">
        <v>472600</v>
      </c>
      <c r="C392" s="84" t="s">
        <v>349</v>
      </c>
      <c r="D392" s="108"/>
      <c r="E392" s="109">
        <f t="shared" si="105"/>
        <v>0</v>
      </c>
      <c r="F392" s="108"/>
      <c r="G392" s="108"/>
      <c r="H392" s="108"/>
      <c r="I392" s="108"/>
      <c r="J392" s="108"/>
      <c r="K392" s="110"/>
      <c r="L392" s="137" t="e">
        <f t="shared" si="99"/>
        <v>#DIV/0!</v>
      </c>
    </row>
    <row r="393" spans="1:12" ht="12.75" hidden="1" customHeight="1" x14ac:dyDescent="0.25">
      <c r="A393" s="94">
        <v>5321</v>
      </c>
      <c r="B393" s="136">
        <v>472700</v>
      </c>
      <c r="C393" s="84" t="s">
        <v>350</v>
      </c>
      <c r="D393" s="108"/>
      <c r="E393" s="109">
        <f t="shared" si="105"/>
        <v>0</v>
      </c>
      <c r="F393" s="108"/>
      <c r="G393" s="108"/>
      <c r="H393" s="108"/>
      <c r="I393" s="108"/>
      <c r="J393" s="108"/>
      <c r="K393" s="110"/>
      <c r="L393" s="137" t="e">
        <f t="shared" si="99"/>
        <v>#DIV/0!</v>
      </c>
    </row>
    <row r="394" spans="1:12" ht="12.75" hidden="1" customHeight="1" x14ac:dyDescent="0.25">
      <c r="A394" s="94">
        <v>5322</v>
      </c>
      <c r="B394" s="136">
        <v>472800</v>
      </c>
      <c r="C394" s="84" t="s">
        <v>351</v>
      </c>
      <c r="D394" s="108"/>
      <c r="E394" s="109">
        <f t="shared" si="105"/>
        <v>0</v>
      </c>
      <c r="F394" s="108"/>
      <c r="G394" s="108"/>
      <c r="H394" s="108"/>
      <c r="I394" s="108"/>
      <c r="J394" s="108"/>
      <c r="K394" s="110"/>
      <c r="L394" s="137" t="e">
        <f t="shared" si="99"/>
        <v>#DIV/0!</v>
      </c>
    </row>
    <row r="395" spans="1:12" ht="12.75" hidden="1" customHeight="1" x14ac:dyDescent="0.25">
      <c r="A395" s="94">
        <v>5323</v>
      </c>
      <c r="B395" s="136">
        <v>472900</v>
      </c>
      <c r="C395" s="84" t="s">
        <v>352</v>
      </c>
      <c r="D395" s="108"/>
      <c r="E395" s="109">
        <f t="shared" si="105"/>
        <v>0</v>
      </c>
      <c r="F395" s="108"/>
      <c r="G395" s="108"/>
      <c r="H395" s="108"/>
      <c r="I395" s="108"/>
      <c r="J395" s="108"/>
      <c r="K395" s="110"/>
      <c r="L395" s="137" t="e">
        <f t="shared" si="99"/>
        <v>#DIV/0!</v>
      </c>
    </row>
    <row r="396" spans="1:12" ht="12.75" customHeight="1" x14ac:dyDescent="0.25">
      <c r="A396" s="93">
        <v>5324</v>
      </c>
      <c r="B396" s="131">
        <v>480000</v>
      </c>
      <c r="C396" s="82" t="s">
        <v>353</v>
      </c>
      <c r="D396" s="100">
        <f>D397+D400+D404+D406+D409+D415</f>
        <v>135</v>
      </c>
      <c r="E396" s="100">
        <f t="shared" si="105"/>
        <v>31</v>
      </c>
      <c r="F396" s="100">
        <f t="shared" ref="F396:K396" si="112">F397+F400+F404+F406+F409+F415</f>
        <v>0</v>
      </c>
      <c r="G396" s="100">
        <f t="shared" si="112"/>
        <v>0</v>
      </c>
      <c r="H396" s="100">
        <f t="shared" si="112"/>
        <v>0</v>
      </c>
      <c r="I396" s="100">
        <f t="shared" si="112"/>
        <v>9</v>
      </c>
      <c r="J396" s="100">
        <f t="shared" si="112"/>
        <v>0</v>
      </c>
      <c r="K396" s="101">
        <f t="shared" si="112"/>
        <v>22</v>
      </c>
      <c r="L396" s="137">
        <f t="shared" si="99"/>
        <v>0.22962962962962963</v>
      </c>
    </row>
    <row r="397" spans="1:12" ht="12.75" customHeight="1" x14ac:dyDescent="0.25">
      <c r="A397" s="93">
        <v>5325</v>
      </c>
      <c r="B397" s="131">
        <v>481000</v>
      </c>
      <c r="C397" s="82" t="s">
        <v>354</v>
      </c>
      <c r="D397" s="100">
        <f>D398+D399</f>
        <v>35</v>
      </c>
      <c r="E397" s="100">
        <f t="shared" si="105"/>
        <v>20</v>
      </c>
      <c r="F397" s="100">
        <f t="shared" ref="F397:K397" si="113">F398+F399</f>
        <v>0</v>
      </c>
      <c r="G397" s="100">
        <f t="shared" si="113"/>
        <v>0</v>
      </c>
      <c r="H397" s="100">
        <f t="shared" si="113"/>
        <v>0</v>
      </c>
      <c r="I397" s="100">
        <f t="shared" si="113"/>
        <v>0</v>
      </c>
      <c r="J397" s="100">
        <f t="shared" si="113"/>
        <v>0</v>
      </c>
      <c r="K397" s="101">
        <f t="shared" si="113"/>
        <v>20</v>
      </c>
      <c r="L397" s="137">
        <f t="shared" si="99"/>
        <v>0.5714285714285714</v>
      </c>
    </row>
    <row r="398" spans="1:12" ht="12.75" hidden="1" customHeight="1" x14ac:dyDescent="0.25">
      <c r="A398" s="94">
        <v>5326</v>
      </c>
      <c r="B398" s="136">
        <v>481100</v>
      </c>
      <c r="C398" s="84" t="s">
        <v>355</v>
      </c>
      <c r="D398" s="108"/>
      <c r="E398" s="109">
        <f t="shared" si="105"/>
        <v>0</v>
      </c>
      <c r="F398" s="108"/>
      <c r="G398" s="108"/>
      <c r="H398" s="108"/>
      <c r="I398" s="108"/>
      <c r="J398" s="108"/>
      <c r="K398" s="110"/>
      <c r="L398" s="137" t="e">
        <f t="shared" si="99"/>
        <v>#DIV/0!</v>
      </c>
    </row>
    <row r="399" spans="1:12" ht="12.75" customHeight="1" x14ac:dyDescent="0.25">
      <c r="A399" s="94">
        <v>5327</v>
      </c>
      <c r="B399" s="136">
        <v>481900</v>
      </c>
      <c r="C399" s="84" t="s">
        <v>356</v>
      </c>
      <c r="D399" s="108">
        <v>35</v>
      </c>
      <c r="E399" s="109">
        <f t="shared" si="105"/>
        <v>20</v>
      </c>
      <c r="F399" s="108"/>
      <c r="G399" s="108"/>
      <c r="H399" s="108"/>
      <c r="I399" s="108"/>
      <c r="J399" s="108"/>
      <c r="K399" s="110">
        <v>20</v>
      </c>
      <c r="L399" s="137">
        <f t="shared" si="99"/>
        <v>0.5714285714285714</v>
      </c>
    </row>
    <row r="400" spans="1:12" ht="12.75" customHeight="1" x14ac:dyDescent="0.25">
      <c r="A400" s="93">
        <v>5328</v>
      </c>
      <c r="B400" s="131">
        <v>482000</v>
      </c>
      <c r="C400" s="82" t="s">
        <v>357</v>
      </c>
      <c r="D400" s="100">
        <f>SUM(D401:D403)</f>
        <v>80</v>
      </c>
      <c r="E400" s="100">
        <f t="shared" si="105"/>
        <v>11</v>
      </c>
      <c r="F400" s="100">
        <f t="shared" ref="F400:K400" si="114">SUM(F401:F403)</f>
        <v>0</v>
      </c>
      <c r="G400" s="100">
        <f t="shared" si="114"/>
        <v>0</v>
      </c>
      <c r="H400" s="100">
        <f t="shared" si="114"/>
        <v>0</v>
      </c>
      <c r="I400" s="100">
        <f t="shared" si="114"/>
        <v>9</v>
      </c>
      <c r="J400" s="100">
        <f t="shared" si="114"/>
        <v>0</v>
      </c>
      <c r="K400" s="101">
        <f t="shared" si="114"/>
        <v>2</v>
      </c>
      <c r="L400" s="137">
        <f t="shared" si="99"/>
        <v>0.13750000000000001</v>
      </c>
    </row>
    <row r="401" spans="1:12" ht="12.75" customHeight="1" x14ac:dyDescent="0.25">
      <c r="A401" s="94">
        <v>5329</v>
      </c>
      <c r="B401" s="136">
        <v>482100</v>
      </c>
      <c r="C401" s="84" t="s">
        <v>358</v>
      </c>
      <c r="D401" s="108">
        <v>20</v>
      </c>
      <c r="E401" s="109">
        <f t="shared" si="105"/>
        <v>9</v>
      </c>
      <c r="F401" s="108"/>
      <c r="G401" s="108"/>
      <c r="H401" s="108"/>
      <c r="I401" s="108">
        <v>9</v>
      </c>
      <c r="J401" s="108"/>
      <c r="K401" s="110"/>
      <c r="L401" s="137">
        <f t="shared" si="99"/>
        <v>0.45</v>
      </c>
    </row>
    <row r="402" spans="1:12" ht="12.75" customHeight="1" x14ac:dyDescent="0.25">
      <c r="A402" s="94">
        <v>5330</v>
      </c>
      <c r="B402" s="136">
        <v>482200</v>
      </c>
      <c r="C402" s="84" t="s">
        <v>359</v>
      </c>
      <c r="D402" s="108">
        <v>60</v>
      </c>
      <c r="E402" s="109">
        <f t="shared" si="105"/>
        <v>2</v>
      </c>
      <c r="F402" s="108"/>
      <c r="G402" s="108"/>
      <c r="H402" s="108"/>
      <c r="I402" s="108"/>
      <c r="J402" s="108"/>
      <c r="K402" s="110">
        <v>2</v>
      </c>
      <c r="L402" s="137">
        <f t="shared" si="99"/>
        <v>3.3333333333333333E-2</v>
      </c>
    </row>
    <row r="403" spans="1:12" ht="12.75" hidden="1" customHeight="1" x14ac:dyDescent="0.25">
      <c r="A403" s="94">
        <v>5331</v>
      </c>
      <c r="B403" s="136">
        <v>482300</v>
      </c>
      <c r="C403" s="84" t="s">
        <v>360</v>
      </c>
      <c r="D403" s="108"/>
      <c r="E403" s="109">
        <f t="shared" si="105"/>
        <v>0</v>
      </c>
      <c r="F403" s="108"/>
      <c r="G403" s="108"/>
      <c r="H403" s="108"/>
      <c r="I403" s="108"/>
      <c r="J403" s="108"/>
      <c r="K403" s="110"/>
      <c r="L403" s="137" t="e">
        <f t="shared" si="99"/>
        <v>#DIV/0!</v>
      </c>
    </row>
    <row r="404" spans="1:12" ht="12.75" customHeight="1" x14ac:dyDescent="0.25">
      <c r="A404" s="93">
        <v>5332</v>
      </c>
      <c r="B404" s="131">
        <v>483000</v>
      </c>
      <c r="C404" s="82" t="s">
        <v>361</v>
      </c>
      <c r="D404" s="100">
        <f>D405</f>
        <v>20</v>
      </c>
      <c r="E404" s="100">
        <f t="shared" si="105"/>
        <v>0</v>
      </c>
      <c r="F404" s="100">
        <f t="shared" ref="F404:K404" si="115">F405</f>
        <v>0</v>
      </c>
      <c r="G404" s="100">
        <f t="shared" si="115"/>
        <v>0</v>
      </c>
      <c r="H404" s="100">
        <f t="shared" si="115"/>
        <v>0</v>
      </c>
      <c r="I404" s="100">
        <f t="shared" si="115"/>
        <v>0</v>
      </c>
      <c r="J404" s="100">
        <f t="shared" si="115"/>
        <v>0</v>
      </c>
      <c r="K404" s="101">
        <f t="shared" si="115"/>
        <v>0</v>
      </c>
      <c r="L404" s="137">
        <f t="shared" si="99"/>
        <v>0</v>
      </c>
    </row>
    <row r="405" spans="1:12" ht="12.75" customHeight="1" x14ac:dyDescent="0.25">
      <c r="A405" s="94">
        <v>5333</v>
      </c>
      <c r="B405" s="136">
        <v>483100</v>
      </c>
      <c r="C405" s="84" t="s">
        <v>362</v>
      </c>
      <c r="D405" s="108">
        <v>20</v>
      </c>
      <c r="E405" s="109">
        <f t="shared" si="105"/>
        <v>0</v>
      </c>
      <c r="F405" s="108"/>
      <c r="G405" s="108"/>
      <c r="H405" s="108"/>
      <c r="I405" s="108"/>
      <c r="J405" s="108"/>
      <c r="K405" s="110"/>
      <c r="L405" s="137">
        <f t="shared" si="99"/>
        <v>0</v>
      </c>
    </row>
    <row r="406" spans="1:12" ht="12.75" hidden="1" customHeight="1" x14ac:dyDescent="0.25">
      <c r="A406" s="93">
        <v>5334</v>
      </c>
      <c r="B406" s="131">
        <v>484000</v>
      </c>
      <c r="C406" s="82" t="s">
        <v>363</v>
      </c>
      <c r="D406" s="100">
        <f>D407+D408</f>
        <v>0</v>
      </c>
      <c r="E406" s="100">
        <f t="shared" si="105"/>
        <v>0</v>
      </c>
      <c r="F406" s="100">
        <f t="shared" ref="F406:K406" si="116">F407+F408</f>
        <v>0</v>
      </c>
      <c r="G406" s="100">
        <f t="shared" si="116"/>
        <v>0</v>
      </c>
      <c r="H406" s="100">
        <f t="shared" si="116"/>
        <v>0</v>
      </c>
      <c r="I406" s="100">
        <f t="shared" si="116"/>
        <v>0</v>
      </c>
      <c r="J406" s="100">
        <f t="shared" si="116"/>
        <v>0</v>
      </c>
      <c r="K406" s="101">
        <f t="shared" si="116"/>
        <v>0</v>
      </c>
      <c r="L406" s="137" t="e">
        <f t="shared" si="99"/>
        <v>#DIV/0!</v>
      </c>
    </row>
    <row r="407" spans="1:12" ht="12.75" hidden="1" customHeight="1" x14ac:dyDescent="0.25">
      <c r="A407" s="94">
        <v>5335</v>
      </c>
      <c r="B407" s="136">
        <v>484100</v>
      </c>
      <c r="C407" s="84" t="s">
        <v>364</v>
      </c>
      <c r="D407" s="108"/>
      <c r="E407" s="109">
        <f t="shared" si="105"/>
        <v>0</v>
      </c>
      <c r="F407" s="108"/>
      <c r="G407" s="108"/>
      <c r="H407" s="108"/>
      <c r="I407" s="108"/>
      <c r="J407" s="108"/>
      <c r="K407" s="110"/>
      <c r="L407" s="137" t="e">
        <f t="shared" si="99"/>
        <v>#DIV/0!</v>
      </c>
    </row>
    <row r="408" spans="1:12" ht="12.75" hidden="1" customHeight="1" x14ac:dyDescent="0.25">
      <c r="A408" s="94">
        <v>5336</v>
      </c>
      <c r="B408" s="136">
        <v>484200</v>
      </c>
      <c r="C408" s="84" t="s">
        <v>365</v>
      </c>
      <c r="D408" s="108"/>
      <c r="E408" s="109">
        <f t="shared" si="105"/>
        <v>0</v>
      </c>
      <c r="F408" s="108"/>
      <c r="G408" s="108"/>
      <c r="H408" s="108"/>
      <c r="I408" s="108"/>
      <c r="J408" s="108"/>
      <c r="K408" s="110"/>
      <c r="L408" s="137" t="e">
        <f t="shared" si="99"/>
        <v>#DIV/0!</v>
      </c>
    </row>
    <row r="409" spans="1:12" ht="12.75" hidden="1" customHeight="1" x14ac:dyDescent="0.25">
      <c r="A409" s="93">
        <v>5337</v>
      </c>
      <c r="B409" s="131">
        <v>485000</v>
      </c>
      <c r="C409" s="82" t="s">
        <v>366</v>
      </c>
      <c r="D409" s="100">
        <f>D410</f>
        <v>0</v>
      </c>
      <c r="E409" s="100">
        <f t="shared" si="105"/>
        <v>0</v>
      </c>
      <c r="F409" s="100">
        <f t="shared" ref="F409:K409" si="117">F410</f>
        <v>0</v>
      </c>
      <c r="G409" s="100">
        <f t="shared" si="117"/>
        <v>0</v>
      </c>
      <c r="H409" s="100">
        <f t="shared" si="117"/>
        <v>0</v>
      </c>
      <c r="I409" s="100">
        <f t="shared" si="117"/>
        <v>0</v>
      </c>
      <c r="J409" s="100">
        <f t="shared" si="117"/>
        <v>0</v>
      </c>
      <c r="K409" s="101">
        <f t="shared" si="117"/>
        <v>0</v>
      </c>
      <c r="L409" s="137" t="e">
        <f t="shared" si="99"/>
        <v>#DIV/0!</v>
      </c>
    </row>
    <row r="410" spans="1:12" ht="12.75" hidden="1" customHeight="1" x14ac:dyDescent="0.25">
      <c r="A410" s="94">
        <v>5338</v>
      </c>
      <c r="B410" s="136">
        <v>485100</v>
      </c>
      <c r="C410" s="84" t="s">
        <v>367</v>
      </c>
      <c r="D410" s="108"/>
      <c r="E410" s="109">
        <f t="shared" si="105"/>
        <v>0</v>
      </c>
      <c r="F410" s="108"/>
      <c r="G410" s="108"/>
      <c r="H410" s="108"/>
      <c r="I410" s="108"/>
      <c r="J410" s="108"/>
      <c r="K410" s="110"/>
      <c r="L410" s="137" t="e">
        <f t="shared" si="99"/>
        <v>#DIV/0!</v>
      </c>
    </row>
    <row r="411" spans="1:12" ht="12.75" hidden="1" customHeight="1" x14ac:dyDescent="0.25">
      <c r="A411" s="583" t="s">
        <v>0</v>
      </c>
      <c r="B411" s="584" t="s">
        <v>1</v>
      </c>
      <c r="C411" s="585" t="s">
        <v>2</v>
      </c>
      <c r="D411" s="585" t="s">
        <v>217</v>
      </c>
      <c r="E411" s="575" t="s">
        <v>198</v>
      </c>
      <c r="F411" s="589"/>
      <c r="G411" s="589"/>
      <c r="H411" s="589"/>
      <c r="I411" s="589"/>
      <c r="J411" s="589"/>
      <c r="K411" s="592"/>
      <c r="L411" s="137" t="e">
        <f t="shared" si="99"/>
        <v>#VALUE!</v>
      </c>
    </row>
    <row r="412" spans="1:12" ht="12.75" hidden="1" customHeight="1" x14ac:dyDescent="0.25">
      <c r="A412" s="583"/>
      <c r="B412" s="584"/>
      <c r="C412" s="585"/>
      <c r="D412" s="585"/>
      <c r="E412" s="575" t="s">
        <v>199</v>
      </c>
      <c r="F412" s="575" t="s">
        <v>200</v>
      </c>
      <c r="G412" s="589"/>
      <c r="H412" s="589"/>
      <c r="I412" s="589"/>
      <c r="J412" s="575" t="s">
        <v>7</v>
      </c>
      <c r="K412" s="582" t="s">
        <v>8</v>
      </c>
      <c r="L412" s="137" t="e">
        <f t="shared" ref="L412:L476" si="118">E412/D412</f>
        <v>#VALUE!</v>
      </c>
    </row>
    <row r="413" spans="1:12" ht="12.75" hidden="1" customHeight="1" x14ac:dyDescent="0.25">
      <c r="A413" s="583"/>
      <c r="B413" s="584"/>
      <c r="C413" s="585"/>
      <c r="D413" s="585"/>
      <c r="E413" s="589"/>
      <c r="F413" s="131" t="s">
        <v>201</v>
      </c>
      <c r="G413" s="131" t="s">
        <v>10</v>
      </c>
      <c r="H413" s="131" t="s">
        <v>11</v>
      </c>
      <c r="I413" s="131" t="s">
        <v>12</v>
      </c>
      <c r="J413" s="589"/>
      <c r="K413" s="592"/>
      <c r="L413" s="137" t="e">
        <f t="shared" si="118"/>
        <v>#DIV/0!</v>
      </c>
    </row>
    <row r="414" spans="1:12" ht="12.75" hidden="1" customHeight="1" x14ac:dyDescent="0.25">
      <c r="A414" s="95" t="s">
        <v>18</v>
      </c>
      <c r="B414" s="133" t="s">
        <v>19</v>
      </c>
      <c r="C414" s="133" t="s">
        <v>20</v>
      </c>
      <c r="D414" s="133" t="s">
        <v>21</v>
      </c>
      <c r="E414" s="133" t="s">
        <v>22</v>
      </c>
      <c r="F414" s="133" t="s">
        <v>23</v>
      </c>
      <c r="G414" s="133" t="s">
        <v>24</v>
      </c>
      <c r="H414" s="133" t="s">
        <v>25</v>
      </c>
      <c r="I414" s="133" t="s">
        <v>26</v>
      </c>
      <c r="J414" s="133" t="s">
        <v>27</v>
      </c>
      <c r="K414" s="99" t="s">
        <v>28</v>
      </c>
      <c r="L414" s="137">
        <f t="shared" si="118"/>
        <v>1.25</v>
      </c>
    </row>
    <row r="415" spans="1:12" ht="12.75" hidden="1" customHeight="1" x14ac:dyDescent="0.25">
      <c r="A415" s="93">
        <v>5339</v>
      </c>
      <c r="B415" s="131">
        <v>489000</v>
      </c>
      <c r="C415" s="82" t="s">
        <v>368</v>
      </c>
      <c r="D415" s="100">
        <f>D416</f>
        <v>0</v>
      </c>
      <c r="E415" s="100">
        <f t="shared" si="105"/>
        <v>0</v>
      </c>
      <c r="F415" s="100">
        <f t="shared" ref="F415:K415" si="119">F416</f>
        <v>0</v>
      </c>
      <c r="G415" s="100">
        <f t="shared" si="119"/>
        <v>0</v>
      </c>
      <c r="H415" s="100">
        <f t="shared" si="119"/>
        <v>0</v>
      </c>
      <c r="I415" s="100">
        <f t="shared" si="119"/>
        <v>0</v>
      </c>
      <c r="J415" s="100">
        <f t="shared" si="119"/>
        <v>0</v>
      </c>
      <c r="K415" s="101">
        <f t="shared" si="119"/>
        <v>0</v>
      </c>
      <c r="L415" s="137" t="e">
        <f t="shared" si="118"/>
        <v>#DIV/0!</v>
      </c>
    </row>
    <row r="416" spans="1:12" ht="12.75" hidden="1" customHeight="1" x14ac:dyDescent="0.25">
      <c r="A416" s="94">
        <v>5340</v>
      </c>
      <c r="B416" s="136">
        <v>489100</v>
      </c>
      <c r="C416" s="84" t="s">
        <v>369</v>
      </c>
      <c r="D416" s="108"/>
      <c r="E416" s="109">
        <f t="shared" si="105"/>
        <v>0</v>
      </c>
      <c r="F416" s="108"/>
      <c r="G416" s="108"/>
      <c r="H416" s="108"/>
      <c r="I416" s="108"/>
      <c r="J416" s="108"/>
      <c r="K416" s="110"/>
      <c r="L416" s="137" t="e">
        <f t="shared" si="118"/>
        <v>#DIV/0!</v>
      </c>
    </row>
    <row r="417" spans="1:12" ht="12.75" customHeight="1" x14ac:dyDescent="0.25">
      <c r="A417" s="93">
        <v>5341</v>
      </c>
      <c r="B417" s="131">
        <v>500000</v>
      </c>
      <c r="C417" s="82" t="s">
        <v>370</v>
      </c>
      <c r="D417" s="100">
        <f>D418+D441+D454+D457+D465</f>
        <v>25535</v>
      </c>
      <c r="E417" s="100">
        <f t="shared" si="105"/>
        <v>6566</v>
      </c>
      <c r="F417" s="100">
        <f t="shared" ref="F417:K417" si="120">F418+F441+F454+F457+F465</f>
        <v>2998</v>
      </c>
      <c r="G417" s="100">
        <f t="shared" si="120"/>
        <v>0</v>
      </c>
      <c r="H417" s="100">
        <f t="shared" si="120"/>
        <v>0</v>
      </c>
      <c r="I417" s="100">
        <f t="shared" si="120"/>
        <v>0</v>
      </c>
      <c r="J417" s="100">
        <f t="shared" si="120"/>
        <v>0</v>
      </c>
      <c r="K417" s="101">
        <f t="shared" si="120"/>
        <v>3568</v>
      </c>
      <c r="L417" s="137">
        <f t="shared" si="118"/>
        <v>0.25713726258077146</v>
      </c>
    </row>
    <row r="418" spans="1:12" ht="12.75" customHeight="1" x14ac:dyDescent="0.25">
      <c r="A418" s="93">
        <v>5342</v>
      </c>
      <c r="B418" s="131">
        <v>510000</v>
      </c>
      <c r="C418" s="82" t="s">
        <v>371</v>
      </c>
      <c r="D418" s="100">
        <f>D419+D424+D435+D437+D439</f>
        <v>25535</v>
      </c>
      <c r="E418" s="100">
        <f t="shared" si="105"/>
        <v>6566</v>
      </c>
      <c r="F418" s="100">
        <f t="shared" ref="F418:K418" si="121">F419+F424+F435+F437+F439</f>
        <v>2998</v>
      </c>
      <c r="G418" s="100">
        <f t="shared" si="121"/>
        <v>0</v>
      </c>
      <c r="H418" s="100">
        <f t="shared" si="121"/>
        <v>0</v>
      </c>
      <c r="I418" s="100">
        <f t="shared" si="121"/>
        <v>0</v>
      </c>
      <c r="J418" s="100">
        <f t="shared" si="121"/>
        <v>0</v>
      </c>
      <c r="K418" s="101">
        <f t="shared" si="121"/>
        <v>3568</v>
      </c>
      <c r="L418" s="137">
        <f t="shared" si="118"/>
        <v>0.25713726258077146</v>
      </c>
    </row>
    <row r="419" spans="1:12" ht="12.75" customHeight="1" x14ac:dyDescent="0.25">
      <c r="A419" s="93">
        <v>5343</v>
      </c>
      <c r="B419" s="131">
        <v>511000</v>
      </c>
      <c r="C419" s="82" t="s">
        <v>372</v>
      </c>
      <c r="D419" s="100">
        <f>SUM(D420:D423)</f>
        <v>2124</v>
      </c>
      <c r="E419" s="100">
        <f t="shared" si="105"/>
        <v>0</v>
      </c>
      <c r="F419" s="100">
        <f t="shared" ref="F419:K419" si="122">SUM(F420:F423)</f>
        <v>0</v>
      </c>
      <c r="G419" s="100">
        <f t="shared" si="122"/>
        <v>0</v>
      </c>
      <c r="H419" s="100">
        <f t="shared" si="122"/>
        <v>0</v>
      </c>
      <c r="I419" s="100">
        <f t="shared" si="122"/>
        <v>0</v>
      </c>
      <c r="J419" s="100">
        <f t="shared" si="122"/>
        <v>0</v>
      </c>
      <c r="K419" s="101">
        <f t="shared" si="122"/>
        <v>0</v>
      </c>
      <c r="L419" s="137">
        <f t="shared" si="118"/>
        <v>0</v>
      </c>
    </row>
    <row r="420" spans="1:12" ht="12.75" hidden="1" customHeight="1" x14ac:dyDescent="0.25">
      <c r="A420" s="94">
        <v>5344</v>
      </c>
      <c r="B420" s="136">
        <v>511100</v>
      </c>
      <c r="C420" s="84" t="s">
        <v>373</v>
      </c>
      <c r="D420" s="108"/>
      <c r="E420" s="109">
        <f t="shared" si="105"/>
        <v>0</v>
      </c>
      <c r="F420" s="108"/>
      <c r="G420" s="108"/>
      <c r="H420" s="108"/>
      <c r="I420" s="108"/>
      <c r="J420" s="108"/>
      <c r="K420" s="110"/>
      <c r="L420" s="137" t="e">
        <f t="shared" si="118"/>
        <v>#DIV/0!</v>
      </c>
    </row>
    <row r="421" spans="1:12" ht="12.75" hidden="1" customHeight="1" x14ac:dyDescent="0.25">
      <c r="A421" s="94">
        <v>5345</v>
      </c>
      <c r="B421" s="136">
        <v>511200</v>
      </c>
      <c r="C421" s="84" t="s">
        <v>374</v>
      </c>
      <c r="D421" s="108"/>
      <c r="E421" s="109">
        <f t="shared" si="105"/>
        <v>0</v>
      </c>
      <c r="F421" s="108"/>
      <c r="G421" s="108"/>
      <c r="H421" s="108"/>
      <c r="I421" s="108"/>
      <c r="J421" s="108"/>
      <c r="K421" s="110"/>
      <c r="L421" s="137" t="e">
        <f t="shared" si="118"/>
        <v>#DIV/0!</v>
      </c>
    </row>
    <row r="422" spans="1:12" ht="12.75" customHeight="1" x14ac:dyDescent="0.25">
      <c r="A422" s="94">
        <v>5346</v>
      </c>
      <c r="B422" s="136">
        <v>511300</v>
      </c>
      <c r="C422" s="84" t="s">
        <v>375</v>
      </c>
      <c r="D422" s="108">
        <v>2124</v>
      </c>
      <c r="E422" s="109">
        <f t="shared" si="105"/>
        <v>0</v>
      </c>
      <c r="F422" s="108"/>
      <c r="G422" s="108"/>
      <c r="H422" s="108"/>
      <c r="I422" s="108"/>
      <c r="J422" s="108"/>
      <c r="K422" s="110"/>
      <c r="L422" s="137">
        <f t="shared" si="118"/>
        <v>0</v>
      </c>
    </row>
    <row r="423" spans="1:12" ht="12.75" hidden="1" customHeight="1" x14ac:dyDescent="0.25">
      <c r="A423" s="94">
        <v>5347</v>
      </c>
      <c r="B423" s="136">
        <v>511400</v>
      </c>
      <c r="C423" s="84" t="s">
        <v>376</v>
      </c>
      <c r="D423" s="108"/>
      <c r="E423" s="109">
        <f t="shared" si="105"/>
        <v>0</v>
      </c>
      <c r="F423" s="108"/>
      <c r="G423" s="108"/>
      <c r="H423" s="108"/>
      <c r="I423" s="108"/>
      <c r="J423" s="108"/>
      <c r="K423" s="110"/>
      <c r="L423" s="137" t="e">
        <f t="shared" si="118"/>
        <v>#DIV/0!</v>
      </c>
    </row>
    <row r="424" spans="1:12" ht="12.75" customHeight="1" x14ac:dyDescent="0.25">
      <c r="A424" s="93">
        <v>5348</v>
      </c>
      <c r="B424" s="131">
        <v>512000</v>
      </c>
      <c r="C424" s="82" t="s">
        <v>377</v>
      </c>
      <c r="D424" s="100">
        <f>SUM(D425:D434)</f>
        <v>23311</v>
      </c>
      <c r="E424" s="100">
        <f t="shared" si="105"/>
        <v>6566</v>
      </c>
      <c r="F424" s="100">
        <f t="shared" ref="F424:K424" si="123">SUM(F425:F434)</f>
        <v>2998</v>
      </c>
      <c r="G424" s="100">
        <f t="shared" si="123"/>
        <v>0</v>
      </c>
      <c r="H424" s="100">
        <f t="shared" si="123"/>
        <v>0</v>
      </c>
      <c r="I424" s="100">
        <f t="shared" si="123"/>
        <v>0</v>
      </c>
      <c r="J424" s="100">
        <f t="shared" si="123"/>
        <v>0</v>
      </c>
      <c r="K424" s="101">
        <f t="shared" si="123"/>
        <v>3568</v>
      </c>
      <c r="L424" s="137">
        <f t="shared" si="118"/>
        <v>0.28166959804384195</v>
      </c>
    </row>
    <row r="425" spans="1:12" ht="12.75" hidden="1" customHeight="1" x14ac:dyDescent="0.25">
      <c r="A425" s="94">
        <v>5349</v>
      </c>
      <c r="B425" s="136">
        <v>512100</v>
      </c>
      <c r="C425" s="84" t="s">
        <v>378</v>
      </c>
      <c r="D425" s="108"/>
      <c r="E425" s="100">
        <f t="shared" si="105"/>
        <v>0</v>
      </c>
      <c r="F425" s="108"/>
      <c r="G425" s="108"/>
      <c r="H425" s="108"/>
      <c r="I425" s="108"/>
      <c r="J425" s="108"/>
      <c r="K425" s="110"/>
      <c r="L425" s="137" t="e">
        <f t="shared" si="118"/>
        <v>#DIV/0!</v>
      </c>
    </row>
    <row r="426" spans="1:12" ht="12.75" customHeight="1" x14ac:dyDescent="0.25">
      <c r="A426" s="94">
        <v>5349</v>
      </c>
      <c r="B426" s="136">
        <v>512100</v>
      </c>
      <c r="C426" s="84" t="s">
        <v>378</v>
      </c>
      <c r="D426" s="108">
        <v>3848</v>
      </c>
      <c r="E426" s="129">
        <f t="shared" si="105"/>
        <v>3568</v>
      </c>
      <c r="F426" s="108"/>
      <c r="G426" s="108"/>
      <c r="H426" s="108"/>
      <c r="I426" s="108"/>
      <c r="J426" s="108"/>
      <c r="K426" s="110">
        <v>3568</v>
      </c>
      <c r="L426" s="137">
        <f t="shared" si="118"/>
        <v>0.92723492723492729</v>
      </c>
    </row>
    <row r="427" spans="1:12" ht="12.75" customHeight="1" x14ac:dyDescent="0.25">
      <c r="A427" s="94">
        <v>5350</v>
      </c>
      <c r="B427" s="136">
        <v>512200</v>
      </c>
      <c r="C427" s="84" t="s">
        <v>379</v>
      </c>
      <c r="D427" s="108">
        <v>1166</v>
      </c>
      <c r="E427" s="109">
        <f t="shared" si="105"/>
        <v>0</v>
      </c>
      <c r="F427" s="108"/>
      <c r="G427" s="108"/>
      <c r="H427" s="108"/>
      <c r="I427" s="108"/>
      <c r="J427" s="108"/>
      <c r="K427" s="110"/>
      <c r="L427" s="137">
        <f t="shared" si="118"/>
        <v>0</v>
      </c>
    </row>
    <row r="428" spans="1:12" ht="12.75" hidden="1" customHeight="1" x14ac:dyDescent="0.25">
      <c r="A428" s="94">
        <v>5351</v>
      </c>
      <c r="B428" s="136">
        <v>512300</v>
      </c>
      <c r="C428" s="84" t="s">
        <v>380</v>
      </c>
      <c r="D428" s="108"/>
      <c r="E428" s="109">
        <f t="shared" si="105"/>
        <v>0</v>
      </c>
      <c r="F428" s="108"/>
      <c r="G428" s="108"/>
      <c r="H428" s="108"/>
      <c r="I428" s="108"/>
      <c r="J428" s="108"/>
      <c r="K428" s="110"/>
      <c r="L428" s="137" t="e">
        <f t="shared" si="118"/>
        <v>#DIV/0!</v>
      </c>
    </row>
    <row r="429" spans="1:12" ht="12.75" hidden="1" customHeight="1" x14ac:dyDescent="0.25">
      <c r="A429" s="94">
        <v>5352</v>
      </c>
      <c r="B429" s="136">
        <v>512400</v>
      </c>
      <c r="C429" s="84" t="s">
        <v>381</v>
      </c>
      <c r="D429" s="108"/>
      <c r="E429" s="109">
        <f t="shared" si="105"/>
        <v>0</v>
      </c>
      <c r="F429" s="108"/>
      <c r="G429" s="108"/>
      <c r="H429" s="108"/>
      <c r="I429" s="108"/>
      <c r="J429" s="108"/>
      <c r="K429" s="110"/>
      <c r="L429" s="137" t="e">
        <f t="shared" si="118"/>
        <v>#DIV/0!</v>
      </c>
    </row>
    <row r="430" spans="1:12" ht="12.75" customHeight="1" x14ac:dyDescent="0.25">
      <c r="A430" s="94">
        <v>5353</v>
      </c>
      <c r="B430" s="136">
        <v>512500</v>
      </c>
      <c r="C430" s="84" t="s">
        <v>382</v>
      </c>
      <c r="D430" s="108">
        <v>18297</v>
      </c>
      <c r="E430" s="109">
        <f t="shared" si="105"/>
        <v>2998</v>
      </c>
      <c r="F430" s="108">
        <v>2998</v>
      </c>
      <c r="G430" s="108"/>
      <c r="H430" s="108"/>
      <c r="I430" s="108"/>
      <c r="J430" s="108"/>
      <c r="K430" s="110"/>
      <c r="L430" s="137">
        <f t="shared" si="118"/>
        <v>0.16385199759523419</v>
      </c>
    </row>
    <row r="431" spans="1:12" ht="12.75" hidden="1" customHeight="1" x14ac:dyDescent="0.25">
      <c r="A431" s="94">
        <v>5354</v>
      </c>
      <c r="B431" s="136">
        <v>512600</v>
      </c>
      <c r="C431" s="84" t="s">
        <v>383</v>
      </c>
      <c r="D431" s="108"/>
      <c r="E431" s="109">
        <f t="shared" si="105"/>
        <v>0</v>
      </c>
      <c r="F431" s="108"/>
      <c r="G431" s="108"/>
      <c r="H431" s="108"/>
      <c r="I431" s="108"/>
      <c r="J431" s="108"/>
      <c r="K431" s="110"/>
      <c r="L431" s="137" t="e">
        <f t="shared" si="118"/>
        <v>#DIV/0!</v>
      </c>
    </row>
    <row r="432" spans="1:12" ht="12.75" hidden="1" customHeight="1" x14ac:dyDescent="0.25">
      <c r="A432" s="94">
        <v>5355</v>
      </c>
      <c r="B432" s="136">
        <v>512700</v>
      </c>
      <c r="C432" s="84" t="s">
        <v>384</v>
      </c>
      <c r="D432" s="108"/>
      <c r="E432" s="109">
        <f t="shared" si="105"/>
        <v>0</v>
      </c>
      <c r="F432" s="108"/>
      <c r="G432" s="108"/>
      <c r="H432" s="108"/>
      <c r="I432" s="108"/>
      <c r="J432" s="108"/>
      <c r="K432" s="110"/>
      <c r="L432" s="137" t="e">
        <f t="shared" si="118"/>
        <v>#DIV/0!</v>
      </c>
    </row>
    <row r="433" spans="1:12" ht="12.75" hidden="1" customHeight="1" x14ac:dyDescent="0.25">
      <c r="A433" s="94">
        <v>5356</v>
      </c>
      <c r="B433" s="136">
        <v>512800</v>
      </c>
      <c r="C433" s="84" t="s">
        <v>385</v>
      </c>
      <c r="D433" s="108"/>
      <c r="E433" s="109">
        <f t="shared" si="105"/>
        <v>0</v>
      </c>
      <c r="F433" s="108"/>
      <c r="G433" s="108"/>
      <c r="H433" s="108"/>
      <c r="I433" s="108"/>
      <c r="J433" s="108"/>
      <c r="K433" s="110"/>
      <c r="L433" s="137" t="e">
        <f t="shared" si="118"/>
        <v>#DIV/0!</v>
      </c>
    </row>
    <row r="434" spans="1:12" ht="12.75" hidden="1" customHeight="1" x14ac:dyDescent="0.25">
      <c r="A434" s="94">
        <v>5357</v>
      </c>
      <c r="B434" s="136">
        <v>512900</v>
      </c>
      <c r="C434" s="84" t="s">
        <v>386</v>
      </c>
      <c r="D434" s="108"/>
      <c r="E434" s="109">
        <f t="shared" si="105"/>
        <v>0</v>
      </c>
      <c r="F434" s="108"/>
      <c r="G434" s="108"/>
      <c r="H434" s="108"/>
      <c r="I434" s="108"/>
      <c r="J434" s="108"/>
      <c r="K434" s="110"/>
      <c r="L434" s="137" t="e">
        <f t="shared" si="118"/>
        <v>#DIV/0!</v>
      </c>
    </row>
    <row r="435" spans="1:12" ht="12.75" hidden="1" customHeight="1" x14ac:dyDescent="0.25">
      <c r="A435" s="93">
        <v>5358</v>
      </c>
      <c r="B435" s="131">
        <v>513000</v>
      </c>
      <c r="C435" s="82" t="s">
        <v>387</v>
      </c>
      <c r="D435" s="100">
        <f>D436</f>
        <v>0</v>
      </c>
      <c r="E435" s="100">
        <f t="shared" si="105"/>
        <v>0</v>
      </c>
      <c r="F435" s="100">
        <f t="shared" ref="F435:K435" si="124">F436</f>
        <v>0</v>
      </c>
      <c r="G435" s="100">
        <f t="shared" si="124"/>
        <v>0</v>
      </c>
      <c r="H435" s="100">
        <f t="shared" si="124"/>
        <v>0</v>
      </c>
      <c r="I435" s="100">
        <f t="shared" si="124"/>
        <v>0</v>
      </c>
      <c r="J435" s="100">
        <f t="shared" si="124"/>
        <v>0</v>
      </c>
      <c r="K435" s="101">
        <f t="shared" si="124"/>
        <v>0</v>
      </c>
      <c r="L435" s="137" t="e">
        <f t="shared" si="118"/>
        <v>#DIV/0!</v>
      </c>
    </row>
    <row r="436" spans="1:12" ht="12.75" hidden="1" customHeight="1" x14ac:dyDescent="0.25">
      <c r="A436" s="94">
        <v>5359</v>
      </c>
      <c r="B436" s="136">
        <v>513100</v>
      </c>
      <c r="C436" s="84" t="s">
        <v>388</v>
      </c>
      <c r="D436" s="108"/>
      <c r="E436" s="109">
        <f t="shared" si="105"/>
        <v>0</v>
      </c>
      <c r="F436" s="108"/>
      <c r="G436" s="108"/>
      <c r="H436" s="108"/>
      <c r="I436" s="108"/>
      <c r="J436" s="108"/>
      <c r="K436" s="110"/>
      <c r="L436" s="137" t="e">
        <f t="shared" si="118"/>
        <v>#DIV/0!</v>
      </c>
    </row>
    <row r="437" spans="1:12" ht="12.75" hidden="1" customHeight="1" x14ac:dyDescent="0.25">
      <c r="A437" s="93">
        <v>5360</v>
      </c>
      <c r="B437" s="131">
        <v>514000</v>
      </c>
      <c r="C437" s="82" t="s">
        <v>389</v>
      </c>
      <c r="D437" s="100">
        <f>D438</f>
        <v>0</v>
      </c>
      <c r="E437" s="100">
        <f t="shared" si="105"/>
        <v>0</v>
      </c>
      <c r="F437" s="100">
        <f t="shared" ref="F437:K437" si="125">F438</f>
        <v>0</v>
      </c>
      <c r="G437" s="100">
        <f t="shared" si="125"/>
        <v>0</v>
      </c>
      <c r="H437" s="100">
        <f t="shared" si="125"/>
        <v>0</v>
      </c>
      <c r="I437" s="100">
        <f t="shared" si="125"/>
        <v>0</v>
      </c>
      <c r="J437" s="100">
        <f t="shared" si="125"/>
        <v>0</v>
      </c>
      <c r="K437" s="101">
        <f t="shared" si="125"/>
        <v>0</v>
      </c>
      <c r="L437" s="137" t="e">
        <f t="shared" si="118"/>
        <v>#DIV/0!</v>
      </c>
    </row>
    <row r="438" spans="1:12" ht="12.75" hidden="1" customHeight="1" x14ac:dyDescent="0.25">
      <c r="A438" s="94">
        <v>5361</v>
      </c>
      <c r="B438" s="136">
        <v>514100</v>
      </c>
      <c r="C438" s="84" t="s">
        <v>390</v>
      </c>
      <c r="D438" s="108"/>
      <c r="E438" s="109">
        <f t="shared" si="105"/>
        <v>0</v>
      </c>
      <c r="F438" s="108"/>
      <c r="G438" s="108"/>
      <c r="H438" s="108"/>
      <c r="I438" s="108"/>
      <c r="J438" s="108"/>
      <c r="K438" s="110"/>
      <c r="L438" s="137" t="e">
        <f t="shared" si="118"/>
        <v>#DIV/0!</v>
      </c>
    </row>
    <row r="439" spans="1:12" ht="12.75" customHeight="1" x14ac:dyDescent="0.25">
      <c r="A439" s="93">
        <v>5362</v>
      </c>
      <c r="B439" s="131">
        <v>515000</v>
      </c>
      <c r="C439" s="82" t="s">
        <v>391</v>
      </c>
      <c r="D439" s="100">
        <f>D440</f>
        <v>100</v>
      </c>
      <c r="E439" s="100">
        <f t="shared" si="105"/>
        <v>0</v>
      </c>
      <c r="F439" s="100">
        <f t="shared" ref="F439:K439" si="126">F440</f>
        <v>0</v>
      </c>
      <c r="G439" s="100">
        <f t="shared" si="126"/>
        <v>0</v>
      </c>
      <c r="H439" s="100">
        <f t="shared" si="126"/>
        <v>0</v>
      </c>
      <c r="I439" s="100">
        <f t="shared" si="126"/>
        <v>0</v>
      </c>
      <c r="J439" s="100">
        <f t="shared" si="126"/>
        <v>0</v>
      </c>
      <c r="K439" s="101">
        <f t="shared" si="126"/>
        <v>0</v>
      </c>
      <c r="L439" s="137">
        <f t="shared" si="118"/>
        <v>0</v>
      </c>
    </row>
    <row r="440" spans="1:12" ht="12.75" customHeight="1" x14ac:dyDescent="0.25">
      <c r="A440" s="94">
        <v>5363</v>
      </c>
      <c r="B440" s="136">
        <v>515100</v>
      </c>
      <c r="C440" s="84" t="s">
        <v>392</v>
      </c>
      <c r="D440" s="108">
        <v>100</v>
      </c>
      <c r="E440" s="109">
        <f t="shared" si="105"/>
        <v>0</v>
      </c>
      <c r="F440" s="108"/>
      <c r="G440" s="108"/>
      <c r="H440" s="108"/>
      <c r="I440" s="108"/>
      <c r="J440" s="108"/>
      <c r="K440" s="110"/>
      <c r="L440" s="137">
        <f t="shared" si="118"/>
        <v>0</v>
      </c>
    </row>
    <row r="441" spans="1:12" ht="12.75" hidden="1" customHeight="1" x14ac:dyDescent="0.25">
      <c r="A441" s="93">
        <v>5364</v>
      </c>
      <c r="B441" s="131">
        <v>520000</v>
      </c>
      <c r="C441" s="82" t="s">
        <v>393</v>
      </c>
      <c r="D441" s="100">
        <f>D442+D444+D452</f>
        <v>0</v>
      </c>
      <c r="E441" s="100">
        <f t="shared" ref="E441:E518" si="127">SUM(F441:K441)</f>
        <v>0</v>
      </c>
      <c r="F441" s="100">
        <f t="shared" ref="F441:K441" si="128">F442+F444+F452</f>
        <v>0</v>
      </c>
      <c r="G441" s="100">
        <f t="shared" si="128"/>
        <v>0</v>
      </c>
      <c r="H441" s="100">
        <f t="shared" si="128"/>
        <v>0</v>
      </c>
      <c r="I441" s="100">
        <f t="shared" si="128"/>
        <v>0</v>
      </c>
      <c r="J441" s="100">
        <f t="shared" si="128"/>
        <v>0</v>
      </c>
      <c r="K441" s="101">
        <f t="shared" si="128"/>
        <v>0</v>
      </c>
      <c r="L441" s="137" t="e">
        <f t="shared" si="118"/>
        <v>#DIV/0!</v>
      </c>
    </row>
    <row r="442" spans="1:12" ht="12.75" hidden="1" customHeight="1" x14ac:dyDescent="0.25">
      <c r="A442" s="93">
        <v>5365</v>
      </c>
      <c r="B442" s="131">
        <v>521000</v>
      </c>
      <c r="C442" s="82" t="s">
        <v>394</v>
      </c>
      <c r="D442" s="100">
        <f>D443</f>
        <v>0</v>
      </c>
      <c r="E442" s="100">
        <f t="shared" si="127"/>
        <v>0</v>
      </c>
      <c r="F442" s="100">
        <f t="shared" ref="F442:K442" si="129">F443</f>
        <v>0</v>
      </c>
      <c r="G442" s="100">
        <f t="shared" si="129"/>
        <v>0</v>
      </c>
      <c r="H442" s="100">
        <f t="shared" si="129"/>
        <v>0</v>
      </c>
      <c r="I442" s="100">
        <f t="shared" si="129"/>
        <v>0</v>
      </c>
      <c r="J442" s="100">
        <f t="shared" si="129"/>
        <v>0</v>
      </c>
      <c r="K442" s="101">
        <f t="shared" si="129"/>
        <v>0</v>
      </c>
      <c r="L442" s="137" t="e">
        <f t="shared" si="118"/>
        <v>#DIV/0!</v>
      </c>
    </row>
    <row r="443" spans="1:12" ht="12.75" hidden="1" customHeight="1" x14ac:dyDescent="0.25">
      <c r="A443" s="94">
        <v>5366</v>
      </c>
      <c r="B443" s="136">
        <v>521100</v>
      </c>
      <c r="C443" s="84" t="s">
        <v>395</v>
      </c>
      <c r="D443" s="108"/>
      <c r="E443" s="109">
        <f t="shared" si="127"/>
        <v>0</v>
      </c>
      <c r="F443" s="108"/>
      <c r="G443" s="108"/>
      <c r="H443" s="108"/>
      <c r="I443" s="108"/>
      <c r="J443" s="108"/>
      <c r="K443" s="110"/>
      <c r="L443" s="137" t="e">
        <f t="shared" si="118"/>
        <v>#DIV/0!</v>
      </c>
    </row>
    <row r="444" spans="1:12" ht="12.75" hidden="1" customHeight="1" x14ac:dyDescent="0.25">
      <c r="A444" s="93">
        <v>5367</v>
      </c>
      <c r="B444" s="131">
        <v>522000</v>
      </c>
      <c r="C444" s="82" t="s">
        <v>396</v>
      </c>
      <c r="D444" s="100">
        <f>SUM(D445:D451)</f>
        <v>0</v>
      </c>
      <c r="E444" s="100">
        <f t="shared" si="127"/>
        <v>0</v>
      </c>
      <c r="F444" s="100">
        <f t="shared" ref="F444:K444" si="130">SUM(F445:F451)</f>
        <v>0</v>
      </c>
      <c r="G444" s="100">
        <f t="shared" si="130"/>
        <v>0</v>
      </c>
      <c r="H444" s="100">
        <f t="shared" si="130"/>
        <v>0</v>
      </c>
      <c r="I444" s="100">
        <f t="shared" si="130"/>
        <v>0</v>
      </c>
      <c r="J444" s="100">
        <f t="shared" si="130"/>
        <v>0</v>
      </c>
      <c r="K444" s="101">
        <f t="shared" si="130"/>
        <v>0</v>
      </c>
      <c r="L444" s="137" t="e">
        <f t="shared" si="118"/>
        <v>#DIV/0!</v>
      </c>
    </row>
    <row r="445" spans="1:12" ht="12.75" hidden="1" customHeight="1" x14ac:dyDescent="0.25">
      <c r="A445" s="94">
        <v>5368</v>
      </c>
      <c r="B445" s="136">
        <v>522100</v>
      </c>
      <c r="C445" s="84" t="s">
        <v>397</v>
      </c>
      <c r="D445" s="108"/>
      <c r="E445" s="109">
        <f t="shared" si="127"/>
        <v>0</v>
      </c>
      <c r="F445" s="108"/>
      <c r="G445" s="108"/>
      <c r="H445" s="108"/>
      <c r="I445" s="108"/>
      <c r="J445" s="108"/>
      <c r="K445" s="110"/>
      <c r="L445" s="137" t="e">
        <f t="shared" si="118"/>
        <v>#DIV/0!</v>
      </c>
    </row>
    <row r="446" spans="1:12" ht="12.75" hidden="1" customHeight="1" x14ac:dyDescent="0.25">
      <c r="A446" s="583" t="s">
        <v>0</v>
      </c>
      <c r="B446" s="584" t="s">
        <v>1</v>
      </c>
      <c r="C446" s="585" t="s">
        <v>2</v>
      </c>
      <c r="D446" s="585" t="s">
        <v>217</v>
      </c>
      <c r="E446" s="575" t="s">
        <v>198</v>
      </c>
      <c r="F446" s="589"/>
      <c r="G446" s="589"/>
      <c r="H446" s="589"/>
      <c r="I446" s="589"/>
      <c r="J446" s="589"/>
      <c r="K446" s="592"/>
      <c r="L446" s="137" t="e">
        <f t="shared" si="118"/>
        <v>#VALUE!</v>
      </c>
    </row>
    <row r="447" spans="1:12" ht="12.75" hidden="1" customHeight="1" x14ac:dyDescent="0.25">
      <c r="A447" s="583"/>
      <c r="B447" s="584"/>
      <c r="C447" s="585"/>
      <c r="D447" s="585"/>
      <c r="E447" s="575" t="s">
        <v>199</v>
      </c>
      <c r="F447" s="575" t="s">
        <v>200</v>
      </c>
      <c r="G447" s="589"/>
      <c r="H447" s="589"/>
      <c r="I447" s="589"/>
      <c r="J447" s="575" t="s">
        <v>7</v>
      </c>
      <c r="K447" s="582" t="s">
        <v>8</v>
      </c>
      <c r="L447" s="137" t="e">
        <f t="shared" si="118"/>
        <v>#VALUE!</v>
      </c>
    </row>
    <row r="448" spans="1:12" ht="12.75" hidden="1" customHeight="1" x14ac:dyDescent="0.25">
      <c r="A448" s="583"/>
      <c r="B448" s="584"/>
      <c r="C448" s="585"/>
      <c r="D448" s="585"/>
      <c r="E448" s="589"/>
      <c r="F448" s="131" t="s">
        <v>201</v>
      </c>
      <c r="G448" s="131" t="s">
        <v>10</v>
      </c>
      <c r="H448" s="131" t="s">
        <v>11</v>
      </c>
      <c r="I448" s="131" t="s">
        <v>12</v>
      </c>
      <c r="J448" s="589"/>
      <c r="K448" s="592"/>
      <c r="L448" s="137" t="e">
        <f t="shared" si="118"/>
        <v>#DIV/0!</v>
      </c>
    </row>
    <row r="449" spans="1:12" ht="12.75" hidden="1" customHeight="1" x14ac:dyDescent="0.25">
      <c r="A449" s="95" t="s">
        <v>18</v>
      </c>
      <c r="B449" s="133" t="s">
        <v>19</v>
      </c>
      <c r="C449" s="133" t="s">
        <v>20</v>
      </c>
      <c r="D449" s="133" t="s">
        <v>21</v>
      </c>
      <c r="E449" s="133" t="s">
        <v>22</v>
      </c>
      <c r="F449" s="133" t="s">
        <v>23</v>
      </c>
      <c r="G449" s="133" t="s">
        <v>24</v>
      </c>
      <c r="H449" s="133" t="s">
        <v>25</v>
      </c>
      <c r="I449" s="133" t="s">
        <v>26</v>
      </c>
      <c r="J449" s="133" t="s">
        <v>27</v>
      </c>
      <c r="K449" s="99" t="s">
        <v>28</v>
      </c>
      <c r="L449" s="137">
        <f t="shared" si="118"/>
        <v>1.25</v>
      </c>
    </row>
    <row r="450" spans="1:12" ht="12.75" hidden="1" customHeight="1" x14ac:dyDescent="0.25">
      <c r="A450" s="94">
        <v>5369</v>
      </c>
      <c r="B450" s="136">
        <v>522200</v>
      </c>
      <c r="C450" s="84" t="s">
        <v>398</v>
      </c>
      <c r="D450" s="108"/>
      <c r="E450" s="109">
        <f t="shared" si="127"/>
        <v>0</v>
      </c>
      <c r="F450" s="108"/>
      <c r="G450" s="108"/>
      <c r="H450" s="108"/>
      <c r="I450" s="108"/>
      <c r="J450" s="108"/>
      <c r="K450" s="110"/>
      <c r="L450" s="137" t="e">
        <f t="shared" si="118"/>
        <v>#DIV/0!</v>
      </c>
    </row>
    <row r="451" spans="1:12" ht="12.75" hidden="1" customHeight="1" x14ac:dyDescent="0.25">
      <c r="A451" s="94">
        <v>5370</v>
      </c>
      <c r="B451" s="136">
        <v>522300</v>
      </c>
      <c r="C451" s="84" t="s">
        <v>399</v>
      </c>
      <c r="D451" s="108"/>
      <c r="E451" s="109">
        <f t="shared" si="127"/>
        <v>0</v>
      </c>
      <c r="F451" s="108"/>
      <c r="G451" s="108"/>
      <c r="H451" s="108"/>
      <c r="I451" s="108"/>
      <c r="J451" s="108"/>
      <c r="K451" s="110"/>
      <c r="L451" s="137" t="e">
        <f t="shared" si="118"/>
        <v>#DIV/0!</v>
      </c>
    </row>
    <row r="452" spans="1:12" ht="12.75" hidden="1" customHeight="1" x14ac:dyDescent="0.25">
      <c r="A452" s="93">
        <v>5371</v>
      </c>
      <c r="B452" s="131">
        <v>523000</v>
      </c>
      <c r="C452" s="82" t="s">
        <v>400</v>
      </c>
      <c r="D452" s="100">
        <f>D453</f>
        <v>0</v>
      </c>
      <c r="E452" s="100">
        <f t="shared" si="127"/>
        <v>0</v>
      </c>
      <c r="F452" s="100">
        <f t="shared" ref="F452:K452" si="131">F453</f>
        <v>0</v>
      </c>
      <c r="G452" s="100">
        <f t="shared" si="131"/>
        <v>0</v>
      </c>
      <c r="H452" s="100">
        <f t="shared" si="131"/>
        <v>0</v>
      </c>
      <c r="I452" s="100">
        <f t="shared" si="131"/>
        <v>0</v>
      </c>
      <c r="J452" s="100">
        <f t="shared" si="131"/>
        <v>0</v>
      </c>
      <c r="K452" s="101">
        <f t="shared" si="131"/>
        <v>0</v>
      </c>
      <c r="L452" s="137" t="e">
        <f t="shared" si="118"/>
        <v>#DIV/0!</v>
      </c>
    </row>
    <row r="453" spans="1:12" ht="12.75" hidden="1" customHeight="1" x14ac:dyDescent="0.25">
      <c r="A453" s="94">
        <v>5372</v>
      </c>
      <c r="B453" s="136">
        <v>523100</v>
      </c>
      <c r="C453" s="84" t="s">
        <v>401</v>
      </c>
      <c r="D453" s="108"/>
      <c r="E453" s="109">
        <f t="shared" si="127"/>
        <v>0</v>
      </c>
      <c r="F453" s="108"/>
      <c r="G453" s="108"/>
      <c r="H453" s="108"/>
      <c r="I453" s="108"/>
      <c r="J453" s="108"/>
      <c r="K453" s="110"/>
      <c r="L453" s="137" t="e">
        <f t="shared" si="118"/>
        <v>#DIV/0!</v>
      </c>
    </row>
    <row r="454" spans="1:12" ht="12.75" hidden="1" customHeight="1" x14ac:dyDescent="0.25">
      <c r="A454" s="93">
        <v>5373</v>
      </c>
      <c r="B454" s="131">
        <v>530000</v>
      </c>
      <c r="C454" s="82" t="s">
        <v>402</v>
      </c>
      <c r="D454" s="100">
        <f>D455</f>
        <v>0</v>
      </c>
      <c r="E454" s="100">
        <f t="shared" si="127"/>
        <v>0</v>
      </c>
      <c r="F454" s="100">
        <f t="shared" ref="F454:K455" si="132">F455</f>
        <v>0</v>
      </c>
      <c r="G454" s="100">
        <f t="shared" si="132"/>
        <v>0</v>
      </c>
      <c r="H454" s="100">
        <f t="shared" si="132"/>
        <v>0</v>
      </c>
      <c r="I454" s="100">
        <f t="shared" si="132"/>
        <v>0</v>
      </c>
      <c r="J454" s="100">
        <f t="shared" si="132"/>
        <v>0</v>
      </c>
      <c r="K454" s="101">
        <f t="shared" si="132"/>
        <v>0</v>
      </c>
      <c r="L454" s="137" t="e">
        <f t="shared" si="118"/>
        <v>#DIV/0!</v>
      </c>
    </row>
    <row r="455" spans="1:12" ht="12.75" hidden="1" customHeight="1" x14ac:dyDescent="0.25">
      <c r="A455" s="93">
        <v>5374</v>
      </c>
      <c r="B455" s="131">
        <v>531000</v>
      </c>
      <c r="C455" s="82" t="s">
        <v>403</v>
      </c>
      <c r="D455" s="100">
        <f>D456</f>
        <v>0</v>
      </c>
      <c r="E455" s="100">
        <f t="shared" si="127"/>
        <v>0</v>
      </c>
      <c r="F455" s="100">
        <f t="shared" si="132"/>
        <v>0</v>
      </c>
      <c r="G455" s="100">
        <f t="shared" si="132"/>
        <v>0</v>
      </c>
      <c r="H455" s="100">
        <f t="shared" si="132"/>
        <v>0</v>
      </c>
      <c r="I455" s="100">
        <f t="shared" si="132"/>
        <v>0</v>
      </c>
      <c r="J455" s="100">
        <f t="shared" si="132"/>
        <v>0</v>
      </c>
      <c r="K455" s="101">
        <f t="shared" si="132"/>
        <v>0</v>
      </c>
      <c r="L455" s="137" t="e">
        <f t="shared" si="118"/>
        <v>#DIV/0!</v>
      </c>
    </row>
    <row r="456" spans="1:12" ht="12.75" hidden="1" customHeight="1" x14ac:dyDescent="0.25">
      <c r="A456" s="94">
        <v>5375</v>
      </c>
      <c r="B456" s="136">
        <v>531100</v>
      </c>
      <c r="C456" s="84" t="s">
        <v>404</v>
      </c>
      <c r="D456" s="108"/>
      <c r="E456" s="109">
        <f t="shared" si="127"/>
        <v>0</v>
      </c>
      <c r="F456" s="108"/>
      <c r="G456" s="108"/>
      <c r="H456" s="108"/>
      <c r="I456" s="108"/>
      <c r="J456" s="108"/>
      <c r="K456" s="110"/>
      <c r="L456" s="137" t="e">
        <f t="shared" si="118"/>
        <v>#DIV/0!</v>
      </c>
    </row>
    <row r="457" spans="1:12" ht="12.75" hidden="1" customHeight="1" x14ac:dyDescent="0.25">
      <c r="A457" s="93">
        <v>5376</v>
      </c>
      <c r="B457" s="131">
        <v>540000</v>
      </c>
      <c r="C457" s="82" t="s">
        <v>405</v>
      </c>
      <c r="D457" s="100">
        <f>D458+D460+D462</f>
        <v>0</v>
      </c>
      <c r="E457" s="100">
        <f t="shared" si="127"/>
        <v>0</v>
      </c>
      <c r="F457" s="100">
        <f t="shared" ref="F457:K457" si="133">F458+F460+F462</f>
        <v>0</v>
      </c>
      <c r="G457" s="100">
        <f t="shared" si="133"/>
        <v>0</v>
      </c>
      <c r="H457" s="100">
        <f t="shared" si="133"/>
        <v>0</v>
      </c>
      <c r="I457" s="100">
        <f t="shared" si="133"/>
        <v>0</v>
      </c>
      <c r="J457" s="100">
        <f t="shared" si="133"/>
        <v>0</v>
      </c>
      <c r="K457" s="101">
        <f t="shared" si="133"/>
        <v>0</v>
      </c>
      <c r="L457" s="137" t="e">
        <f t="shared" si="118"/>
        <v>#DIV/0!</v>
      </c>
    </row>
    <row r="458" spans="1:12" ht="12.75" hidden="1" customHeight="1" x14ac:dyDescent="0.25">
      <c r="A458" s="93">
        <v>5377</v>
      </c>
      <c r="B458" s="131">
        <v>541000</v>
      </c>
      <c r="C458" s="82" t="s">
        <v>406</v>
      </c>
      <c r="D458" s="100">
        <f>D459</f>
        <v>0</v>
      </c>
      <c r="E458" s="100">
        <f t="shared" si="127"/>
        <v>0</v>
      </c>
      <c r="F458" s="100">
        <f t="shared" ref="F458:K458" si="134">F459</f>
        <v>0</v>
      </c>
      <c r="G458" s="100">
        <f t="shared" si="134"/>
        <v>0</v>
      </c>
      <c r="H458" s="100">
        <f t="shared" si="134"/>
        <v>0</v>
      </c>
      <c r="I458" s="100">
        <f t="shared" si="134"/>
        <v>0</v>
      </c>
      <c r="J458" s="100">
        <f t="shared" si="134"/>
        <v>0</v>
      </c>
      <c r="K458" s="101">
        <f t="shared" si="134"/>
        <v>0</v>
      </c>
      <c r="L458" s="137" t="e">
        <f t="shared" si="118"/>
        <v>#DIV/0!</v>
      </c>
    </row>
    <row r="459" spans="1:12" ht="12.75" hidden="1" customHeight="1" x14ac:dyDescent="0.25">
      <c r="A459" s="94">
        <v>5378</v>
      </c>
      <c r="B459" s="136">
        <v>541100</v>
      </c>
      <c r="C459" s="84" t="s">
        <v>407</v>
      </c>
      <c r="D459" s="108"/>
      <c r="E459" s="109">
        <f t="shared" si="127"/>
        <v>0</v>
      </c>
      <c r="F459" s="108"/>
      <c r="G459" s="108"/>
      <c r="H459" s="108"/>
      <c r="I459" s="108"/>
      <c r="J459" s="108"/>
      <c r="K459" s="110"/>
      <c r="L459" s="137" t="e">
        <f t="shared" si="118"/>
        <v>#DIV/0!</v>
      </c>
    </row>
    <row r="460" spans="1:12" ht="12.75" hidden="1" customHeight="1" x14ac:dyDescent="0.25">
      <c r="A460" s="93">
        <v>5379</v>
      </c>
      <c r="B460" s="131">
        <v>542000</v>
      </c>
      <c r="C460" s="82" t="s">
        <v>408</v>
      </c>
      <c r="D460" s="100">
        <f>D461</f>
        <v>0</v>
      </c>
      <c r="E460" s="100">
        <f t="shared" si="127"/>
        <v>0</v>
      </c>
      <c r="F460" s="100">
        <f t="shared" ref="F460:K460" si="135">F461</f>
        <v>0</v>
      </c>
      <c r="G460" s="100">
        <f t="shared" si="135"/>
        <v>0</v>
      </c>
      <c r="H460" s="100">
        <f t="shared" si="135"/>
        <v>0</v>
      </c>
      <c r="I460" s="100">
        <f t="shared" si="135"/>
        <v>0</v>
      </c>
      <c r="J460" s="100">
        <f t="shared" si="135"/>
        <v>0</v>
      </c>
      <c r="K460" s="101">
        <f t="shared" si="135"/>
        <v>0</v>
      </c>
      <c r="L460" s="137" t="e">
        <f t="shared" si="118"/>
        <v>#DIV/0!</v>
      </c>
    </row>
    <row r="461" spans="1:12" ht="12.75" hidden="1" customHeight="1" x14ac:dyDescent="0.25">
      <c r="A461" s="94">
        <v>5380</v>
      </c>
      <c r="B461" s="136">
        <v>542100</v>
      </c>
      <c r="C461" s="84" t="s">
        <v>409</v>
      </c>
      <c r="D461" s="108"/>
      <c r="E461" s="109">
        <f t="shared" si="127"/>
        <v>0</v>
      </c>
      <c r="F461" s="108"/>
      <c r="G461" s="108"/>
      <c r="H461" s="108"/>
      <c r="I461" s="108"/>
      <c r="J461" s="108"/>
      <c r="K461" s="110"/>
      <c r="L461" s="137" t="e">
        <f t="shared" si="118"/>
        <v>#DIV/0!</v>
      </c>
    </row>
    <row r="462" spans="1:12" ht="12.75" hidden="1" customHeight="1" x14ac:dyDescent="0.25">
      <c r="A462" s="93">
        <v>5381</v>
      </c>
      <c r="B462" s="131">
        <v>543000</v>
      </c>
      <c r="C462" s="82" t="s">
        <v>410</v>
      </c>
      <c r="D462" s="100">
        <f>D463+D464</f>
        <v>0</v>
      </c>
      <c r="E462" s="100">
        <f t="shared" si="127"/>
        <v>0</v>
      </c>
      <c r="F462" s="100">
        <f t="shared" ref="F462:K462" si="136">F463+F464</f>
        <v>0</v>
      </c>
      <c r="G462" s="100">
        <f t="shared" si="136"/>
        <v>0</v>
      </c>
      <c r="H462" s="100">
        <f t="shared" si="136"/>
        <v>0</v>
      </c>
      <c r="I462" s="100">
        <f t="shared" si="136"/>
        <v>0</v>
      </c>
      <c r="J462" s="100">
        <f t="shared" si="136"/>
        <v>0</v>
      </c>
      <c r="K462" s="101">
        <f t="shared" si="136"/>
        <v>0</v>
      </c>
      <c r="L462" s="137" t="e">
        <f t="shared" si="118"/>
        <v>#DIV/0!</v>
      </c>
    </row>
    <row r="463" spans="1:12" ht="12.75" hidden="1" customHeight="1" x14ac:dyDescent="0.25">
      <c r="A463" s="94">
        <v>5382</v>
      </c>
      <c r="B463" s="136">
        <v>543100</v>
      </c>
      <c r="C463" s="84" t="s">
        <v>411</v>
      </c>
      <c r="D463" s="108"/>
      <c r="E463" s="109">
        <f t="shared" si="127"/>
        <v>0</v>
      </c>
      <c r="F463" s="108"/>
      <c r="G463" s="108"/>
      <c r="H463" s="108"/>
      <c r="I463" s="108"/>
      <c r="J463" s="108"/>
      <c r="K463" s="110"/>
      <c r="L463" s="137" t="e">
        <f t="shared" si="118"/>
        <v>#DIV/0!</v>
      </c>
    </row>
    <row r="464" spans="1:12" ht="12.75" hidden="1" customHeight="1" x14ac:dyDescent="0.25">
      <c r="A464" s="94">
        <v>5383</v>
      </c>
      <c r="B464" s="136">
        <v>543200</v>
      </c>
      <c r="C464" s="84" t="s">
        <v>412</v>
      </c>
      <c r="D464" s="108"/>
      <c r="E464" s="109">
        <f t="shared" si="127"/>
        <v>0</v>
      </c>
      <c r="F464" s="108"/>
      <c r="G464" s="108"/>
      <c r="H464" s="108"/>
      <c r="I464" s="108"/>
      <c r="J464" s="108"/>
      <c r="K464" s="110"/>
      <c r="L464" s="137" t="e">
        <f t="shared" si="118"/>
        <v>#DIV/0!</v>
      </c>
    </row>
    <row r="465" spans="1:12" ht="12.75" hidden="1" customHeight="1" x14ac:dyDescent="0.25">
      <c r="A465" s="93">
        <v>5384</v>
      </c>
      <c r="B465" s="131">
        <v>550000</v>
      </c>
      <c r="C465" s="82" t="s">
        <v>413</v>
      </c>
      <c r="D465" s="100">
        <f>D466</f>
        <v>0</v>
      </c>
      <c r="E465" s="100">
        <f t="shared" si="127"/>
        <v>0</v>
      </c>
      <c r="F465" s="100">
        <f t="shared" ref="F465:K466" si="137">F466</f>
        <v>0</v>
      </c>
      <c r="G465" s="100">
        <f t="shared" si="137"/>
        <v>0</v>
      </c>
      <c r="H465" s="100">
        <f t="shared" si="137"/>
        <v>0</v>
      </c>
      <c r="I465" s="100">
        <f t="shared" si="137"/>
        <v>0</v>
      </c>
      <c r="J465" s="100">
        <f t="shared" si="137"/>
        <v>0</v>
      </c>
      <c r="K465" s="101">
        <f t="shared" si="137"/>
        <v>0</v>
      </c>
      <c r="L465" s="137" t="e">
        <f t="shared" si="118"/>
        <v>#DIV/0!</v>
      </c>
    </row>
    <row r="466" spans="1:12" ht="12.75" hidden="1" customHeight="1" x14ac:dyDescent="0.25">
      <c r="A466" s="93">
        <v>5385</v>
      </c>
      <c r="B466" s="131">
        <v>551000</v>
      </c>
      <c r="C466" s="82" t="s">
        <v>414</v>
      </c>
      <c r="D466" s="100">
        <f>D467</f>
        <v>0</v>
      </c>
      <c r="E466" s="100">
        <f t="shared" si="127"/>
        <v>0</v>
      </c>
      <c r="F466" s="100">
        <f t="shared" si="137"/>
        <v>0</v>
      </c>
      <c r="G466" s="100">
        <f t="shared" si="137"/>
        <v>0</v>
      </c>
      <c r="H466" s="100">
        <f t="shared" si="137"/>
        <v>0</v>
      </c>
      <c r="I466" s="100">
        <f t="shared" si="137"/>
        <v>0</v>
      </c>
      <c r="J466" s="100">
        <f t="shared" si="137"/>
        <v>0</v>
      </c>
      <c r="K466" s="101">
        <f t="shared" si="137"/>
        <v>0</v>
      </c>
      <c r="L466" s="137" t="e">
        <f t="shared" si="118"/>
        <v>#DIV/0!</v>
      </c>
    </row>
    <row r="467" spans="1:12" ht="12.75" hidden="1" customHeight="1" x14ac:dyDescent="0.25">
      <c r="A467" s="94">
        <v>5386</v>
      </c>
      <c r="B467" s="136">
        <v>551100</v>
      </c>
      <c r="C467" s="84" t="s">
        <v>415</v>
      </c>
      <c r="D467" s="108"/>
      <c r="E467" s="109">
        <f t="shared" si="127"/>
        <v>0</v>
      </c>
      <c r="F467" s="108"/>
      <c r="G467" s="108"/>
      <c r="H467" s="108"/>
      <c r="I467" s="108"/>
      <c r="J467" s="108"/>
      <c r="K467" s="110"/>
      <c r="L467" s="137" t="e">
        <f t="shared" si="118"/>
        <v>#DIV/0!</v>
      </c>
    </row>
    <row r="468" spans="1:12" ht="12.75" hidden="1" customHeight="1" x14ac:dyDescent="0.25">
      <c r="A468" s="93">
        <v>5387</v>
      </c>
      <c r="B468" s="131">
        <v>600000</v>
      </c>
      <c r="C468" s="82" t="s">
        <v>416</v>
      </c>
      <c r="D468" s="100">
        <f>D469+D498</f>
        <v>0</v>
      </c>
      <c r="E468" s="100">
        <f t="shared" si="127"/>
        <v>0</v>
      </c>
      <c r="F468" s="100">
        <f t="shared" ref="F468:K468" si="138">F469+F498</f>
        <v>0</v>
      </c>
      <c r="G468" s="100">
        <f t="shared" si="138"/>
        <v>0</v>
      </c>
      <c r="H468" s="100">
        <f t="shared" si="138"/>
        <v>0</v>
      </c>
      <c r="I468" s="100">
        <f t="shared" si="138"/>
        <v>0</v>
      </c>
      <c r="J468" s="100">
        <f t="shared" si="138"/>
        <v>0</v>
      </c>
      <c r="K468" s="101">
        <f t="shared" si="138"/>
        <v>0</v>
      </c>
      <c r="L468" s="137" t="e">
        <f t="shared" si="118"/>
        <v>#DIV/0!</v>
      </c>
    </row>
    <row r="469" spans="1:12" ht="12.75" hidden="1" customHeight="1" x14ac:dyDescent="0.25">
      <c r="A469" s="93">
        <v>5388</v>
      </c>
      <c r="B469" s="131">
        <v>610000</v>
      </c>
      <c r="C469" s="82" t="s">
        <v>417</v>
      </c>
      <c r="D469" s="100">
        <f>D470+D484+D492+D494+D496</f>
        <v>0</v>
      </c>
      <c r="E469" s="100">
        <f t="shared" si="127"/>
        <v>0</v>
      </c>
      <c r="F469" s="100">
        <f t="shared" ref="F469:K469" si="139">F470+F484+F492+F494+F496</f>
        <v>0</v>
      </c>
      <c r="G469" s="100">
        <f t="shared" si="139"/>
        <v>0</v>
      </c>
      <c r="H469" s="100">
        <f t="shared" si="139"/>
        <v>0</v>
      </c>
      <c r="I469" s="100">
        <f t="shared" si="139"/>
        <v>0</v>
      </c>
      <c r="J469" s="100">
        <f t="shared" si="139"/>
        <v>0</v>
      </c>
      <c r="K469" s="101">
        <f t="shared" si="139"/>
        <v>0</v>
      </c>
      <c r="L469" s="137" t="e">
        <f t="shared" si="118"/>
        <v>#DIV/0!</v>
      </c>
    </row>
    <row r="470" spans="1:12" ht="12.75" hidden="1" customHeight="1" x14ac:dyDescent="0.25">
      <c r="A470" s="93">
        <v>5389</v>
      </c>
      <c r="B470" s="131">
        <v>611000</v>
      </c>
      <c r="C470" s="82" t="s">
        <v>418</v>
      </c>
      <c r="D470" s="100">
        <f>SUM(D471:D483)</f>
        <v>0</v>
      </c>
      <c r="E470" s="100">
        <f t="shared" si="127"/>
        <v>0</v>
      </c>
      <c r="F470" s="100">
        <f t="shared" ref="F470:K470" si="140">SUM(F471:F483)</f>
        <v>0</v>
      </c>
      <c r="G470" s="100">
        <f t="shared" si="140"/>
        <v>0</v>
      </c>
      <c r="H470" s="100">
        <f t="shared" si="140"/>
        <v>0</v>
      </c>
      <c r="I470" s="100">
        <f t="shared" si="140"/>
        <v>0</v>
      </c>
      <c r="J470" s="100">
        <f t="shared" si="140"/>
        <v>0</v>
      </c>
      <c r="K470" s="101">
        <f t="shared" si="140"/>
        <v>0</v>
      </c>
      <c r="L470" s="137" t="e">
        <f t="shared" si="118"/>
        <v>#DIV/0!</v>
      </c>
    </row>
    <row r="471" spans="1:12" ht="12.75" hidden="1" customHeight="1" x14ac:dyDescent="0.25">
      <c r="A471" s="94">
        <v>5390</v>
      </c>
      <c r="B471" s="136">
        <v>611100</v>
      </c>
      <c r="C471" s="84" t="s">
        <v>419</v>
      </c>
      <c r="D471" s="108"/>
      <c r="E471" s="109">
        <f t="shared" si="127"/>
        <v>0</v>
      </c>
      <c r="F471" s="108"/>
      <c r="G471" s="108"/>
      <c r="H471" s="108"/>
      <c r="I471" s="108"/>
      <c r="J471" s="108"/>
      <c r="K471" s="110"/>
      <c r="L471" s="137" t="e">
        <f t="shared" si="118"/>
        <v>#DIV/0!</v>
      </c>
    </row>
    <row r="472" spans="1:12" ht="12.75" hidden="1" customHeight="1" x14ac:dyDescent="0.25">
      <c r="A472" s="94">
        <v>5391</v>
      </c>
      <c r="B472" s="136">
        <v>611200</v>
      </c>
      <c r="C472" s="84" t="s">
        <v>420</v>
      </c>
      <c r="D472" s="108"/>
      <c r="E472" s="109">
        <f t="shared" si="127"/>
        <v>0</v>
      </c>
      <c r="F472" s="108"/>
      <c r="G472" s="108"/>
      <c r="H472" s="108"/>
      <c r="I472" s="108"/>
      <c r="J472" s="108"/>
      <c r="K472" s="110"/>
      <c r="L472" s="137" t="e">
        <f t="shared" si="118"/>
        <v>#DIV/0!</v>
      </c>
    </row>
    <row r="473" spans="1:12" ht="12.75" hidden="1" customHeight="1" x14ac:dyDescent="0.25">
      <c r="A473" s="94">
        <v>5392</v>
      </c>
      <c r="B473" s="136">
        <v>611300</v>
      </c>
      <c r="C473" s="84" t="s">
        <v>421</v>
      </c>
      <c r="D473" s="108"/>
      <c r="E473" s="109">
        <f t="shared" si="127"/>
        <v>0</v>
      </c>
      <c r="F473" s="108"/>
      <c r="G473" s="108"/>
      <c r="H473" s="108"/>
      <c r="I473" s="108"/>
      <c r="J473" s="108"/>
      <c r="K473" s="110"/>
      <c r="L473" s="137" t="e">
        <f t="shared" si="118"/>
        <v>#DIV/0!</v>
      </c>
    </row>
    <row r="474" spans="1:12" ht="12.75" hidden="1" customHeight="1" x14ac:dyDescent="0.25">
      <c r="A474" s="583" t="s">
        <v>0</v>
      </c>
      <c r="B474" s="584" t="s">
        <v>1</v>
      </c>
      <c r="C474" s="585" t="s">
        <v>2</v>
      </c>
      <c r="D474" s="585" t="s">
        <v>217</v>
      </c>
      <c r="E474" s="575" t="s">
        <v>198</v>
      </c>
      <c r="F474" s="589"/>
      <c r="G474" s="589"/>
      <c r="H474" s="589"/>
      <c r="I474" s="589"/>
      <c r="J474" s="589"/>
      <c r="K474" s="592"/>
      <c r="L474" s="137" t="e">
        <f t="shared" si="118"/>
        <v>#VALUE!</v>
      </c>
    </row>
    <row r="475" spans="1:12" ht="12.75" hidden="1" customHeight="1" x14ac:dyDescent="0.25">
      <c r="A475" s="583"/>
      <c r="B475" s="584"/>
      <c r="C475" s="585"/>
      <c r="D475" s="585"/>
      <c r="E475" s="575" t="s">
        <v>199</v>
      </c>
      <c r="F475" s="575" t="s">
        <v>200</v>
      </c>
      <c r="G475" s="589"/>
      <c r="H475" s="589"/>
      <c r="I475" s="589"/>
      <c r="J475" s="575" t="s">
        <v>7</v>
      </c>
      <c r="K475" s="582" t="s">
        <v>8</v>
      </c>
      <c r="L475" s="137" t="e">
        <f t="shared" si="118"/>
        <v>#VALUE!</v>
      </c>
    </row>
    <row r="476" spans="1:12" ht="12.75" hidden="1" customHeight="1" x14ac:dyDescent="0.25">
      <c r="A476" s="583"/>
      <c r="B476" s="584"/>
      <c r="C476" s="585"/>
      <c r="D476" s="585"/>
      <c r="E476" s="589"/>
      <c r="F476" s="131" t="s">
        <v>201</v>
      </c>
      <c r="G476" s="131" t="s">
        <v>10</v>
      </c>
      <c r="H476" s="131" t="s">
        <v>11</v>
      </c>
      <c r="I476" s="131" t="s">
        <v>12</v>
      </c>
      <c r="J476" s="589"/>
      <c r="K476" s="592"/>
      <c r="L476" s="137" t="e">
        <f t="shared" si="118"/>
        <v>#DIV/0!</v>
      </c>
    </row>
    <row r="477" spans="1:12" ht="12.75" hidden="1" customHeight="1" x14ac:dyDescent="0.25">
      <c r="A477" s="95" t="s">
        <v>18</v>
      </c>
      <c r="B477" s="133" t="s">
        <v>19</v>
      </c>
      <c r="C477" s="133" t="s">
        <v>20</v>
      </c>
      <c r="D477" s="133" t="s">
        <v>21</v>
      </c>
      <c r="E477" s="133" t="s">
        <v>22</v>
      </c>
      <c r="F477" s="133" t="s">
        <v>23</v>
      </c>
      <c r="G477" s="133" t="s">
        <v>24</v>
      </c>
      <c r="H477" s="133" t="s">
        <v>25</v>
      </c>
      <c r="I477" s="133" t="s">
        <v>26</v>
      </c>
      <c r="J477" s="133" t="s">
        <v>27</v>
      </c>
      <c r="K477" s="99" t="s">
        <v>28</v>
      </c>
      <c r="L477" s="137">
        <f t="shared" ref="L477:L524" si="141">E477/D477</f>
        <v>1.25</v>
      </c>
    </row>
    <row r="478" spans="1:12" ht="12.75" hidden="1" customHeight="1" x14ac:dyDescent="0.25">
      <c r="A478" s="94">
        <v>5393</v>
      </c>
      <c r="B478" s="136">
        <v>611400</v>
      </c>
      <c r="C478" s="84" t="s">
        <v>422</v>
      </c>
      <c r="D478" s="108"/>
      <c r="E478" s="109">
        <f t="shared" si="127"/>
        <v>0</v>
      </c>
      <c r="F478" s="108"/>
      <c r="G478" s="108"/>
      <c r="H478" s="108"/>
      <c r="I478" s="108"/>
      <c r="J478" s="108"/>
      <c r="K478" s="110"/>
      <c r="L478" s="137" t="e">
        <f t="shared" si="141"/>
        <v>#DIV/0!</v>
      </c>
    </row>
    <row r="479" spans="1:12" ht="12.75" hidden="1" customHeight="1" x14ac:dyDescent="0.25">
      <c r="A479" s="94">
        <v>5394</v>
      </c>
      <c r="B479" s="136">
        <v>611500</v>
      </c>
      <c r="C479" s="84" t="s">
        <v>423</v>
      </c>
      <c r="D479" s="108"/>
      <c r="E479" s="109">
        <f t="shared" si="127"/>
        <v>0</v>
      </c>
      <c r="F479" s="108"/>
      <c r="G479" s="108"/>
      <c r="H479" s="108"/>
      <c r="I479" s="108"/>
      <c r="J479" s="108"/>
      <c r="K479" s="110"/>
      <c r="L479" s="137" t="e">
        <f t="shared" si="141"/>
        <v>#DIV/0!</v>
      </c>
    </row>
    <row r="480" spans="1:12" ht="12.75" hidden="1" customHeight="1" x14ac:dyDescent="0.25">
      <c r="A480" s="94">
        <v>5395</v>
      </c>
      <c r="B480" s="136">
        <v>611600</v>
      </c>
      <c r="C480" s="84" t="s">
        <v>424</v>
      </c>
      <c r="D480" s="108"/>
      <c r="E480" s="109">
        <f t="shared" si="127"/>
        <v>0</v>
      </c>
      <c r="F480" s="108"/>
      <c r="G480" s="108"/>
      <c r="H480" s="108"/>
      <c r="I480" s="108"/>
      <c r="J480" s="108"/>
      <c r="K480" s="110"/>
      <c r="L480" s="137" t="e">
        <f t="shared" si="141"/>
        <v>#DIV/0!</v>
      </c>
    </row>
    <row r="481" spans="1:12" ht="12.75" hidden="1" customHeight="1" x14ac:dyDescent="0.25">
      <c r="A481" s="94">
        <v>5396</v>
      </c>
      <c r="B481" s="136">
        <v>611700</v>
      </c>
      <c r="C481" s="84" t="s">
        <v>425</v>
      </c>
      <c r="D481" s="108"/>
      <c r="E481" s="109">
        <f t="shared" si="127"/>
        <v>0</v>
      </c>
      <c r="F481" s="108"/>
      <c r="G481" s="108"/>
      <c r="H481" s="108"/>
      <c r="I481" s="108"/>
      <c r="J481" s="108"/>
      <c r="K481" s="110"/>
      <c r="L481" s="137" t="e">
        <f t="shared" si="141"/>
        <v>#DIV/0!</v>
      </c>
    </row>
    <row r="482" spans="1:12" ht="12.75" hidden="1" customHeight="1" x14ac:dyDescent="0.25">
      <c r="A482" s="94">
        <v>5397</v>
      </c>
      <c r="B482" s="136">
        <v>611800</v>
      </c>
      <c r="C482" s="84" t="s">
        <v>426</v>
      </c>
      <c r="D482" s="108"/>
      <c r="E482" s="109">
        <f t="shared" si="127"/>
        <v>0</v>
      </c>
      <c r="F482" s="108"/>
      <c r="G482" s="108"/>
      <c r="H482" s="108"/>
      <c r="I482" s="108"/>
      <c r="J482" s="108"/>
      <c r="K482" s="110"/>
      <c r="L482" s="137" t="e">
        <f t="shared" si="141"/>
        <v>#DIV/0!</v>
      </c>
    </row>
    <row r="483" spans="1:12" ht="12.75" hidden="1" customHeight="1" x14ac:dyDescent="0.25">
      <c r="A483" s="94">
        <v>5398</v>
      </c>
      <c r="B483" s="136">
        <v>611900</v>
      </c>
      <c r="C483" s="84" t="s">
        <v>165</v>
      </c>
      <c r="D483" s="108"/>
      <c r="E483" s="109">
        <f t="shared" si="127"/>
        <v>0</v>
      </c>
      <c r="F483" s="108"/>
      <c r="G483" s="108"/>
      <c r="H483" s="108"/>
      <c r="I483" s="108"/>
      <c r="J483" s="108"/>
      <c r="K483" s="110"/>
      <c r="L483" s="137" t="e">
        <f t="shared" si="141"/>
        <v>#DIV/0!</v>
      </c>
    </row>
    <row r="484" spans="1:12" ht="12.75" hidden="1" customHeight="1" x14ac:dyDescent="0.25">
      <c r="A484" s="93">
        <v>5399</v>
      </c>
      <c r="B484" s="131">
        <v>612000</v>
      </c>
      <c r="C484" s="82" t="s">
        <v>427</v>
      </c>
      <c r="D484" s="100">
        <f>SUM(D485:D491)</f>
        <v>0</v>
      </c>
      <c r="E484" s="100">
        <f t="shared" si="127"/>
        <v>0</v>
      </c>
      <c r="F484" s="100">
        <f t="shared" ref="F484:K484" si="142">SUM(F485:F491)</f>
        <v>0</v>
      </c>
      <c r="G484" s="100">
        <f t="shared" si="142"/>
        <v>0</v>
      </c>
      <c r="H484" s="100">
        <f t="shared" si="142"/>
        <v>0</v>
      </c>
      <c r="I484" s="100">
        <f t="shared" si="142"/>
        <v>0</v>
      </c>
      <c r="J484" s="100">
        <f t="shared" si="142"/>
        <v>0</v>
      </c>
      <c r="K484" s="101">
        <f t="shared" si="142"/>
        <v>0</v>
      </c>
      <c r="L484" s="137" t="e">
        <f t="shared" si="141"/>
        <v>#DIV/0!</v>
      </c>
    </row>
    <row r="485" spans="1:12" ht="12.75" hidden="1" customHeight="1" x14ac:dyDescent="0.25">
      <c r="A485" s="94">
        <v>5400</v>
      </c>
      <c r="B485" s="136">
        <v>612100</v>
      </c>
      <c r="C485" s="84" t="s">
        <v>428</v>
      </c>
      <c r="D485" s="108"/>
      <c r="E485" s="109">
        <f t="shared" si="127"/>
        <v>0</v>
      </c>
      <c r="F485" s="108"/>
      <c r="G485" s="108"/>
      <c r="H485" s="108"/>
      <c r="I485" s="108"/>
      <c r="J485" s="108"/>
      <c r="K485" s="110"/>
      <c r="L485" s="137" t="e">
        <f t="shared" si="141"/>
        <v>#DIV/0!</v>
      </c>
    </row>
    <row r="486" spans="1:12" ht="12.75" hidden="1" customHeight="1" x14ac:dyDescent="0.25">
      <c r="A486" s="94">
        <v>5401</v>
      </c>
      <c r="B486" s="136">
        <v>612200</v>
      </c>
      <c r="C486" s="84" t="s">
        <v>429</v>
      </c>
      <c r="D486" s="108"/>
      <c r="E486" s="109">
        <f t="shared" si="127"/>
        <v>0</v>
      </c>
      <c r="F486" s="108"/>
      <c r="G486" s="108"/>
      <c r="H486" s="108"/>
      <c r="I486" s="108"/>
      <c r="J486" s="108"/>
      <c r="K486" s="110"/>
      <c r="L486" s="137" t="e">
        <f t="shared" si="141"/>
        <v>#DIV/0!</v>
      </c>
    </row>
    <row r="487" spans="1:12" ht="12.75" hidden="1" customHeight="1" x14ac:dyDescent="0.25">
      <c r="A487" s="94">
        <v>5402</v>
      </c>
      <c r="B487" s="136">
        <v>612300</v>
      </c>
      <c r="C487" s="84" t="s">
        <v>430</v>
      </c>
      <c r="D487" s="108"/>
      <c r="E487" s="109">
        <f t="shared" si="127"/>
        <v>0</v>
      </c>
      <c r="F487" s="108"/>
      <c r="G487" s="108"/>
      <c r="H487" s="108"/>
      <c r="I487" s="108"/>
      <c r="J487" s="108"/>
      <c r="K487" s="110"/>
      <c r="L487" s="137" t="e">
        <f t="shared" si="141"/>
        <v>#DIV/0!</v>
      </c>
    </row>
    <row r="488" spans="1:12" ht="12.75" hidden="1" customHeight="1" x14ac:dyDescent="0.25">
      <c r="A488" s="94">
        <v>5403</v>
      </c>
      <c r="B488" s="136">
        <v>612400</v>
      </c>
      <c r="C488" s="84" t="s">
        <v>431</v>
      </c>
      <c r="D488" s="108"/>
      <c r="E488" s="109">
        <f t="shared" si="127"/>
        <v>0</v>
      </c>
      <c r="F488" s="108"/>
      <c r="G488" s="108"/>
      <c r="H488" s="108"/>
      <c r="I488" s="108"/>
      <c r="J488" s="108"/>
      <c r="K488" s="110"/>
      <c r="L488" s="137" t="e">
        <f t="shared" si="141"/>
        <v>#DIV/0!</v>
      </c>
    </row>
    <row r="489" spans="1:12" ht="12.75" hidden="1" customHeight="1" x14ac:dyDescent="0.25">
      <c r="A489" s="94">
        <v>5404</v>
      </c>
      <c r="B489" s="136">
        <v>612500</v>
      </c>
      <c r="C489" s="84" t="s">
        <v>432</v>
      </c>
      <c r="D489" s="108"/>
      <c r="E489" s="109">
        <f t="shared" si="127"/>
        <v>0</v>
      </c>
      <c r="F489" s="108"/>
      <c r="G489" s="108"/>
      <c r="H489" s="108"/>
      <c r="I489" s="108"/>
      <c r="J489" s="108"/>
      <c r="K489" s="110"/>
      <c r="L489" s="137" t="e">
        <f t="shared" si="141"/>
        <v>#DIV/0!</v>
      </c>
    </row>
    <row r="490" spans="1:12" ht="12.75" hidden="1" customHeight="1" x14ac:dyDescent="0.25">
      <c r="A490" s="94">
        <v>5405</v>
      </c>
      <c r="B490" s="136">
        <v>612600</v>
      </c>
      <c r="C490" s="84" t="s">
        <v>433</v>
      </c>
      <c r="D490" s="108"/>
      <c r="E490" s="109">
        <f t="shared" si="127"/>
        <v>0</v>
      </c>
      <c r="F490" s="108"/>
      <c r="G490" s="108"/>
      <c r="H490" s="108"/>
      <c r="I490" s="108"/>
      <c r="J490" s="108"/>
      <c r="K490" s="110"/>
      <c r="L490" s="137" t="e">
        <f t="shared" si="141"/>
        <v>#DIV/0!</v>
      </c>
    </row>
    <row r="491" spans="1:12" ht="12.75" hidden="1" customHeight="1" x14ac:dyDescent="0.25">
      <c r="A491" s="94">
        <v>5406</v>
      </c>
      <c r="B491" s="136">
        <v>612900</v>
      </c>
      <c r="C491" s="84" t="s">
        <v>173</v>
      </c>
      <c r="D491" s="108"/>
      <c r="E491" s="109">
        <f t="shared" si="127"/>
        <v>0</v>
      </c>
      <c r="F491" s="108"/>
      <c r="G491" s="108"/>
      <c r="H491" s="108"/>
      <c r="I491" s="108"/>
      <c r="J491" s="108"/>
      <c r="K491" s="110"/>
      <c r="L491" s="137" t="e">
        <f t="shared" si="141"/>
        <v>#DIV/0!</v>
      </c>
    </row>
    <row r="492" spans="1:12" ht="12.75" hidden="1" customHeight="1" x14ac:dyDescent="0.25">
      <c r="A492" s="93">
        <v>5407</v>
      </c>
      <c r="B492" s="131">
        <v>613000</v>
      </c>
      <c r="C492" s="82" t="s">
        <v>434</v>
      </c>
      <c r="D492" s="100">
        <f>D493</f>
        <v>0</v>
      </c>
      <c r="E492" s="100">
        <f t="shared" si="127"/>
        <v>0</v>
      </c>
      <c r="F492" s="100">
        <f t="shared" ref="F492:K492" si="143">F493</f>
        <v>0</v>
      </c>
      <c r="G492" s="100">
        <f t="shared" si="143"/>
        <v>0</v>
      </c>
      <c r="H492" s="100">
        <f t="shared" si="143"/>
        <v>0</v>
      </c>
      <c r="I492" s="100">
        <f t="shared" si="143"/>
        <v>0</v>
      </c>
      <c r="J492" s="100">
        <f t="shared" si="143"/>
        <v>0</v>
      </c>
      <c r="K492" s="101">
        <f t="shared" si="143"/>
        <v>0</v>
      </c>
      <c r="L492" s="137" t="e">
        <f t="shared" si="141"/>
        <v>#DIV/0!</v>
      </c>
    </row>
    <row r="493" spans="1:12" ht="12.75" hidden="1" customHeight="1" x14ac:dyDescent="0.25">
      <c r="A493" s="94">
        <v>5408</v>
      </c>
      <c r="B493" s="136">
        <v>613100</v>
      </c>
      <c r="C493" s="84" t="s">
        <v>435</v>
      </c>
      <c r="D493" s="108"/>
      <c r="E493" s="109">
        <f t="shared" si="127"/>
        <v>0</v>
      </c>
      <c r="F493" s="108"/>
      <c r="G493" s="108"/>
      <c r="H493" s="108"/>
      <c r="I493" s="108"/>
      <c r="J493" s="108"/>
      <c r="K493" s="110"/>
      <c r="L493" s="137" t="e">
        <f t="shared" si="141"/>
        <v>#DIV/0!</v>
      </c>
    </row>
    <row r="494" spans="1:12" ht="12.75" hidden="1" customHeight="1" x14ac:dyDescent="0.25">
      <c r="A494" s="93">
        <v>5409</v>
      </c>
      <c r="B494" s="131">
        <v>614000</v>
      </c>
      <c r="C494" s="82" t="s">
        <v>436</v>
      </c>
      <c r="D494" s="100">
        <f>D495</f>
        <v>0</v>
      </c>
      <c r="E494" s="100">
        <f t="shared" si="127"/>
        <v>0</v>
      </c>
      <c r="F494" s="100">
        <f t="shared" ref="F494:K496" si="144">F495</f>
        <v>0</v>
      </c>
      <c r="G494" s="100">
        <f t="shared" si="144"/>
        <v>0</v>
      </c>
      <c r="H494" s="100">
        <f t="shared" si="144"/>
        <v>0</v>
      </c>
      <c r="I494" s="100">
        <f t="shared" si="144"/>
        <v>0</v>
      </c>
      <c r="J494" s="100">
        <f t="shared" si="144"/>
        <v>0</v>
      </c>
      <c r="K494" s="101">
        <f t="shared" si="144"/>
        <v>0</v>
      </c>
      <c r="L494" s="137" t="e">
        <f t="shared" si="141"/>
        <v>#DIV/0!</v>
      </c>
    </row>
    <row r="495" spans="1:12" ht="12.75" hidden="1" customHeight="1" x14ac:dyDescent="0.25">
      <c r="A495" s="94">
        <v>5410</v>
      </c>
      <c r="B495" s="136">
        <v>614100</v>
      </c>
      <c r="C495" s="84" t="s">
        <v>437</v>
      </c>
      <c r="D495" s="108"/>
      <c r="E495" s="109">
        <f t="shared" si="127"/>
        <v>0</v>
      </c>
      <c r="F495" s="108"/>
      <c r="G495" s="108"/>
      <c r="H495" s="108"/>
      <c r="I495" s="108"/>
      <c r="J495" s="108"/>
      <c r="K495" s="110"/>
      <c r="L495" s="137" t="e">
        <f t="shared" si="141"/>
        <v>#DIV/0!</v>
      </c>
    </row>
    <row r="496" spans="1:12" ht="12.75" hidden="1" customHeight="1" x14ac:dyDescent="0.25">
      <c r="A496" s="93">
        <v>5411</v>
      </c>
      <c r="B496" s="131">
        <v>615000</v>
      </c>
      <c r="C496" s="82" t="s">
        <v>438</v>
      </c>
      <c r="D496" s="100">
        <f>D497</f>
        <v>0</v>
      </c>
      <c r="E496" s="100">
        <f t="shared" si="127"/>
        <v>0</v>
      </c>
      <c r="F496" s="100">
        <f t="shared" si="144"/>
        <v>0</v>
      </c>
      <c r="G496" s="100">
        <f t="shared" si="144"/>
        <v>0</v>
      </c>
      <c r="H496" s="100">
        <f t="shared" si="144"/>
        <v>0</v>
      </c>
      <c r="I496" s="100">
        <f t="shared" si="144"/>
        <v>0</v>
      </c>
      <c r="J496" s="100">
        <f t="shared" si="144"/>
        <v>0</v>
      </c>
      <c r="K496" s="101">
        <f t="shared" si="144"/>
        <v>0</v>
      </c>
      <c r="L496" s="137" t="e">
        <f t="shared" si="141"/>
        <v>#DIV/0!</v>
      </c>
    </row>
    <row r="497" spans="1:12" ht="12.75" hidden="1" customHeight="1" x14ac:dyDescent="0.25">
      <c r="A497" s="94">
        <v>5412</v>
      </c>
      <c r="B497" s="136">
        <v>615100</v>
      </c>
      <c r="C497" s="84" t="s">
        <v>439</v>
      </c>
      <c r="D497" s="108"/>
      <c r="E497" s="109">
        <f t="shared" si="127"/>
        <v>0</v>
      </c>
      <c r="F497" s="108"/>
      <c r="G497" s="108"/>
      <c r="H497" s="108"/>
      <c r="I497" s="108"/>
      <c r="J497" s="108"/>
      <c r="K497" s="110"/>
      <c r="L497" s="137" t="e">
        <f t="shared" si="141"/>
        <v>#DIV/0!</v>
      </c>
    </row>
    <row r="498" spans="1:12" ht="12.75" hidden="1" customHeight="1" x14ac:dyDescent="0.25">
      <c r="A498" s="93">
        <v>5413</v>
      </c>
      <c r="B498" s="131">
        <v>620000</v>
      </c>
      <c r="C498" s="82" t="s">
        <v>440</v>
      </c>
      <c r="D498" s="100">
        <f>D499+D513+D522</f>
        <v>0</v>
      </c>
      <c r="E498" s="100">
        <f t="shared" si="127"/>
        <v>0</v>
      </c>
      <c r="F498" s="100">
        <f t="shared" ref="F498:K498" si="145">F499+F513+F522</f>
        <v>0</v>
      </c>
      <c r="G498" s="100">
        <f t="shared" si="145"/>
        <v>0</v>
      </c>
      <c r="H498" s="100">
        <f t="shared" si="145"/>
        <v>0</v>
      </c>
      <c r="I498" s="100">
        <f t="shared" si="145"/>
        <v>0</v>
      </c>
      <c r="J498" s="100">
        <f t="shared" si="145"/>
        <v>0</v>
      </c>
      <c r="K498" s="101">
        <f t="shared" si="145"/>
        <v>0</v>
      </c>
      <c r="L498" s="137" t="e">
        <f t="shared" si="141"/>
        <v>#DIV/0!</v>
      </c>
    </row>
    <row r="499" spans="1:12" ht="12.75" hidden="1" customHeight="1" x14ac:dyDescent="0.25">
      <c r="A499" s="93">
        <v>5414</v>
      </c>
      <c r="B499" s="131">
        <v>621000</v>
      </c>
      <c r="C499" s="82" t="s">
        <v>441</v>
      </c>
      <c r="D499" s="100">
        <f>SUM(D500:D512)</f>
        <v>0</v>
      </c>
      <c r="E499" s="100">
        <f t="shared" si="127"/>
        <v>0</v>
      </c>
      <c r="F499" s="100">
        <f t="shared" ref="F499:K499" si="146">SUM(F500:F512)</f>
        <v>0</v>
      </c>
      <c r="G499" s="100">
        <f t="shared" si="146"/>
        <v>0</v>
      </c>
      <c r="H499" s="100">
        <f t="shared" si="146"/>
        <v>0</v>
      </c>
      <c r="I499" s="100">
        <f t="shared" si="146"/>
        <v>0</v>
      </c>
      <c r="J499" s="100">
        <f t="shared" si="146"/>
        <v>0</v>
      </c>
      <c r="K499" s="101">
        <f t="shared" si="146"/>
        <v>0</v>
      </c>
      <c r="L499" s="137" t="e">
        <f t="shared" si="141"/>
        <v>#DIV/0!</v>
      </c>
    </row>
    <row r="500" spans="1:12" ht="12.75" hidden="1" customHeight="1" x14ac:dyDescent="0.25">
      <c r="A500" s="94">
        <v>5415</v>
      </c>
      <c r="B500" s="136">
        <v>621100</v>
      </c>
      <c r="C500" s="84" t="s">
        <v>442</v>
      </c>
      <c r="D500" s="108"/>
      <c r="E500" s="109">
        <f t="shared" si="127"/>
        <v>0</v>
      </c>
      <c r="F500" s="108"/>
      <c r="G500" s="108"/>
      <c r="H500" s="108"/>
      <c r="I500" s="108"/>
      <c r="J500" s="108"/>
      <c r="K500" s="110"/>
      <c r="L500" s="137" t="e">
        <f t="shared" si="141"/>
        <v>#DIV/0!</v>
      </c>
    </row>
    <row r="501" spans="1:12" ht="12.75" hidden="1" customHeight="1" x14ac:dyDescent="0.25">
      <c r="A501" s="583" t="s">
        <v>0</v>
      </c>
      <c r="B501" s="584" t="s">
        <v>1</v>
      </c>
      <c r="C501" s="585" t="s">
        <v>2</v>
      </c>
      <c r="D501" s="585" t="s">
        <v>217</v>
      </c>
      <c r="E501" s="575" t="s">
        <v>198</v>
      </c>
      <c r="F501" s="589"/>
      <c r="G501" s="589"/>
      <c r="H501" s="589"/>
      <c r="I501" s="589"/>
      <c r="J501" s="589"/>
      <c r="K501" s="592"/>
      <c r="L501" s="137" t="e">
        <f t="shared" si="141"/>
        <v>#VALUE!</v>
      </c>
    </row>
    <row r="502" spans="1:12" ht="12.75" hidden="1" customHeight="1" x14ac:dyDescent="0.25">
      <c r="A502" s="583"/>
      <c r="B502" s="584"/>
      <c r="C502" s="585"/>
      <c r="D502" s="585"/>
      <c r="E502" s="575" t="s">
        <v>199</v>
      </c>
      <c r="F502" s="575" t="s">
        <v>200</v>
      </c>
      <c r="G502" s="589"/>
      <c r="H502" s="589"/>
      <c r="I502" s="589"/>
      <c r="J502" s="575" t="s">
        <v>7</v>
      </c>
      <c r="K502" s="582" t="s">
        <v>8</v>
      </c>
      <c r="L502" s="137" t="e">
        <f t="shared" si="141"/>
        <v>#VALUE!</v>
      </c>
    </row>
    <row r="503" spans="1:12" ht="12.75" hidden="1" customHeight="1" x14ac:dyDescent="0.25">
      <c r="A503" s="583"/>
      <c r="B503" s="584"/>
      <c r="C503" s="585"/>
      <c r="D503" s="585"/>
      <c r="E503" s="589"/>
      <c r="F503" s="131" t="s">
        <v>201</v>
      </c>
      <c r="G503" s="131" t="s">
        <v>10</v>
      </c>
      <c r="H503" s="131" t="s">
        <v>11</v>
      </c>
      <c r="I503" s="131" t="s">
        <v>12</v>
      </c>
      <c r="J503" s="589"/>
      <c r="K503" s="592"/>
      <c r="L503" s="137" t="e">
        <f t="shared" si="141"/>
        <v>#DIV/0!</v>
      </c>
    </row>
    <row r="504" spans="1:12" ht="12.75" hidden="1" customHeight="1" x14ac:dyDescent="0.25">
      <c r="A504" s="95" t="s">
        <v>18</v>
      </c>
      <c r="B504" s="133" t="s">
        <v>19</v>
      </c>
      <c r="C504" s="133" t="s">
        <v>20</v>
      </c>
      <c r="D504" s="133" t="s">
        <v>21</v>
      </c>
      <c r="E504" s="133" t="s">
        <v>22</v>
      </c>
      <c r="F504" s="133" t="s">
        <v>23</v>
      </c>
      <c r="G504" s="133" t="s">
        <v>24</v>
      </c>
      <c r="H504" s="133" t="s">
        <v>25</v>
      </c>
      <c r="I504" s="133" t="s">
        <v>26</v>
      </c>
      <c r="J504" s="133" t="s">
        <v>27</v>
      </c>
      <c r="K504" s="99" t="s">
        <v>28</v>
      </c>
      <c r="L504" s="137">
        <f t="shared" si="141"/>
        <v>1.25</v>
      </c>
    </row>
    <row r="505" spans="1:12" ht="12.75" hidden="1" customHeight="1" x14ac:dyDescent="0.25">
      <c r="A505" s="94">
        <v>5416</v>
      </c>
      <c r="B505" s="136">
        <v>621200</v>
      </c>
      <c r="C505" s="84" t="s">
        <v>443</v>
      </c>
      <c r="D505" s="108"/>
      <c r="E505" s="109">
        <f t="shared" si="127"/>
        <v>0</v>
      </c>
      <c r="F505" s="108"/>
      <c r="G505" s="108"/>
      <c r="H505" s="108"/>
      <c r="I505" s="108"/>
      <c r="J505" s="108"/>
      <c r="K505" s="110"/>
      <c r="L505" s="137" t="e">
        <f t="shared" si="141"/>
        <v>#DIV/0!</v>
      </c>
    </row>
    <row r="506" spans="1:12" ht="12.75" hidden="1" customHeight="1" x14ac:dyDescent="0.25">
      <c r="A506" s="94">
        <v>5417</v>
      </c>
      <c r="B506" s="136">
        <v>621300</v>
      </c>
      <c r="C506" s="84" t="s">
        <v>444</v>
      </c>
      <c r="D506" s="108"/>
      <c r="E506" s="109">
        <f t="shared" si="127"/>
        <v>0</v>
      </c>
      <c r="F506" s="108"/>
      <c r="G506" s="108"/>
      <c r="H506" s="108"/>
      <c r="I506" s="108"/>
      <c r="J506" s="108"/>
      <c r="K506" s="110"/>
      <c r="L506" s="137" t="e">
        <f t="shared" si="141"/>
        <v>#DIV/0!</v>
      </c>
    </row>
    <row r="507" spans="1:12" ht="12.75" hidden="1" customHeight="1" x14ac:dyDescent="0.25">
      <c r="A507" s="94">
        <v>5418</v>
      </c>
      <c r="B507" s="136">
        <v>621400</v>
      </c>
      <c r="C507" s="84" t="s">
        <v>445</v>
      </c>
      <c r="D507" s="108"/>
      <c r="E507" s="109">
        <f t="shared" si="127"/>
        <v>0</v>
      </c>
      <c r="F507" s="108"/>
      <c r="G507" s="108"/>
      <c r="H507" s="108"/>
      <c r="I507" s="108"/>
      <c r="J507" s="108"/>
      <c r="K507" s="110"/>
      <c r="L507" s="137" t="e">
        <f t="shared" si="141"/>
        <v>#DIV/0!</v>
      </c>
    </row>
    <row r="508" spans="1:12" ht="12.75" hidden="1" customHeight="1" x14ac:dyDescent="0.25">
      <c r="A508" s="94">
        <v>5419</v>
      </c>
      <c r="B508" s="136">
        <v>621500</v>
      </c>
      <c r="C508" s="84" t="s">
        <v>446</v>
      </c>
      <c r="D508" s="108"/>
      <c r="E508" s="109">
        <f t="shared" si="127"/>
        <v>0</v>
      </c>
      <c r="F508" s="108"/>
      <c r="G508" s="108"/>
      <c r="H508" s="108"/>
      <c r="I508" s="108"/>
      <c r="J508" s="108"/>
      <c r="K508" s="110"/>
      <c r="L508" s="137" t="e">
        <f t="shared" si="141"/>
        <v>#DIV/0!</v>
      </c>
    </row>
    <row r="509" spans="1:12" ht="12.75" hidden="1" customHeight="1" x14ac:dyDescent="0.25">
      <c r="A509" s="94">
        <v>5420</v>
      </c>
      <c r="B509" s="136">
        <v>621600</v>
      </c>
      <c r="C509" s="84" t="s">
        <v>447</v>
      </c>
      <c r="D509" s="108"/>
      <c r="E509" s="109">
        <f t="shared" si="127"/>
        <v>0</v>
      </c>
      <c r="F509" s="108"/>
      <c r="G509" s="108"/>
      <c r="H509" s="108"/>
      <c r="I509" s="108"/>
      <c r="J509" s="108"/>
      <c r="K509" s="110"/>
      <c r="L509" s="137" t="e">
        <f t="shared" si="141"/>
        <v>#DIV/0!</v>
      </c>
    </row>
    <row r="510" spans="1:12" ht="12.75" hidden="1" customHeight="1" x14ac:dyDescent="0.25">
      <c r="A510" s="94">
        <v>5421</v>
      </c>
      <c r="B510" s="136">
        <v>621700</v>
      </c>
      <c r="C510" s="84" t="s">
        <v>448</v>
      </c>
      <c r="D510" s="108"/>
      <c r="E510" s="109">
        <f t="shared" si="127"/>
        <v>0</v>
      </c>
      <c r="F510" s="108"/>
      <c r="G510" s="108"/>
      <c r="H510" s="108"/>
      <c r="I510" s="108"/>
      <c r="J510" s="108"/>
      <c r="K510" s="110"/>
      <c r="L510" s="137" t="e">
        <f t="shared" si="141"/>
        <v>#DIV/0!</v>
      </c>
    </row>
    <row r="511" spans="1:12" ht="12.75" hidden="1" customHeight="1" x14ac:dyDescent="0.25">
      <c r="A511" s="94">
        <v>5422</v>
      </c>
      <c r="B511" s="136">
        <v>621800</v>
      </c>
      <c r="C511" s="84" t="s">
        <v>449</v>
      </c>
      <c r="D511" s="108"/>
      <c r="E511" s="109">
        <f t="shared" si="127"/>
        <v>0</v>
      </c>
      <c r="F511" s="108"/>
      <c r="G511" s="108"/>
      <c r="H511" s="108"/>
      <c r="I511" s="108"/>
      <c r="J511" s="108"/>
      <c r="K511" s="110"/>
      <c r="L511" s="137" t="e">
        <f t="shared" si="141"/>
        <v>#DIV/0!</v>
      </c>
    </row>
    <row r="512" spans="1:12" ht="12.75" hidden="1" customHeight="1" x14ac:dyDescent="0.25">
      <c r="A512" s="94">
        <v>5423</v>
      </c>
      <c r="B512" s="136">
        <v>621900</v>
      </c>
      <c r="C512" s="84" t="s">
        <v>450</v>
      </c>
      <c r="D512" s="108"/>
      <c r="E512" s="109">
        <f t="shared" si="127"/>
        <v>0</v>
      </c>
      <c r="F512" s="108"/>
      <c r="G512" s="108"/>
      <c r="H512" s="108"/>
      <c r="I512" s="108"/>
      <c r="J512" s="108"/>
      <c r="K512" s="110"/>
      <c r="L512" s="137" t="e">
        <f t="shared" si="141"/>
        <v>#DIV/0!</v>
      </c>
    </row>
    <row r="513" spans="1:12" ht="12.75" hidden="1" customHeight="1" x14ac:dyDescent="0.25">
      <c r="A513" s="93">
        <v>5424</v>
      </c>
      <c r="B513" s="131">
        <v>622000</v>
      </c>
      <c r="C513" s="82" t="s">
        <v>451</v>
      </c>
      <c r="D513" s="100">
        <f>SUM(D514:D521)</f>
        <v>0</v>
      </c>
      <c r="E513" s="100">
        <f t="shared" si="127"/>
        <v>0</v>
      </c>
      <c r="F513" s="100">
        <f t="shared" ref="F513:K513" si="147">SUM(F514:F521)</f>
        <v>0</v>
      </c>
      <c r="G513" s="100">
        <f t="shared" si="147"/>
        <v>0</v>
      </c>
      <c r="H513" s="100">
        <f t="shared" si="147"/>
        <v>0</v>
      </c>
      <c r="I513" s="100">
        <f t="shared" si="147"/>
        <v>0</v>
      </c>
      <c r="J513" s="100">
        <f t="shared" si="147"/>
        <v>0</v>
      </c>
      <c r="K513" s="101">
        <f t="shared" si="147"/>
        <v>0</v>
      </c>
      <c r="L513" s="137" t="e">
        <f t="shared" si="141"/>
        <v>#DIV/0!</v>
      </c>
    </row>
    <row r="514" spans="1:12" ht="12.75" hidden="1" customHeight="1" x14ac:dyDescent="0.25">
      <c r="A514" s="94">
        <v>5425</v>
      </c>
      <c r="B514" s="136">
        <v>622100</v>
      </c>
      <c r="C514" s="84" t="s">
        <v>452</v>
      </c>
      <c r="D514" s="108"/>
      <c r="E514" s="109">
        <f t="shared" si="127"/>
        <v>0</v>
      </c>
      <c r="F514" s="108"/>
      <c r="G514" s="108"/>
      <c r="H514" s="108"/>
      <c r="I514" s="108"/>
      <c r="J514" s="108"/>
      <c r="K514" s="110"/>
      <c r="L514" s="137" t="e">
        <f t="shared" si="141"/>
        <v>#DIV/0!</v>
      </c>
    </row>
    <row r="515" spans="1:12" ht="12.75" hidden="1" customHeight="1" x14ac:dyDescent="0.25">
      <c r="A515" s="94">
        <v>5426</v>
      </c>
      <c r="B515" s="136">
        <v>622200</v>
      </c>
      <c r="C515" s="84" t="s">
        <v>453</v>
      </c>
      <c r="D515" s="108"/>
      <c r="E515" s="109">
        <f t="shared" si="127"/>
        <v>0</v>
      </c>
      <c r="F515" s="108"/>
      <c r="G515" s="108"/>
      <c r="H515" s="108"/>
      <c r="I515" s="108"/>
      <c r="J515" s="108"/>
      <c r="K515" s="110"/>
      <c r="L515" s="137" t="e">
        <f t="shared" si="141"/>
        <v>#DIV/0!</v>
      </c>
    </row>
    <row r="516" spans="1:12" ht="12.75" hidden="1" customHeight="1" x14ac:dyDescent="0.25">
      <c r="A516" s="94">
        <v>5427</v>
      </c>
      <c r="B516" s="136">
        <v>622300</v>
      </c>
      <c r="C516" s="84" t="s">
        <v>454</v>
      </c>
      <c r="D516" s="108"/>
      <c r="E516" s="109">
        <f t="shared" si="127"/>
        <v>0</v>
      </c>
      <c r="F516" s="108"/>
      <c r="G516" s="108"/>
      <c r="H516" s="108"/>
      <c r="I516" s="108"/>
      <c r="J516" s="108"/>
      <c r="K516" s="110"/>
      <c r="L516" s="137" t="e">
        <f t="shared" si="141"/>
        <v>#DIV/0!</v>
      </c>
    </row>
    <row r="517" spans="1:12" ht="12.75" hidden="1" customHeight="1" x14ac:dyDescent="0.25">
      <c r="A517" s="94">
        <v>5428</v>
      </c>
      <c r="B517" s="136">
        <v>622400</v>
      </c>
      <c r="C517" s="84" t="s">
        <v>455</v>
      </c>
      <c r="D517" s="108"/>
      <c r="E517" s="109">
        <f t="shared" si="127"/>
        <v>0</v>
      </c>
      <c r="F517" s="108"/>
      <c r="G517" s="108"/>
      <c r="H517" s="108"/>
      <c r="I517" s="108"/>
      <c r="J517" s="108"/>
      <c r="K517" s="110"/>
      <c r="L517" s="137" t="e">
        <f t="shared" si="141"/>
        <v>#DIV/0!</v>
      </c>
    </row>
    <row r="518" spans="1:12" ht="12.75" hidden="1" customHeight="1" x14ac:dyDescent="0.25">
      <c r="A518" s="94">
        <v>5429</v>
      </c>
      <c r="B518" s="136">
        <v>622500</v>
      </c>
      <c r="C518" s="84" t="s">
        <v>456</v>
      </c>
      <c r="D518" s="108"/>
      <c r="E518" s="109">
        <f t="shared" si="127"/>
        <v>0</v>
      </c>
      <c r="F518" s="108"/>
      <c r="G518" s="108"/>
      <c r="H518" s="108"/>
      <c r="I518" s="108"/>
      <c r="J518" s="108"/>
      <c r="K518" s="110"/>
      <c r="L518" s="137" t="e">
        <f t="shared" si="141"/>
        <v>#DIV/0!</v>
      </c>
    </row>
    <row r="519" spans="1:12" ht="12.75" hidden="1" customHeight="1" x14ac:dyDescent="0.25">
      <c r="A519" s="94">
        <v>5430</v>
      </c>
      <c r="B519" s="136">
        <v>622600</v>
      </c>
      <c r="C519" s="84" t="s">
        <v>457</v>
      </c>
      <c r="D519" s="108"/>
      <c r="E519" s="109">
        <f t="shared" ref="E519:E524" si="148">SUM(F519:K519)</f>
        <v>0</v>
      </c>
      <c r="F519" s="108"/>
      <c r="G519" s="108"/>
      <c r="H519" s="108"/>
      <c r="I519" s="108"/>
      <c r="J519" s="108"/>
      <c r="K519" s="110"/>
      <c r="L519" s="137" t="e">
        <f t="shared" si="141"/>
        <v>#DIV/0!</v>
      </c>
    </row>
    <row r="520" spans="1:12" ht="12.75" hidden="1" customHeight="1" x14ac:dyDescent="0.25">
      <c r="A520" s="94">
        <v>5431</v>
      </c>
      <c r="B520" s="136">
        <v>622700</v>
      </c>
      <c r="C520" s="84" t="s">
        <v>458</v>
      </c>
      <c r="D520" s="108"/>
      <c r="E520" s="109">
        <f t="shared" si="148"/>
        <v>0</v>
      </c>
      <c r="F520" s="108"/>
      <c r="G520" s="108"/>
      <c r="H520" s="108"/>
      <c r="I520" s="108"/>
      <c r="J520" s="108"/>
      <c r="K520" s="110"/>
      <c r="L520" s="137" t="e">
        <f t="shared" si="141"/>
        <v>#DIV/0!</v>
      </c>
    </row>
    <row r="521" spans="1:12" ht="12.75" hidden="1" customHeight="1" x14ac:dyDescent="0.25">
      <c r="A521" s="94">
        <v>5432</v>
      </c>
      <c r="B521" s="136">
        <v>622800</v>
      </c>
      <c r="C521" s="84" t="s">
        <v>459</v>
      </c>
      <c r="D521" s="108"/>
      <c r="E521" s="109">
        <f t="shared" si="148"/>
        <v>0</v>
      </c>
      <c r="F521" s="108"/>
      <c r="G521" s="108"/>
      <c r="H521" s="108"/>
      <c r="I521" s="108"/>
      <c r="J521" s="108"/>
      <c r="K521" s="110"/>
      <c r="L521" s="137" t="e">
        <f t="shared" si="141"/>
        <v>#DIV/0!</v>
      </c>
    </row>
    <row r="522" spans="1:12" ht="12.75" hidden="1" customHeight="1" x14ac:dyDescent="0.25">
      <c r="A522" s="93">
        <v>5433</v>
      </c>
      <c r="B522" s="131">
        <v>623000</v>
      </c>
      <c r="C522" s="82" t="s">
        <v>460</v>
      </c>
      <c r="D522" s="100">
        <f>D523</f>
        <v>0</v>
      </c>
      <c r="E522" s="100">
        <f t="shared" si="148"/>
        <v>0</v>
      </c>
      <c r="F522" s="100">
        <f t="shared" ref="F522:K522" si="149">F523</f>
        <v>0</v>
      </c>
      <c r="G522" s="100">
        <f t="shared" si="149"/>
        <v>0</v>
      </c>
      <c r="H522" s="100">
        <f t="shared" si="149"/>
        <v>0</v>
      </c>
      <c r="I522" s="100">
        <f t="shared" si="149"/>
        <v>0</v>
      </c>
      <c r="J522" s="100">
        <f t="shared" si="149"/>
        <v>0</v>
      </c>
      <c r="K522" s="101">
        <f t="shared" si="149"/>
        <v>0</v>
      </c>
      <c r="L522" s="137" t="e">
        <f t="shared" si="141"/>
        <v>#DIV/0!</v>
      </c>
    </row>
    <row r="523" spans="1:12" ht="12.75" hidden="1" customHeight="1" x14ac:dyDescent="0.25">
      <c r="A523" s="94">
        <v>5434</v>
      </c>
      <c r="B523" s="136">
        <v>623100</v>
      </c>
      <c r="C523" s="84" t="s">
        <v>461</v>
      </c>
      <c r="D523" s="108"/>
      <c r="E523" s="109">
        <f t="shared" si="148"/>
        <v>0</v>
      </c>
      <c r="F523" s="108"/>
      <c r="G523" s="108"/>
      <c r="H523" s="108"/>
      <c r="I523" s="108"/>
      <c r="J523" s="108"/>
      <c r="K523" s="110"/>
      <c r="L523" s="137" t="e">
        <f t="shared" si="141"/>
        <v>#DIV/0!</v>
      </c>
    </row>
    <row r="524" spans="1:12" ht="12.75" customHeight="1" thickBot="1" x14ac:dyDescent="0.3">
      <c r="A524" s="96">
        <v>5435</v>
      </c>
      <c r="B524" s="88"/>
      <c r="C524" s="89" t="s">
        <v>462</v>
      </c>
      <c r="D524" s="113">
        <f>D220+D468</f>
        <v>1492314</v>
      </c>
      <c r="E524" s="113">
        <f t="shared" si="148"/>
        <v>404536</v>
      </c>
      <c r="F524" s="113">
        <f t="shared" ref="F524:K524" si="150">F220+F468</f>
        <v>2998</v>
      </c>
      <c r="G524" s="113">
        <f t="shared" si="150"/>
        <v>0</v>
      </c>
      <c r="H524" s="113">
        <f t="shared" si="150"/>
        <v>0</v>
      </c>
      <c r="I524" s="113">
        <f t="shared" si="150"/>
        <v>392495</v>
      </c>
      <c r="J524" s="113">
        <f t="shared" si="150"/>
        <v>0</v>
      </c>
      <c r="K524" s="114">
        <f t="shared" si="150"/>
        <v>9043</v>
      </c>
      <c r="L524" s="138">
        <f t="shared" si="141"/>
        <v>0.27107967894156326</v>
      </c>
    </row>
    <row r="525" spans="1:12" ht="18.75" customHeight="1" x14ac:dyDescent="0.25">
      <c r="A525" s="90"/>
      <c r="B525" s="91"/>
      <c r="C525" s="91"/>
      <c r="D525" s="91"/>
      <c r="E525" s="91"/>
      <c r="F525" s="91"/>
      <c r="G525" s="91"/>
      <c r="H525" s="91"/>
      <c r="I525" s="91"/>
      <c r="J525" s="91"/>
      <c r="K525" s="91"/>
    </row>
    <row r="526" spans="1:12" ht="12.75" customHeight="1" x14ac:dyDescent="0.25">
      <c r="A526" s="92" t="s">
        <v>516</v>
      </c>
      <c r="B526" s="91"/>
      <c r="C526" s="91"/>
      <c r="D526" s="91"/>
      <c r="E526" s="91"/>
      <c r="F526" s="91"/>
      <c r="G526" s="91"/>
      <c r="H526" s="91"/>
      <c r="I526" s="91"/>
      <c r="J526" s="91"/>
      <c r="K526" s="91"/>
    </row>
    <row r="527" spans="1:12" ht="12.75" customHeight="1" thickBot="1" x14ac:dyDescent="0.3">
      <c r="A527" s="90"/>
      <c r="B527" s="91"/>
      <c r="C527" s="91"/>
      <c r="D527" s="91"/>
      <c r="E527" s="91"/>
      <c r="F527" s="91"/>
      <c r="G527" s="91"/>
      <c r="H527" s="91"/>
      <c r="I527" s="91"/>
      <c r="J527" s="91"/>
      <c r="K527" s="91"/>
    </row>
    <row r="528" spans="1:12" ht="12.75" customHeight="1" x14ac:dyDescent="0.25">
      <c r="A528" s="572" t="s">
        <v>0</v>
      </c>
      <c r="B528" s="574" t="s">
        <v>1</v>
      </c>
      <c r="C528" s="574" t="s">
        <v>2</v>
      </c>
      <c r="D528" s="574" t="s">
        <v>517</v>
      </c>
      <c r="E528" s="574" t="s">
        <v>518</v>
      </c>
      <c r="F528" s="574"/>
      <c r="G528" s="574"/>
      <c r="H528" s="574"/>
      <c r="I528" s="574"/>
      <c r="J528" s="574"/>
      <c r="K528" s="593"/>
    </row>
    <row r="529" spans="1:11" ht="12.75" customHeight="1" x14ac:dyDescent="0.25">
      <c r="A529" s="573"/>
      <c r="B529" s="575"/>
      <c r="C529" s="575"/>
      <c r="D529" s="575"/>
      <c r="E529" s="575" t="s">
        <v>199</v>
      </c>
      <c r="F529" s="575" t="s">
        <v>519</v>
      </c>
      <c r="G529" s="575"/>
      <c r="H529" s="575"/>
      <c r="I529" s="575"/>
      <c r="J529" s="575" t="s">
        <v>7</v>
      </c>
      <c r="K529" s="594" t="s">
        <v>8</v>
      </c>
    </row>
    <row r="530" spans="1:11" s="115" customFormat="1" ht="12.75" customHeight="1" x14ac:dyDescent="0.25">
      <c r="A530" s="573"/>
      <c r="B530" s="575"/>
      <c r="C530" s="575"/>
      <c r="D530" s="575"/>
      <c r="E530" s="589"/>
      <c r="F530" s="131" t="s">
        <v>9</v>
      </c>
      <c r="G530" s="131" t="s">
        <v>10</v>
      </c>
      <c r="H530" s="131" t="s">
        <v>11</v>
      </c>
      <c r="I530" s="131" t="s">
        <v>12</v>
      </c>
      <c r="J530" s="575"/>
      <c r="K530" s="594"/>
    </row>
    <row r="531" spans="1:11" s="115" customFormat="1" ht="12.75" customHeight="1" x14ac:dyDescent="0.25">
      <c r="A531" s="130">
        <v>1</v>
      </c>
      <c r="B531" s="131">
        <v>2</v>
      </c>
      <c r="C531" s="131">
        <v>3</v>
      </c>
      <c r="D531" s="131">
        <v>4</v>
      </c>
      <c r="E531" s="131">
        <v>5</v>
      </c>
      <c r="F531" s="131">
        <v>6</v>
      </c>
      <c r="G531" s="131">
        <v>7</v>
      </c>
      <c r="H531" s="131">
        <v>8</v>
      </c>
      <c r="I531" s="131">
        <v>9</v>
      </c>
      <c r="J531" s="131">
        <v>10</v>
      </c>
      <c r="K531" s="135">
        <v>11</v>
      </c>
    </row>
    <row r="532" spans="1:11" s="115" customFormat="1" ht="12.75" customHeight="1" x14ac:dyDescent="0.25">
      <c r="A532" s="130">
        <v>5436</v>
      </c>
      <c r="B532" s="131"/>
      <c r="C532" s="82" t="s">
        <v>520</v>
      </c>
      <c r="D532" s="100">
        <f>D9</f>
        <v>1487035</v>
      </c>
      <c r="E532" s="100">
        <f>SUM(F532:K532)</f>
        <v>398163</v>
      </c>
      <c r="F532" s="100">
        <f t="shared" ref="F532:K532" si="151">F9</f>
        <v>2998</v>
      </c>
      <c r="G532" s="100">
        <f t="shared" si="151"/>
        <v>0</v>
      </c>
      <c r="H532" s="100">
        <f t="shared" si="151"/>
        <v>0</v>
      </c>
      <c r="I532" s="100">
        <f t="shared" si="151"/>
        <v>392276</v>
      </c>
      <c r="J532" s="100">
        <f t="shared" si="151"/>
        <v>0</v>
      </c>
      <c r="K532" s="121">
        <f t="shared" si="151"/>
        <v>2889</v>
      </c>
    </row>
    <row r="533" spans="1:11" s="115" customFormat="1" ht="12.75" customHeight="1" x14ac:dyDescent="0.25">
      <c r="A533" s="130">
        <v>5437</v>
      </c>
      <c r="B533" s="131"/>
      <c r="C533" s="82" t="s">
        <v>521</v>
      </c>
      <c r="D533" s="100">
        <f>D220</f>
        <v>1492314</v>
      </c>
      <c r="E533" s="100">
        <f>SUM(F533:K533)</f>
        <v>404536</v>
      </c>
      <c r="F533" s="100">
        <f t="shared" ref="F533:K533" si="152">F220</f>
        <v>2998</v>
      </c>
      <c r="G533" s="100">
        <f t="shared" si="152"/>
        <v>0</v>
      </c>
      <c r="H533" s="100">
        <f t="shared" si="152"/>
        <v>0</v>
      </c>
      <c r="I533" s="100">
        <f t="shared" si="152"/>
        <v>392495</v>
      </c>
      <c r="J533" s="100">
        <f t="shared" si="152"/>
        <v>0</v>
      </c>
      <c r="K533" s="121">
        <f t="shared" si="152"/>
        <v>9043</v>
      </c>
    </row>
    <row r="534" spans="1:11" s="115" customFormat="1" ht="12.75" customHeight="1" x14ac:dyDescent="0.25">
      <c r="A534" s="83">
        <v>5438</v>
      </c>
      <c r="B534" s="136"/>
      <c r="C534" s="84" t="s">
        <v>522</v>
      </c>
      <c r="D534" s="109">
        <f>IF((D532-D533)&gt;0,D532-D533,0)</f>
        <v>0</v>
      </c>
      <c r="E534" s="109">
        <f>IF((E532-E533)&gt;0,E532-E533,0)</f>
        <v>0</v>
      </c>
      <c r="F534" s="109">
        <f t="shared" ref="F534:K534" si="153">IF((F532-F533)&gt;0,F532-F533,0)</f>
        <v>0</v>
      </c>
      <c r="G534" s="109">
        <f t="shared" si="153"/>
        <v>0</v>
      </c>
      <c r="H534" s="109">
        <f t="shared" si="153"/>
        <v>0</v>
      </c>
      <c r="I534" s="109">
        <f t="shared" si="153"/>
        <v>0</v>
      </c>
      <c r="J534" s="109">
        <f t="shared" si="153"/>
        <v>0</v>
      </c>
      <c r="K534" s="122">
        <f t="shared" si="153"/>
        <v>0</v>
      </c>
    </row>
    <row r="535" spans="1:11" s="115" customFormat="1" ht="12.75" customHeight="1" x14ac:dyDescent="0.25">
      <c r="A535" s="83">
        <v>5439</v>
      </c>
      <c r="B535" s="136"/>
      <c r="C535" s="84" t="s">
        <v>523</v>
      </c>
      <c r="D535" s="109">
        <f>IF((D533-D532)&gt;0,D533-D532,0)</f>
        <v>5279</v>
      </c>
      <c r="E535" s="109">
        <f>IF((E533-E532)&gt;0,E533-E532,0)</f>
        <v>6373</v>
      </c>
      <c r="F535" s="109">
        <f t="shared" ref="F535:K535" si="154">IF((F533-F532)&gt;0,F533-F532,0)</f>
        <v>0</v>
      </c>
      <c r="G535" s="109">
        <f t="shared" si="154"/>
        <v>0</v>
      </c>
      <c r="H535" s="109">
        <f t="shared" si="154"/>
        <v>0</v>
      </c>
      <c r="I535" s="109">
        <f t="shared" si="154"/>
        <v>219</v>
      </c>
      <c r="J535" s="109">
        <f t="shared" si="154"/>
        <v>0</v>
      </c>
      <c r="K535" s="122">
        <f t="shared" si="154"/>
        <v>6154</v>
      </c>
    </row>
    <row r="536" spans="1:11" s="115" customFormat="1" ht="12.75" customHeight="1" x14ac:dyDescent="0.25">
      <c r="A536" s="130">
        <v>5440</v>
      </c>
      <c r="B536" s="131">
        <v>900000</v>
      </c>
      <c r="C536" s="82" t="s">
        <v>524</v>
      </c>
      <c r="D536" s="100">
        <f>D163</f>
        <v>0</v>
      </c>
      <c r="E536" s="100">
        <f>SUM(F536:K536)</f>
        <v>0</v>
      </c>
      <c r="F536" s="100">
        <f t="shared" ref="F536:K536" si="155">F163</f>
        <v>0</v>
      </c>
      <c r="G536" s="100">
        <f t="shared" si="155"/>
        <v>0</v>
      </c>
      <c r="H536" s="100">
        <f t="shared" si="155"/>
        <v>0</v>
      </c>
      <c r="I536" s="100">
        <f t="shared" si="155"/>
        <v>0</v>
      </c>
      <c r="J536" s="100">
        <f t="shared" si="155"/>
        <v>0</v>
      </c>
      <c r="K536" s="121">
        <f t="shared" si="155"/>
        <v>0</v>
      </c>
    </row>
    <row r="537" spans="1:11" s="115" customFormat="1" ht="12.75" customHeight="1" x14ac:dyDescent="0.25">
      <c r="A537" s="130">
        <v>5441</v>
      </c>
      <c r="B537" s="131">
        <v>600000</v>
      </c>
      <c r="C537" s="82" t="s">
        <v>525</v>
      </c>
      <c r="D537" s="100">
        <f>D468</f>
        <v>0</v>
      </c>
      <c r="E537" s="100">
        <f>SUM(F537:K537)</f>
        <v>0</v>
      </c>
      <c r="F537" s="100">
        <f t="shared" ref="F537:K537" si="156">F468</f>
        <v>0</v>
      </c>
      <c r="G537" s="100">
        <f t="shared" si="156"/>
        <v>0</v>
      </c>
      <c r="H537" s="100">
        <f t="shared" si="156"/>
        <v>0</v>
      </c>
      <c r="I537" s="100">
        <f t="shared" si="156"/>
        <v>0</v>
      </c>
      <c r="J537" s="100">
        <f t="shared" si="156"/>
        <v>0</v>
      </c>
      <c r="K537" s="121">
        <f t="shared" si="156"/>
        <v>0</v>
      </c>
    </row>
    <row r="538" spans="1:11" s="115" customFormat="1" ht="12.75" customHeight="1" x14ac:dyDescent="0.25">
      <c r="A538" s="130">
        <v>5442</v>
      </c>
      <c r="B538" s="131"/>
      <c r="C538" s="82" t="s">
        <v>526</v>
      </c>
      <c r="D538" s="100">
        <f>IF((D536-D537)&gt;0,D536-D537,0)</f>
        <v>0</v>
      </c>
      <c r="E538" s="100">
        <f>IF((E536-E537)&gt;0,E536-E537,0)</f>
        <v>0</v>
      </c>
      <c r="F538" s="100">
        <f t="shared" ref="F538:K538" si="157">IF((F536-F537)&gt;0,F536-F537,0)</f>
        <v>0</v>
      </c>
      <c r="G538" s="100">
        <f t="shared" si="157"/>
        <v>0</v>
      </c>
      <c r="H538" s="100">
        <f t="shared" si="157"/>
        <v>0</v>
      </c>
      <c r="I538" s="100">
        <f t="shared" si="157"/>
        <v>0</v>
      </c>
      <c r="J538" s="100">
        <f t="shared" si="157"/>
        <v>0</v>
      </c>
      <c r="K538" s="121">
        <f t="shared" si="157"/>
        <v>0</v>
      </c>
    </row>
    <row r="539" spans="1:11" s="115" customFormat="1" ht="12.75" customHeight="1" x14ac:dyDescent="0.25">
      <c r="A539" s="130">
        <v>5443</v>
      </c>
      <c r="B539" s="131"/>
      <c r="C539" s="82" t="s">
        <v>527</v>
      </c>
      <c r="D539" s="100">
        <f>IF((D537-D536)&gt;0,D537-D536,0)</f>
        <v>0</v>
      </c>
      <c r="E539" s="100">
        <f>IF((E537-E536)&gt;0,E537-E536,0)</f>
        <v>0</v>
      </c>
      <c r="F539" s="100">
        <f t="shared" ref="F539:K539" si="158">IF((F537-F536)&gt;0,F537-F536,0)</f>
        <v>0</v>
      </c>
      <c r="G539" s="100">
        <f t="shared" si="158"/>
        <v>0</v>
      </c>
      <c r="H539" s="100">
        <f t="shared" si="158"/>
        <v>0</v>
      </c>
      <c r="I539" s="100">
        <f t="shared" si="158"/>
        <v>0</v>
      </c>
      <c r="J539" s="100">
        <f t="shared" si="158"/>
        <v>0</v>
      </c>
      <c r="K539" s="121">
        <f t="shared" si="158"/>
        <v>0</v>
      </c>
    </row>
    <row r="540" spans="1:11" s="115" customFormat="1" ht="12.75" customHeight="1" x14ac:dyDescent="0.25">
      <c r="A540" s="130">
        <v>5444</v>
      </c>
      <c r="B540" s="131"/>
      <c r="C540" s="82" t="s">
        <v>528</v>
      </c>
      <c r="D540" s="100">
        <f t="shared" ref="D540:K540" si="159">IF(D211-D524&gt;0,D211-D524,0)</f>
        <v>0</v>
      </c>
      <c r="E540" s="100">
        <f t="shared" si="159"/>
        <v>0</v>
      </c>
      <c r="F540" s="100">
        <f t="shared" si="159"/>
        <v>0</v>
      </c>
      <c r="G540" s="100">
        <f t="shared" si="159"/>
        <v>0</v>
      </c>
      <c r="H540" s="100">
        <f t="shared" si="159"/>
        <v>0</v>
      </c>
      <c r="I540" s="100">
        <f t="shared" si="159"/>
        <v>0</v>
      </c>
      <c r="J540" s="100">
        <f t="shared" si="159"/>
        <v>0</v>
      </c>
      <c r="K540" s="121">
        <f t="shared" si="159"/>
        <v>0</v>
      </c>
    </row>
    <row r="541" spans="1:11" s="115" customFormat="1" ht="12.75" customHeight="1" thickBot="1" x14ac:dyDescent="0.3">
      <c r="A541" s="87">
        <v>5445</v>
      </c>
      <c r="B541" s="97"/>
      <c r="C541" s="89" t="s">
        <v>529</v>
      </c>
      <c r="D541" s="113">
        <f t="shared" ref="D541:K541" si="160">IF(D524-D211&gt;0,D524-D211,0)</f>
        <v>5279</v>
      </c>
      <c r="E541" s="113">
        <f t="shared" si="160"/>
        <v>6373</v>
      </c>
      <c r="F541" s="113">
        <f t="shared" si="160"/>
        <v>0</v>
      </c>
      <c r="G541" s="113">
        <f t="shared" si="160"/>
        <v>0</v>
      </c>
      <c r="H541" s="113">
        <f t="shared" si="160"/>
        <v>0</v>
      </c>
      <c r="I541" s="113">
        <f t="shared" si="160"/>
        <v>219</v>
      </c>
      <c r="J541" s="113">
        <f t="shared" si="160"/>
        <v>0</v>
      </c>
      <c r="K541" s="123">
        <f t="shared" si="160"/>
        <v>6154</v>
      </c>
    </row>
  </sheetData>
  <mergeCells count="191">
    <mergeCell ref="A528:A530"/>
    <mergeCell ref="B528:B530"/>
    <mergeCell ref="C528:C530"/>
    <mergeCell ref="D528:D530"/>
    <mergeCell ref="E528:K528"/>
    <mergeCell ref="E529:E530"/>
    <mergeCell ref="F529:I529"/>
    <mergeCell ref="J529:J530"/>
    <mergeCell ref="K529:K530"/>
    <mergeCell ref="A501:A503"/>
    <mergeCell ref="B501:B503"/>
    <mergeCell ref="C501:C503"/>
    <mergeCell ref="D501:D503"/>
    <mergeCell ref="E501:K501"/>
    <mergeCell ref="E502:E503"/>
    <mergeCell ref="F502:I502"/>
    <mergeCell ref="J502:J503"/>
    <mergeCell ref="K502:K503"/>
    <mergeCell ref="A474:A476"/>
    <mergeCell ref="B474:B476"/>
    <mergeCell ref="C474:C476"/>
    <mergeCell ref="D474:D476"/>
    <mergeCell ref="E474:K474"/>
    <mergeCell ref="E475:E476"/>
    <mergeCell ref="F475:I475"/>
    <mergeCell ref="J475:J476"/>
    <mergeCell ref="K475:K476"/>
    <mergeCell ref="A446:A448"/>
    <mergeCell ref="B446:B448"/>
    <mergeCell ref="C446:C448"/>
    <mergeCell ref="D446:D448"/>
    <mergeCell ref="E446:K446"/>
    <mergeCell ref="E447:E448"/>
    <mergeCell ref="F447:I447"/>
    <mergeCell ref="J447:J448"/>
    <mergeCell ref="K447:K448"/>
    <mergeCell ref="A411:A413"/>
    <mergeCell ref="B411:B413"/>
    <mergeCell ref="C411:C413"/>
    <mergeCell ref="D411:D413"/>
    <mergeCell ref="E411:K411"/>
    <mergeCell ref="E412:E413"/>
    <mergeCell ref="F412:I412"/>
    <mergeCell ref="J412:J413"/>
    <mergeCell ref="K412:K413"/>
    <mergeCell ref="A383:A385"/>
    <mergeCell ref="B383:B385"/>
    <mergeCell ref="C383:C385"/>
    <mergeCell ref="D383:D385"/>
    <mergeCell ref="E383:K383"/>
    <mergeCell ref="E384:E385"/>
    <mergeCell ref="F384:I384"/>
    <mergeCell ref="J384:J385"/>
    <mergeCell ref="K384:K385"/>
    <mergeCell ref="A358:A360"/>
    <mergeCell ref="B358:B360"/>
    <mergeCell ref="C358:C360"/>
    <mergeCell ref="D358:D360"/>
    <mergeCell ref="E358:K358"/>
    <mergeCell ref="E359:E360"/>
    <mergeCell ref="F359:I359"/>
    <mergeCell ref="J359:J360"/>
    <mergeCell ref="K359:K360"/>
    <mergeCell ref="A332:A334"/>
    <mergeCell ref="B332:B334"/>
    <mergeCell ref="C332:C334"/>
    <mergeCell ref="D332:D334"/>
    <mergeCell ref="E332:K332"/>
    <mergeCell ref="E333:E334"/>
    <mergeCell ref="F333:I333"/>
    <mergeCell ref="J333:J334"/>
    <mergeCell ref="K333:K334"/>
    <mergeCell ref="A302:A304"/>
    <mergeCell ref="B302:B304"/>
    <mergeCell ref="C302:C304"/>
    <mergeCell ref="D302:D304"/>
    <mergeCell ref="E302:K302"/>
    <mergeCell ref="E303:E304"/>
    <mergeCell ref="F303:I303"/>
    <mergeCell ref="J303:J304"/>
    <mergeCell ref="K303:K304"/>
    <mergeCell ref="A271:A273"/>
    <mergeCell ref="B271:B273"/>
    <mergeCell ref="C271:C273"/>
    <mergeCell ref="D271:D273"/>
    <mergeCell ref="E271:K271"/>
    <mergeCell ref="E272:E273"/>
    <mergeCell ref="F272:I272"/>
    <mergeCell ref="J272:J273"/>
    <mergeCell ref="K272:K273"/>
    <mergeCell ref="A235:A237"/>
    <mergeCell ref="B235:B237"/>
    <mergeCell ref="C235:C237"/>
    <mergeCell ref="D235:D237"/>
    <mergeCell ref="E235:K235"/>
    <mergeCell ref="E236:E237"/>
    <mergeCell ref="F236:I236"/>
    <mergeCell ref="J236:J237"/>
    <mergeCell ref="K236:K237"/>
    <mergeCell ref="A216:A218"/>
    <mergeCell ref="B216:B218"/>
    <mergeCell ref="C216:C218"/>
    <mergeCell ref="D216:D218"/>
    <mergeCell ref="E216:K216"/>
    <mergeCell ref="L216:L218"/>
    <mergeCell ref="E217:E218"/>
    <mergeCell ref="F217:I217"/>
    <mergeCell ref="J217:J218"/>
    <mergeCell ref="K217:K218"/>
    <mergeCell ref="A204:A206"/>
    <mergeCell ref="B204:B206"/>
    <mergeCell ref="C204:C206"/>
    <mergeCell ref="D204:D206"/>
    <mergeCell ref="E204:K204"/>
    <mergeCell ref="E205:E206"/>
    <mergeCell ref="F205:I205"/>
    <mergeCell ref="J205:J206"/>
    <mergeCell ref="K205:K206"/>
    <mergeCell ref="A182:A184"/>
    <mergeCell ref="B182:B184"/>
    <mergeCell ref="C182:C184"/>
    <mergeCell ref="D182:D184"/>
    <mergeCell ref="E182:K182"/>
    <mergeCell ref="E183:E184"/>
    <mergeCell ref="F183:I183"/>
    <mergeCell ref="J183:J184"/>
    <mergeCell ref="K183:K184"/>
    <mergeCell ref="A156:A158"/>
    <mergeCell ref="B156:B158"/>
    <mergeCell ref="C156:C158"/>
    <mergeCell ref="D156:D158"/>
    <mergeCell ref="E156:K156"/>
    <mergeCell ref="E157:E158"/>
    <mergeCell ref="F157:I157"/>
    <mergeCell ref="J157:J158"/>
    <mergeCell ref="K157:K158"/>
    <mergeCell ref="A129:A131"/>
    <mergeCell ref="B129:B131"/>
    <mergeCell ref="C129:C131"/>
    <mergeCell ref="D129:D131"/>
    <mergeCell ref="E129:K129"/>
    <mergeCell ref="E130:E131"/>
    <mergeCell ref="F130:I130"/>
    <mergeCell ref="J130:J131"/>
    <mergeCell ref="K130:K131"/>
    <mergeCell ref="A103:A105"/>
    <mergeCell ref="B103:B105"/>
    <mergeCell ref="C103:C105"/>
    <mergeCell ref="D103:D105"/>
    <mergeCell ref="E103:K103"/>
    <mergeCell ref="E104:E105"/>
    <mergeCell ref="F104:I104"/>
    <mergeCell ref="J104:J105"/>
    <mergeCell ref="K104:K105"/>
    <mergeCell ref="A73:A75"/>
    <mergeCell ref="B73:B75"/>
    <mergeCell ref="C73:C75"/>
    <mergeCell ref="D73:D75"/>
    <mergeCell ref="E73:K73"/>
    <mergeCell ref="E74:E75"/>
    <mergeCell ref="F74:I74"/>
    <mergeCell ref="J74:J75"/>
    <mergeCell ref="K74:K75"/>
    <mergeCell ref="A46:A48"/>
    <mergeCell ref="B46:B48"/>
    <mergeCell ref="C46:C48"/>
    <mergeCell ref="D46:D48"/>
    <mergeCell ref="E46:K46"/>
    <mergeCell ref="E47:E48"/>
    <mergeCell ref="F47:I47"/>
    <mergeCell ref="J47:J48"/>
    <mergeCell ref="K47:K48"/>
    <mergeCell ref="A14:A16"/>
    <mergeCell ref="B14:B16"/>
    <mergeCell ref="C14:C16"/>
    <mergeCell ref="D14:D16"/>
    <mergeCell ref="E14:K14"/>
    <mergeCell ref="E15:E16"/>
    <mergeCell ref="F15:I15"/>
    <mergeCell ref="J15:J16"/>
    <mergeCell ref="K15:K16"/>
    <mergeCell ref="A5:A7"/>
    <mergeCell ref="B5:B7"/>
    <mergeCell ref="C5:C7"/>
    <mergeCell ref="D5:D7"/>
    <mergeCell ref="E5:K5"/>
    <mergeCell ref="L5:L7"/>
    <mergeCell ref="E6:E7"/>
    <mergeCell ref="F6:I6"/>
    <mergeCell ref="J6:J7"/>
    <mergeCell ref="K6:K7"/>
  </mergeCells>
  <dataValidations count="1">
    <dataValidation type="whole" allowBlank="1" showErrorMessage="1" errorTitle="Upozorenje" error="Niste uneli korektnu vrednost!_x000a_Ponovite unos." sqref="D9:K13 D208:K211 D387:K410 D18:K45 D50:K72 D107:K128 D133:K155 D160:K181 D186:K203 D220:K234 D505:K524 D275:K301 D306:K331 D336:K357 D362:K382 D478:K500 D450:K473 D77:K102 D239:K270 D415:K445">
      <formula1>0</formula1>
      <formula2>999999999</formula2>
    </dataValidation>
  </dataValidations>
  <pageMargins left="0.16" right="0.16" top="0.56999999999999995" bottom="0.26" header="0.22" footer="0.3"/>
  <pageSetup paperSize="9" scale="95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3399"/>
  </sheetPr>
  <dimension ref="A1:V548"/>
  <sheetViews>
    <sheetView topLeftCell="A421" workbookViewId="0">
      <selection activeCell="A547" sqref="A547:XFD547"/>
    </sheetView>
  </sheetViews>
  <sheetFormatPr defaultRowHeight="15" x14ac:dyDescent="0.25"/>
  <cols>
    <col min="1" max="1" width="4.85546875" style="12" customWidth="1"/>
    <col min="2" max="2" width="9.140625" style="12" customWidth="1"/>
    <col min="3" max="3" width="33.140625" style="12" customWidth="1"/>
    <col min="4" max="4" width="3.28515625" style="12" customWidth="1"/>
    <col min="5" max="5" width="8.7109375" style="12" hidden="1" customWidth="1"/>
    <col min="6" max="6" width="9" style="12" customWidth="1"/>
    <col min="7" max="7" width="0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9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1" width="0" style="12" hidden="1" customWidth="1"/>
    <col min="22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1479278</v>
      </c>
      <c r="G6" s="19">
        <f t="shared" ref="G6:Q6" si="0">G7+G133</f>
        <v>2873209</v>
      </c>
      <c r="H6" s="19">
        <f t="shared" si="0"/>
        <v>21242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1444236</v>
      </c>
      <c r="N6" s="19">
        <f t="shared" si="0"/>
        <v>1398192</v>
      </c>
      <c r="O6" s="19">
        <f t="shared" si="0"/>
        <v>0</v>
      </c>
      <c r="P6" s="19">
        <f t="shared" si="0"/>
        <v>12800</v>
      </c>
      <c r="Q6" s="67">
        <f t="shared" si="0"/>
        <v>12669</v>
      </c>
    </row>
    <row r="7" spans="1:17" ht="26.25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1479078</v>
      </c>
      <c r="G7" s="19">
        <f>G8+G60+G74+G86+G115+G122+G126</f>
        <v>2873025</v>
      </c>
      <c r="H7" s="19">
        <f t="shared" ref="H7:Q7" si="1">H8+H60+H74+H86+H115+H122+H126</f>
        <v>21242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1444236</v>
      </c>
      <c r="N7" s="19">
        <f t="shared" si="1"/>
        <v>1398192</v>
      </c>
      <c r="O7" s="19">
        <f t="shared" si="1"/>
        <v>0</v>
      </c>
      <c r="P7" s="19">
        <f t="shared" si="1"/>
        <v>12600</v>
      </c>
      <c r="Q7" s="67">
        <f t="shared" si="1"/>
        <v>12485</v>
      </c>
    </row>
    <row r="8" spans="1:17" ht="26.25" hidden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26.25" hidden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39" hidden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idden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idden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idden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idden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idden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idden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idden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idden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idden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idden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idden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idden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26.25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26.25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26.25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64.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26.25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39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26.25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39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26.25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26.25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39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14931</v>
      </c>
      <c r="G86" s="19">
        <f t="shared" ref="G86:Q86" si="21">G87+G94+G99+G110+G113</f>
        <v>14780</v>
      </c>
      <c r="H86" s="19">
        <f>H87+H94+H99+H110+H113</f>
        <v>1200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v>1131</v>
      </c>
      <c r="N86" s="19">
        <f t="shared" si="21"/>
        <v>1130</v>
      </c>
      <c r="O86" s="19">
        <f t="shared" si="21"/>
        <v>0</v>
      </c>
      <c r="P86" s="19">
        <f>P87+P94+P99+P110+P113+P120</f>
        <v>12600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1131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1131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1131</v>
      </c>
      <c r="G91" s="37">
        <f>SUM(I91:Q91)-K91-M91-P91</f>
        <v>1130</v>
      </c>
      <c r="H91" s="37"/>
      <c r="I91" s="38"/>
      <c r="J91" s="38"/>
      <c r="K91" s="38"/>
      <c r="L91" s="38"/>
      <c r="M91" s="38">
        <v>1131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26.25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1200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12500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26.25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1200</v>
      </c>
      <c r="I97" s="36">
        <v>1165</v>
      </c>
      <c r="J97" s="36"/>
      <c r="K97" s="36"/>
      <c r="L97" s="36"/>
      <c r="M97" s="36"/>
      <c r="N97" s="36"/>
      <c r="O97" s="36"/>
      <c r="P97" s="36">
        <v>7500</v>
      </c>
      <c r="Q97" s="72">
        <v>7180</v>
      </c>
    </row>
    <row r="98" spans="1:17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26.25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26.25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17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17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17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17" ht="26.25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17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17" ht="39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17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17" s="10" customFormat="1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2840167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17" s="10" customFormat="1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17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1443105</v>
      </c>
      <c r="G122" s="19">
        <f t="shared" ref="G122:Q122" si="33">G123</f>
        <v>2840167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1443105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17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1443105</v>
      </c>
      <c r="G123" s="19">
        <f t="shared" ref="G123:Q123" si="34">G124+G125</f>
        <v>2840167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1443105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17" ht="26.25" x14ac:dyDescent="0.25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1443105</v>
      </c>
      <c r="G124" s="37">
        <f>SUM(I124:Q124)</f>
        <v>2840167</v>
      </c>
      <c r="H124" s="37"/>
      <c r="I124" s="36"/>
      <c r="J124" s="36"/>
      <c r="K124" s="36"/>
      <c r="L124" s="36"/>
      <c r="M124" s="36">
        <f>1377997+1583+12500+4800+200+7710+600+37400+315</f>
        <v>1443105</v>
      </c>
      <c r="N124" s="36">
        <v>1397062</v>
      </c>
      <c r="O124" s="36"/>
      <c r="P124" s="36"/>
      <c r="Q124" s="72"/>
    </row>
    <row r="125" spans="1:17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17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21042</v>
      </c>
      <c r="G126" s="19">
        <f t="shared" ref="G126:Q126" si="36">G127</f>
        <v>18078</v>
      </c>
      <c r="H126" s="19">
        <f>H127</f>
        <v>20042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17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21042</v>
      </c>
      <c r="G127" s="19">
        <f t="shared" ref="G127:Q127" si="37">G132</f>
        <v>18078</v>
      </c>
      <c r="H127" s="19">
        <f t="shared" si="37"/>
        <v>20042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17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17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17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17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17" x14ac:dyDescent="0.25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21042</v>
      </c>
      <c r="G132" s="37">
        <f>SUM(I132:Q132)-K132-M132-P132</f>
        <v>18078</v>
      </c>
      <c r="H132" s="37">
        <f>20000+42</f>
        <v>20042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</row>
    <row r="133" spans="1:17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17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 t="shared" si="39"/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17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17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17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17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17" ht="26.25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17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17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17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17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17" ht="26.25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26.25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39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26.25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26.25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26.25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26.25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39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26.25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26.25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26.25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26.25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26.25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26.25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1479278</v>
      </c>
      <c r="G210" s="42">
        <f t="shared" si="61"/>
        <v>2873209</v>
      </c>
      <c r="H210" s="42">
        <f t="shared" si="61"/>
        <v>21242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1444236</v>
      </c>
      <c r="N210" s="42">
        <f t="shared" si="61"/>
        <v>1398192</v>
      </c>
      <c r="O210" s="42">
        <f t="shared" si="61"/>
        <v>0</v>
      </c>
      <c r="P210" s="42">
        <f t="shared" si="61"/>
        <v>12800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1484523</v>
      </c>
      <c r="G219" s="19">
        <f t="shared" si="62"/>
        <v>1428216</v>
      </c>
      <c r="H219" s="19">
        <f t="shared" si="62"/>
        <v>22280</v>
      </c>
      <c r="I219" s="19">
        <f t="shared" si="62"/>
        <v>17657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1444342</v>
      </c>
      <c r="N219" s="19">
        <f t="shared" si="62"/>
        <v>1398024</v>
      </c>
      <c r="O219" s="19">
        <f t="shared" si="62"/>
        <v>0</v>
      </c>
      <c r="P219" s="19">
        <f t="shared" si="62"/>
        <v>16901</v>
      </c>
      <c r="Q219" s="19">
        <f t="shared" si="62"/>
        <v>11162</v>
      </c>
      <c r="R219" s="44">
        <f>H219+K219+M219+P219</f>
        <v>1484523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1459128</v>
      </c>
      <c r="G220" s="19">
        <f t="shared" ref="G220:Q220" si="63">G221+G247+G314+G333+G361+G374+G394+G413</f>
        <v>1411053</v>
      </c>
      <c r="H220" s="19">
        <f t="shared" si="63"/>
        <v>2238</v>
      </c>
      <c r="I220" s="19">
        <f t="shared" si="63"/>
        <v>2407</v>
      </c>
      <c r="J220" s="19">
        <f t="shared" si="63"/>
        <v>0</v>
      </c>
      <c r="K220" s="19">
        <f t="shared" si="63"/>
        <v>1000</v>
      </c>
      <c r="L220" s="19">
        <f t="shared" si="63"/>
        <v>1273</v>
      </c>
      <c r="M220" s="19">
        <f t="shared" si="63"/>
        <v>1444342</v>
      </c>
      <c r="N220" s="19">
        <f t="shared" si="63"/>
        <v>1398024</v>
      </c>
      <c r="O220" s="19">
        <f t="shared" si="63"/>
        <v>0</v>
      </c>
      <c r="P220" s="19">
        <f t="shared" si="63"/>
        <v>11548</v>
      </c>
      <c r="Q220" s="19">
        <f t="shared" si="63"/>
        <v>9349</v>
      </c>
      <c r="R220" s="44">
        <f>F220+F434</f>
        <v>1484523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1055701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1052496</v>
      </c>
      <c r="N221" s="19">
        <f t="shared" si="64"/>
        <v>1025065</v>
      </c>
      <c r="O221" s="19">
        <f t="shared" si="64"/>
        <v>0</v>
      </c>
      <c r="P221" s="19">
        <f t="shared" si="64"/>
        <v>3205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875010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872510</v>
      </c>
      <c r="N222" s="19">
        <f t="shared" si="65"/>
        <v>849796</v>
      </c>
      <c r="O222" s="19">
        <f t="shared" si="65"/>
        <v>0</v>
      </c>
      <c r="P222" s="19">
        <f t="shared" si="65"/>
        <v>2500</v>
      </c>
      <c r="Q222" s="19">
        <f t="shared" si="65"/>
        <v>1989</v>
      </c>
    </row>
    <row r="223" spans="1:18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875010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872510</v>
      </c>
      <c r="N223" s="36">
        <f>851785-1989</f>
        <v>849796</v>
      </c>
      <c r="O223" s="36"/>
      <c r="P223" s="36">
        <v>2500</v>
      </c>
      <c r="Q223" s="36">
        <v>1989</v>
      </c>
      <c r="R223" s="44">
        <f>M223+P223</f>
        <v>875010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141315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140910</v>
      </c>
      <c r="N224" s="19">
        <f t="shared" si="66"/>
        <v>141535</v>
      </c>
      <c r="O224" s="19">
        <f t="shared" si="66"/>
        <v>0</v>
      </c>
      <c r="P224" s="19">
        <f t="shared" si="66"/>
        <v>405</v>
      </c>
      <c r="Q224" s="19">
        <f t="shared" si="66"/>
        <v>331</v>
      </c>
    </row>
    <row r="225" spans="1:17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96251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95976</v>
      </c>
      <c r="N225" s="36">
        <f>97986-229</f>
        <v>97757</v>
      </c>
      <c r="O225" s="36"/>
      <c r="P225" s="36">
        <v>275</v>
      </c>
      <c r="Q225" s="36">
        <v>229</v>
      </c>
    </row>
    <row r="226" spans="1:17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45064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44934</v>
      </c>
      <c r="N226" s="36">
        <f>43880-102</f>
        <v>43778</v>
      </c>
      <c r="O226" s="36"/>
      <c r="P226" s="36">
        <v>130</v>
      </c>
      <c r="Q226" s="36">
        <v>102</v>
      </c>
    </row>
    <row r="227" spans="1:17" hidden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17" hidden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17" hidden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17" ht="26.25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5900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5600</v>
      </c>
      <c r="N230" s="19">
        <f t="shared" si="69"/>
        <v>4959</v>
      </c>
      <c r="O230" s="19">
        <f t="shared" si="69"/>
        <v>0</v>
      </c>
      <c r="P230" s="19">
        <f t="shared" si="69"/>
        <v>300</v>
      </c>
      <c r="Q230" s="19">
        <f t="shared" si="69"/>
        <v>280</v>
      </c>
    </row>
    <row r="231" spans="1:17" ht="26.25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17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17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5300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f>4800+200</f>
        <v>5000</v>
      </c>
      <c r="N233" s="36">
        <v>3654</v>
      </c>
      <c r="O233" s="36"/>
      <c r="P233" s="36">
        <v>300</v>
      </c>
      <c r="Q233" s="36">
        <v>280</v>
      </c>
    </row>
    <row r="234" spans="1:17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17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17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17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17" ht="39" x14ac:dyDescent="0.25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600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v>600</v>
      </c>
      <c r="N238" s="36">
        <v>1305</v>
      </c>
      <c r="O238" s="36"/>
      <c r="P238" s="36"/>
      <c r="Q238" s="36"/>
    </row>
    <row r="239" spans="1:17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20976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20976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17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20976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20976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12500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12500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12500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12500</v>
      </c>
      <c r="N242" s="36">
        <v>9143</v>
      </c>
      <c r="O242" s="36"/>
      <c r="P242" s="36"/>
      <c r="Q242" s="36"/>
    </row>
    <row r="243" spans="1:18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394901</v>
      </c>
      <c r="G247" s="19">
        <f t="shared" si="74"/>
        <v>375619</v>
      </c>
      <c r="H247" s="19">
        <f t="shared" si="74"/>
        <v>2238</v>
      </c>
      <c r="I247" s="19">
        <f t="shared" si="74"/>
        <v>2407</v>
      </c>
      <c r="J247" s="19">
        <f t="shared" si="74"/>
        <v>0</v>
      </c>
      <c r="K247" s="19">
        <f t="shared" si="74"/>
        <v>1000</v>
      </c>
      <c r="L247" s="19">
        <f t="shared" si="74"/>
        <v>1273</v>
      </c>
      <c r="M247" s="19">
        <f t="shared" si="74"/>
        <v>384136</v>
      </c>
      <c r="N247" s="19">
        <f t="shared" si="74"/>
        <v>365541</v>
      </c>
      <c r="O247" s="19">
        <f t="shared" si="74"/>
        <v>0</v>
      </c>
      <c r="P247" s="19">
        <f t="shared" si="74"/>
        <v>7527</v>
      </c>
      <c r="Q247" s="19">
        <f t="shared" si="74"/>
        <v>6398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90660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89855</v>
      </c>
      <c r="N248" s="19">
        <f t="shared" si="75"/>
        <v>80545</v>
      </c>
      <c r="O248" s="19">
        <f t="shared" si="75"/>
        <v>0</v>
      </c>
      <c r="P248" s="19">
        <f t="shared" si="75"/>
        <v>805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1513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1433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73600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f>73200+50</f>
        <v>73250</v>
      </c>
      <c r="N250" s="36">
        <v>65188</v>
      </c>
      <c r="O250" s="36"/>
      <c r="P250" s="36">
        <v>350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10447</v>
      </c>
      <c r="G251" s="37">
        <f t="shared" si="76"/>
        <v>9465</v>
      </c>
      <c r="H251" s="37"/>
      <c r="I251" s="36"/>
      <c r="J251" s="36"/>
      <c r="K251" s="36"/>
      <c r="L251" s="36"/>
      <c r="M251" s="36">
        <f>11064-400-300-180</f>
        <v>10184</v>
      </c>
      <c r="N251" s="36">
        <v>9410</v>
      </c>
      <c r="O251" s="36"/>
      <c r="P251" s="36">
        <f>85+178</f>
        <v>263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2208</v>
      </c>
      <c r="G252" s="37">
        <f t="shared" si="76"/>
        <v>2113</v>
      </c>
      <c r="H252" s="37"/>
      <c r="I252" s="36"/>
      <c r="J252" s="36"/>
      <c r="K252" s="36"/>
      <c r="L252" s="36"/>
      <c r="M252" s="36">
        <f>3000-1092+300</f>
        <v>2208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2892</v>
      </c>
      <c r="G253" s="37">
        <f t="shared" si="76"/>
        <v>2612</v>
      </c>
      <c r="H253" s="37"/>
      <c r="I253" s="36"/>
      <c r="J253" s="36"/>
      <c r="K253" s="36"/>
      <c r="L253" s="36"/>
      <c r="M253" s="36">
        <f>1131+2500-851</f>
        <v>2780</v>
      </c>
      <c r="N253" s="36">
        <v>2591</v>
      </c>
      <c r="O253" s="36"/>
      <c r="P253" s="36">
        <v>112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650</v>
      </c>
      <c r="G256" s="19">
        <f t="shared" si="77"/>
        <v>571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150</v>
      </c>
      <c r="N256" s="19">
        <f t="shared" si="77"/>
        <v>120</v>
      </c>
      <c r="O256" s="19">
        <f t="shared" si="77"/>
        <v>0</v>
      </c>
      <c r="P256" s="19">
        <f t="shared" si="77"/>
        <v>500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650</v>
      </c>
      <c r="G257" s="37">
        <f t="shared" ref="G257" si="78">SUM(I257:Q257)-K257-M257-P257</f>
        <v>571</v>
      </c>
      <c r="H257" s="37"/>
      <c r="I257" s="36"/>
      <c r="J257" s="36"/>
      <c r="K257" s="36"/>
      <c r="L257" s="36"/>
      <c r="M257" s="36">
        <v>150</v>
      </c>
      <c r="N257" s="36">
        <v>120</v>
      </c>
      <c r="O257" s="36"/>
      <c r="P257" s="36">
        <v>500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8511</v>
      </c>
      <c r="G262" s="19">
        <f t="shared" si="79"/>
        <v>6375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6300</v>
      </c>
      <c r="N262" s="19">
        <f t="shared" si="79"/>
        <v>4811</v>
      </c>
      <c r="O262" s="19">
        <f t="shared" si="79"/>
        <v>0</v>
      </c>
      <c r="P262" s="19">
        <f t="shared" si="79"/>
        <v>2211</v>
      </c>
      <c r="Q262" s="19">
        <f t="shared" si="79"/>
        <v>1564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3606</v>
      </c>
      <c r="G264" s="37">
        <f t="shared" ref="G264:G269" si="80">SUM(I264:Q264)-K264-M264-P264</f>
        <v>2262</v>
      </c>
      <c r="H264" s="37"/>
      <c r="I264" s="36"/>
      <c r="J264" s="36"/>
      <c r="K264" s="36"/>
      <c r="L264" s="36"/>
      <c r="M264" s="36">
        <f>3000+540</f>
        <v>3540</v>
      </c>
      <c r="N264" s="36">
        <v>2192</v>
      </c>
      <c r="O264" s="36"/>
      <c r="P264" s="36">
        <v>66</v>
      </c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3060</v>
      </c>
      <c r="G265" s="37">
        <f t="shared" si="80"/>
        <v>2522</v>
      </c>
      <c r="H265" s="37"/>
      <c r="I265" s="36"/>
      <c r="J265" s="36"/>
      <c r="K265" s="36"/>
      <c r="L265" s="36"/>
      <c r="M265" s="36">
        <v>2500</v>
      </c>
      <c r="N265" s="36">
        <v>2374</v>
      </c>
      <c r="O265" s="36"/>
      <c r="P265" s="36">
        <f>200+360</f>
        <v>560</v>
      </c>
      <c r="Q265" s="36">
        <v>148</v>
      </c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260</v>
      </c>
      <c r="G266" s="37">
        <f t="shared" si="80"/>
        <v>259</v>
      </c>
      <c r="H266" s="37"/>
      <c r="I266" s="36"/>
      <c r="J266" s="36"/>
      <c r="K266" s="36"/>
      <c r="L266" s="36"/>
      <c r="M266" s="36">
        <v>260</v>
      </c>
      <c r="N266" s="36">
        <v>245</v>
      </c>
      <c r="O266" s="36"/>
      <c r="P266" s="36"/>
      <c r="Q266" s="36">
        <v>14</v>
      </c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1125</v>
      </c>
      <c r="G267" s="37">
        <f t="shared" si="80"/>
        <v>1132</v>
      </c>
      <c r="H267" s="37"/>
      <c r="I267" s="36"/>
      <c r="J267" s="36"/>
      <c r="K267" s="36"/>
      <c r="L267" s="36"/>
      <c r="M267" s="36"/>
      <c r="N267" s="36"/>
      <c r="O267" s="36"/>
      <c r="P267" s="36">
        <v>1125</v>
      </c>
      <c r="Q267" s="36">
        <v>1132</v>
      </c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>
        <f t="shared" si="67"/>
        <v>0</v>
      </c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>
        <f t="shared" si="80"/>
        <v>114</v>
      </c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>
        <v>114</v>
      </c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 t="s">
        <v>198</v>
      </c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 t="s">
        <v>199</v>
      </c>
      <c r="H271" s="476"/>
      <c r="I271" s="544" t="s">
        <v>200</v>
      </c>
      <c r="J271" s="545"/>
      <c r="K271" s="545"/>
      <c r="L271" s="545"/>
      <c r="M271" s="545"/>
      <c r="N271" s="545"/>
      <c r="O271" s="544" t="s">
        <v>7</v>
      </c>
      <c r="P271" s="476"/>
      <c r="Q271" s="544" t="s">
        <v>8</v>
      </c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 t="s">
        <v>201</v>
      </c>
      <c r="J272" s="476" t="s">
        <v>10</v>
      </c>
      <c r="K272" s="476"/>
      <c r="L272" s="476" t="s">
        <v>11</v>
      </c>
      <c r="M272" s="476"/>
      <c r="N272" s="476" t="s">
        <v>12</v>
      </c>
      <c r="O272" s="545"/>
      <c r="P272" s="477"/>
      <c r="Q272" s="545"/>
    </row>
    <row r="273" spans="1:20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 t="s">
        <v>22</v>
      </c>
      <c r="H273" s="475"/>
      <c r="I273" s="475" t="s">
        <v>23</v>
      </c>
      <c r="J273" s="475" t="s">
        <v>24</v>
      </c>
      <c r="K273" s="475"/>
      <c r="L273" s="475" t="s">
        <v>25</v>
      </c>
      <c r="M273" s="475"/>
      <c r="N273" s="475" t="s">
        <v>26</v>
      </c>
      <c r="O273" s="475" t="s">
        <v>27</v>
      </c>
      <c r="P273" s="475"/>
      <c r="Q273" s="475" t="s">
        <v>28</v>
      </c>
    </row>
    <row r="274" spans="1:20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260</v>
      </c>
      <c r="G274" s="37">
        <f t="shared" ref="G274" si="81">SUM(I274:Q274)-K274-M274-P274</f>
        <v>86</v>
      </c>
      <c r="H274" s="37"/>
      <c r="I274" s="36"/>
      <c r="J274" s="36"/>
      <c r="K274" s="36"/>
      <c r="L274" s="36"/>
      <c r="M274" s="36"/>
      <c r="N274" s="36"/>
      <c r="O274" s="36"/>
      <c r="P274" s="36">
        <v>260</v>
      </c>
      <c r="Q274" s="36">
        <v>86</v>
      </c>
    </row>
    <row r="275" spans="1:20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2">SUM(F276:F282)</f>
        <v>3007</v>
      </c>
      <c r="G275" s="19">
        <f t="shared" si="82"/>
        <v>3707</v>
      </c>
      <c r="H275" s="19">
        <f t="shared" si="82"/>
        <v>0</v>
      </c>
      <c r="I275" s="19">
        <f t="shared" si="82"/>
        <v>2280</v>
      </c>
      <c r="J275" s="19">
        <f t="shared" si="82"/>
        <v>0</v>
      </c>
      <c r="K275" s="19">
        <f t="shared" si="82"/>
        <v>0</v>
      </c>
      <c r="L275" s="19">
        <f t="shared" si="82"/>
        <v>0</v>
      </c>
      <c r="M275" s="19">
        <f t="shared" si="82"/>
        <v>1280</v>
      </c>
      <c r="N275" s="19">
        <f t="shared" si="82"/>
        <v>977</v>
      </c>
      <c r="O275" s="19">
        <f t="shared" si="82"/>
        <v>0</v>
      </c>
      <c r="P275" s="19">
        <f t="shared" si="82"/>
        <v>1727</v>
      </c>
      <c r="Q275" s="19">
        <f t="shared" si="82"/>
        <v>450</v>
      </c>
    </row>
    <row r="276" spans="1:20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0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0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1480</v>
      </c>
      <c r="G278" s="37">
        <f t="shared" ref="G278" si="83">SUM(I278:Q278)-K278-M278-P278</f>
        <v>1086</v>
      </c>
      <c r="H278" s="37"/>
      <c r="I278" s="36"/>
      <c r="J278" s="36"/>
      <c r="K278" s="36"/>
      <c r="L278" s="36"/>
      <c r="M278" s="36">
        <f>1000+280</f>
        <v>1280</v>
      </c>
      <c r="N278" s="36">
        <v>977</v>
      </c>
      <c r="O278" s="36"/>
      <c r="P278" s="36">
        <v>200</v>
      </c>
      <c r="Q278" s="36">
        <v>109</v>
      </c>
      <c r="R278" s="47"/>
      <c r="T278" s="47"/>
    </row>
    <row r="279" spans="1:20" hidden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0" ht="26.25" hidden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0" ht="26.25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300</v>
      </c>
      <c r="G281" s="37">
        <f t="shared" ref="G281:G282" si="84">SUM(I281:Q281)-K281-M281-P281</f>
        <v>51</v>
      </c>
      <c r="H281" s="37"/>
      <c r="I281" s="36"/>
      <c r="J281" s="36"/>
      <c r="K281" s="36"/>
      <c r="L281" s="36"/>
      <c r="M281" s="36"/>
      <c r="N281" s="36"/>
      <c r="O281" s="36"/>
      <c r="P281" s="36">
        <f>150+150</f>
        <v>300</v>
      </c>
      <c r="Q281" s="36">
        <v>51</v>
      </c>
    </row>
    <row r="282" spans="1:20" x14ac:dyDescent="0.2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1227</v>
      </c>
      <c r="G282" s="37">
        <f t="shared" si="84"/>
        <v>2570</v>
      </c>
      <c r="H282" s="37"/>
      <c r="I282" s="36">
        <v>2280</v>
      </c>
      <c r="J282" s="36"/>
      <c r="K282" s="36"/>
      <c r="L282" s="36"/>
      <c r="M282" s="36"/>
      <c r="N282" s="36"/>
      <c r="O282" s="36"/>
      <c r="P282" s="36">
        <f>400-150-178+1059+96</f>
        <v>1227</v>
      </c>
      <c r="Q282" s="36">
        <v>290</v>
      </c>
      <c r="R282" s="12">
        <v>1059</v>
      </c>
      <c r="S282" s="12" t="s">
        <v>504</v>
      </c>
    </row>
    <row r="283" spans="1:20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5">F284+F285</f>
        <v>12370</v>
      </c>
      <c r="G283" s="19">
        <f t="shared" si="85"/>
        <v>8828</v>
      </c>
      <c r="H283" s="19">
        <f t="shared" si="85"/>
        <v>0</v>
      </c>
      <c r="I283" s="19">
        <f t="shared" si="85"/>
        <v>0</v>
      </c>
      <c r="J283" s="19">
        <f t="shared" si="85"/>
        <v>0</v>
      </c>
      <c r="K283" s="19">
        <f t="shared" si="85"/>
        <v>0</v>
      </c>
      <c r="L283" s="19">
        <f t="shared" si="85"/>
        <v>0</v>
      </c>
      <c r="M283" s="19">
        <f t="shared" si="85"/>
        <v>12286</v>
      </c>
      <c r="N283" s="19">
        <f t="shared" si="85"/>
        <v>8173</v>
      </c>
      <c r="O283" s="19">
        <f t="shared" si="85"/>
        <v>0</v>
      </c>
      <c r="P283" s="19">
        <f t="shared" si="85"/>
        <v>84</v>
      </c>
      <c r="Q283" s="19">
        <f t="shared" si="85"/>
        <v>655</v>
      </c>
    </row>
    <row r="284" spans="1:20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720</v>
      </c>
      <c r="G284" s="37">
        <f t="shared" ref="G284:G285" si="86">SUM(I284:Q284)-K284-M284-P284</f>
        <v>100</v>
      </c>
      <c r="H284" s="37"/>
      <c r="I284" s="36"/>
      <c r="J284" s="36"/>
      <c r="K284" s="36"/>
      <c r="L284" s="36"/>
      <c r="M284" s="36">
        <v>720</v>
      </c>
      <c r="N284" s="36">
        <v>100</v>
      </c>
      <c r="O284" s="36"/>
      <c r="P284" s="36"/>
      <c r="Q284" s="36"/>
    </row>
    <row r="285" spans="1:20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11650</v>
      </c>
      <c r="G285" s="37">
        <f t="shared" si="86"/>
        <v>8728</v>
      </c>
      <c r="H285" s="37"/>
      <c r="I285" s="36"/>
      <c r="J285" s="36"/>
      <c r="K285" s="36"/>
      <c r="L285" s="36"/>
      <c r="M285" s="36">
        <f>11147-580+1059-60</f>
        <v>11566</v>
      </c>
      <c r="N285" s="36">
        <f>8055+18</f>
        <v>8073</v>
      </c>
      <c r="O285" s="36"/>
      <c r="P285" s="36">
        <v>84</v>
      </c>
      <c r="Q285" s="36">
        <v>655</v>
      </c>
      <c r="R285" s="12" t="s">
        <v>505</v>
      </c>
    </row>
    <row r="286" spans="1:20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279703</v>
      </c>
      <c r="G286" s="19">
        <f>SUM(G287:G313)</f>
        <v>275140</v>
      </c>
      <c r="H286" s="19">
        <f t="shared" ref="H286:Q286" si="87">SUM(H287:H313)</f>
        <v>2238</v>
      </c>
      <c r="I286" s="19">
        <f t="shared" si="87"/>
        <v>127</v>
      </c>
      <c r="J286" s="19">
        <f t="shared" si="87"/>
        <v>0</v>
      </c>
      <c r="K286" s="19">
        <f t="shared" si="87"/>
        <v>1000</v>
      </c>
      <c r="L286" s="19">
        <f t="shared" si="87"/>
        <v>1273</v>
      </c>
      <c r="M286" s="19">
        <f>M287+M289+M290+M293+M311+M312+M313</f>
        <v>274265</v>
      </c>
      <c r="N286" s="19">
        <f t="shared" si="87"/>
        <v>270915</v>
      </c>
      <c r="O286" s="19">
        <f t="shared" si="87"/>
        <v>0</v>
      </c>
      <c r="P286" s="19">
        <f>P287+P289+P290+P293+P311+P312+P313</f>
        <v>2200</v>
      </c>
      <c r="Q286" s="19">
        <f t="shared" si="87"/>
        <v>2825</v>
      </c>
      <c r="R286" s="44">
        <f>H286+K286+M286+P286</f>
        <v>279703</v>
      </c>
    </row>
    <row r="287" spans="1:20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4621</v>
      </c>
      <c r="G287" s="37">
        <f t="shared" ref="G287" si="88">SUM(I287:Q287)-K287-M287-P287</f>
        <v>3119</v>
      </c>
      <c r="H287" s="37"/>
      <c r="I287" s="36"/>
      <c r="J287" s="36"/>
      <c r="K287" s="36"/>
      <c r="L287" s="36"/>
      <c r="M287" s="36">
        <f>4200+106+315</f>
        <v>4621</v>
      </c>
      <c r="N287" s="36">
        <v>3119</v>
      </c>
      <c r="O287" s="36"/>
      <c r="P287" s="36"/>
      <c r="Q287" s="36"/>
      <c r="R287" s="12" t="s">
        <v>506</v>
      </c>
    </row>
    <row r="288" spans="1:20" hidden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200</v>
      </c>
      <c r="G289" s="37">
        <f t="shared" ref="G289:G290" si="89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v>200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1950</v>
      </c>
      <c r="G290" s="37">
        <f t="shared" si="89"/>
        <v>1580</v>
      </c>
      <c r="H290" s="37"/>
      <c r="I290" s="38"/>
      <c r="J290" s="38"/>
      <c r="K290" s="38"/>
      <c r="L290" s="38"/>
      <c r="M290" s="38">
        <f>2000-50</f>
        <v>1950</v>
      </c>
      <c r="N290" s="38">
        <f>1534+39</f>
        <v>1573</v>
      </c>
      <c r="O290" s="38"/>
      <c r="P290" s="38"/>
      <c r="Q290" s="38">
        <v>7</v>
      </c>
    </row>
    <row r="291" spans="1:19" ht="26.25" hidden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90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90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250607</v>
      </c>
      <c r="G293" s="37">
        <f t="shared" ref="G293:G313" si="91">SUM(I293:Q293)-K293-M293-P293</f>
        <v>252600</v>
      </c>
      <c r="H293" s="37"/>
      <c r="I293" s="36">
        <v>127</v>
      </c>
      <c r="J293" s="36"/>
      <c r="K293" s="36"/>
      <c r="L293" s="36"/>
      <c r="M293" s="48">
        <f>94103+2685+42117+11786+25692+37400+19065+15859</f>
        <v>248707</v>
      </c>
      <c r="N293" s="36">
        <v>250683</v>
      </c>
      <c r="O293" s="36"/>
      <c r="P293" s="48">
        <v>1900</v>
      </c>
      <c r="Q293" s="36">
        <v>1790</v>
      </c>
      <c r="R293" s="44">
        <f>M294+M299+M300+M303+M309+M310</f>
        <v>248707</v>
      </c>
      <c r="S293" s="44">
        <f>R293+P293</f>
        <v>250607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113168</v>
      </c>
      <c r="G294" s="37"/>
      <c r="H294" s="37"/>
      <c r="I294" s="36"/>
      <c r="J294" s="36"/>
      <c r="K294" s="36"/>
      <c r="L294" s="36"/>
      <c r="M294" s="48">
        <f>M295+M296+M297+M298</f>
        <v>113168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69695</v>
      </c>
      <c r="G295" s="37"/>
      <c r="H295" s="37"/>
      <c r="I295" s="36"/>
      <c r="J295" s="36"/>
      <c r="K295" s="36"/>
      <c r="L295" s="36"/>
      <c r="M295" s="38">
        <f>50630+19065</f>
        <v>69695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15745</v>
      </c>
      <c r="G296" s="37"/>
      <c r="H296" s="37"/>
      <c r="I296" s="36"/>
      <c r="J296" s="36"/>
      <c r="K296" s="36"/>
      <c r="L296" s="36"/>
      <c r="M296" s="38">
        <v>15745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57976</v>
      </c>
      <c r="G300" s="54"/>
      <c r="H300" s="54"/>
      <c r="I300" s="48"/>
      <c r="J300" s="48"/>
      <c r="K300" s="48"/>
      <c r="L300" s="48"/>
      <c r="M300" s="48">
        <f>M301+M302</f>
        <v>57976</v>
      </c>
      <c r="N300" s="48"/>
      <c r="O300" s="48"/>
      <c r="P300" s="48"/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36195</v>
      </c>
      <c r="G301" s="37"/>
      <c r="H301" s="37"/>
      <c r="I301" s="36"/>
      <c r="J301" s="36"/>
      <c r="K301" s="36"/>
      <c r="L301" s="36"/>
      <c r="M301" s="38">
        <f>36195</f>
        <v>36195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21781</v>
      </c>
      <c r="G302" s="37"/>
      <c r="H302" s="37"/>
      <c r="I302" s="36"/>
      <c r="J302" s="36"/>
      <c r="K302" s="36"/>
      <c r="L302" s="36"/>
      <c r="M302" s="38">
        <f>5922+15859</f>
        <v>21781</v>
      </c>
      <c r="N302" s="36"/>
      <c r="O302" s="36"/>
      <c r="P302" s="36">
        <v>1900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37400</v>
      </c>
      <c r="G310" s="54"/>
      <c r="H310" s="54"/>
      <c r="I310" s="48"/>
      <c r="J310" s="48"/>
      <c r="K310" s="48"/>
      <c r="L310" s="48"/>
      <c r="M310" s="48">
        <v>37400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9387</v>
      </c>
      <c r="G311" s="37">
        <f t="shared" si="91"/>
        <v>9570</v>
      </c>
      <c r="H311" s="37"/>
      <c r="I311" s="36"/>
      <c r="J311" s="36"/>
      <c r="K311" s="36"/>
      <c r="L311" s="36"/>
      <c r="M311" s="36">
        <v>9387</v>
      </c>
      <c r="N311" s="36">
        <v>9570</v>
      </c>
      <c r="O311" s="36"/>
      <c r="P311" s="36"/>
      <c r="Q311" s="36"/>
    </row>
    <row r="312" spans="1:17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3900</v>
      </c>
      <c r="G312" s="37">
        <f t="shared" si="91"/>
        <v>2940</v>
      </c>
      <c r="H312" s="37"/>
      <c r="I312" s="36"/>
      <c r="J312" s="36"/>
      <c r="K312" s="36"/>
      <c r="L312" s="36"/>
      <c r="M312" s="36">
        <v>3900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6">
        <f>H313+K313+M313+P313</f>
        <v>9038</v>
      </c>
      <c r="G313" s="37">
        <f t="shared" si="91"/>
        <v>5184</v>
      </c>
      <c r="H313" s="37">
        <f>1038+1200</f>
        <v>2238</v>
      </c>
      <c r="I313" s="36"/>
      <c r="J313" s="36"/>
      <c r="K313" s="36">
        <v>1000</v>
      </c>
      <c r="L313" s="36">
        <v>1273</v>
      </c>
      <c r="M313" s="36">
        <f>4700+400+360+240</f>
        <v>5700</v>
      </c>
      <c r="N313" s="36">
        <f>3076-46</f>
        <v>3030</v>
      </c>
      <c r="O313" s="36"/>
      <c r="P313" s="352">
        <v>100</v>
      </c>
      <c r="Q313" s="36">
        <v>881</v>
      </c>
    </row>
    <row r="314" spans="1:17" ht="39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90"/>
        <v>0</v>
      </c>
      <c r="H314" s="19"/>
      <c r="I314" s="19">
        <f t="shared" ref="I314:Q314" si="93">I315+I323+I325+I327+I331</f>
        <v>0</v>
      </c>
      <c r="J314" s="19">
        <f t="shared" si="93"/>
        <v>0</v>
      </c>
      <c r="K314" s="19"/>
      <c r="L314" s="19">
        <f t="shared" si="93"/>
        <v>0</v>
      </c>
      <c r="M314" s="19"/>
      <c r="N314" s="19">
        <f t="shared" si="93"/>
        <v>0</v>
      </c>
      <c r="O314" s="19">
        <f t="shared" si="93"/>
        <v>0</v>
      </c>
      <c r="P314" s="19"/>
      <c r="Q314" s="19">
        <f t="shared" si="93"/>
        <v>0</v>
      </c>
    </row>
    <row r="315" spans="1:17" ht="26.25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90"/>
        <v>0</v>
      </c>
      <c r="H315" s="19"/>
      <c r="I315" s="19">
        <f t="shared" ref="I315:Q315" si="94">SUM(I316:I318)</f>
        <v>0</v>
      </c>
      <c r="J315" s="19">
        <f t="shared" si="94"/>
        <v>0</v>
      </c>
      <c r="K315" s="19"/>
      <c r="L315" s="19">
        <f t="shared" si="94"/>
        <v>0</v>
      </c>
      <c r="M315" s="19"/>
      <c r="N315" s="19">
        <f t="shared" si="94"/>
        <v>0</v>
      </c>
      <c r="O315" s="19">
        <f t="shared" si="94"/>
        <v>0</v>
      </c>
      <c r="P315" s="19"/>
      <c r="Q315" s="19">
        <f t="shared" si="94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90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90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90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26.25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90"/>
        <v>0</v>
      </c>
      <c r="H323" s="19"/>
      <c r="I323" s="19">
        <f t="shared" ref="I323:Q323" si="95">I324</f>
        <v>0</v>
      </c>
      <c r="J323" s="19">
        <f t="shared" si="95"/>
        <v>0</v>
      </c>
      <c r="K323" s="19"/>
      <c r="L323" s="19">
        <f t="shared" si="95"/>
        <v>0</v>
      </c>
      <c r="M323" s="19"/>
      <c r="N323" s="19">
        <f t="shared" si="95"/>
        <v>0</v>
      </c>
      <c r="O323" s="19">
        <f t="shared" si="95"/>
        <v>0</v>
      </c>
      <c r="P323" s="19"/>
      <c r="Q323" s="19">
        <f t="shared" si="95"/>
        <v>0</v>
      </c>
    </row>
    <row r="324" spans="1:17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90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90"/>
        <v>0</v>
      </c>
      <c r="H325" s="19"/>
      <c r="I325" s="19">
        <f t="shared" ref="I325:Q325" si="96">I326</f>
        <v>0</v>
      </c>
      <c r="J325" s="19">
        <f t="shared" si="96"/>
        <v>0</v>
      </c>
      <c r="K325" s="19"/>
      <c r="L325" s="19">
        <f t="shared" si="96"/>
        <v>0</v>
      </c>
      <c r="M325" s="19"/>
      <c r="N325" s="19">
        <f t="shared" si="96"/>
        <v>0</v>
      </c>
      <c r="O325" s="19">
        <f t="shared" si="96"/>
        <v>0</v>
      </c>
      <c r="P325" s="19"/>
      <c r="Q325" s="19">
        <f t="shared" si="96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90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90"/>
        <v>0</v>
      </c>
      <c r="H327" s="19"/>
      <c r="I327" s="19">
        <f t="shared" ref="I327:Q327" si="97">SUM(I328:I330)</f>
        <v>0</v>
      </c>
      <c r="J327" s="19">
        <f t="shared" si="97"/>
        <v>0</v>
      </c>
      <c r="K327" s="19"/>
      <c r="L327" s="19">
        <f t="shared" si="97"/>
        <v>0</v>
      </c>
      <c r="M327" s="19"/>
      <c r="N327" s="19">
        <f t="shared" si="97"/>
        <v>0</v>
      </c>
      <c r="O327" s="19">
        <f t="shared" si="97"/>
        <v>0</v>
      </c>
      <c r="P327" s="19"/>
      <c r="Q327" s="19">
        <f t="shared" si="97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90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90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90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26.25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90"/>
        <v>0</v>
      </c>
      <c r="H331" s="19"/>
      <c r="I331" s="19">
        <f t="shared" ref="I331:Q331" si="98">I332</f>
        <v>0</v>
      </c>
      <c r="J331" s="19">
        <f t="shared" si="98"/>
        <v>0</v>
      </c>
      <c r="K331" s="19"/>
      <c r="L331" s="19">
        <f t="shared" si="98"/>
        <v>0</v>
      </c>
      <c r="M331" s="19"/>
      <c r="N331" s="19">
        <f t="shared" si="98"/>
        <v>0</v>
      </c>
      <c r="O331" s="19">
        <f t="shared" si="98"/>
        <v>0</v>
      </c>
      <c r="P331" s="19"/>
      <c r="Q331" s="19">
        <f t="shared" si="98"/>
        <v>0</v>
      </c>
    </row>
    <row r="332" spans="1:17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90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39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99">F334+F344+F355+F357</f>
        <v>681</v>
      </c>
      <c r="G333" s="19">
        <f t="shared" si="99"/>
        <v>251</v>
      </c>
      <c r="H333" s="19">
        <f t="shared" si="99"/>
        <v>0</v>
      </c>
      <c r="I333" s="19">
        <f t="shared" si="99"/>
        <v>0</v>
      </c>
      <c r="J333" s="19">
        <f t="shared" si="99"/>
        <v>0</v>
      </c>
      <c r="K333" s="19">
        <f t="shared" si="99"/>
        <v>0</v>
      </c>
      <c r="L333" s="19">
        <f t="shared" si="99"/>
        <v>0</v>
      </c>
      <c r="M333" s="19">
        <f t="shared" si="99"/>
        <v>0</v>
      </c>
      <c r="N333" s="19">
        <f t="shared" si="99"/>
        <v>0</v>
      </c>
      <c r="O333" s="19">
        <f t="shared" si="99"/>
        <v>0</v>
      </c>
      <c r="P333" s="19">
        <f t="shared" si="99"/>
        <v>681</v>
      </c>
      <c r="Q333" s="19">
        <f t="shared" si="99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0">SUM(F335:F343)</f>
        <v>681</v>
      </c>
      <c r="G334" s="19">
        <f t="shared" si="100"/>
        <v>251</v>
      </c>
      <c r="H334" s="19">
        <f t="shared" si="100"/>
        <v>0</v>
      </c>
      <c r="I334" s="19">
        <f t="shared" si="100"/>
        <v>0</v>
      </c>
      <c r="J334" s="19">
        <f t="shared" si="100"/>
        <v>0</v>
      </c>
      <c r="K334" s="19">
        <f t="shared" si="100"/>
        <v>0</v>
      </c>
      <c r="L334" s="19">
        <f t="shared" si="100"/>
        <v>0</v>
      </c>
      <c r="M334" s="19">
        <f t="shared" si="100"/>
        <v>0</v>
      </c>
      <c r="N334" s="19">
        <f t="shared" si="100"/>
        <v>0</v>
      </c>
      <c r="O334" s="19">
        <f t="shared" si="100"/>
        <v>0</v>
      </c>
      <c r="P334" s="19">
        <f t="shared" si="100"/>
        <v>681</v>
      </c>
      <c r="Q334" s="19">
        <f t="shared" si="100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90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90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90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90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681</v>
      </c>
      <c r="G339" s="37">
        <f t="shared" ref="G339" si="101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681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90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90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90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90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90"/>
        <v>0</v>
      </c>
      <c r="H344" s="19"/>
      <c r="I344" s="19">
        <f t="shared" ref="I344:Q344" si="102">SUM(I345:I354)</f>
        <v>0</v>
      </c>
      <c r="J344" s="19">
        <f t="shared" si="102"/>
        <v>0</v>
      </c>
      <c r="K344" s="19"/>
      <c r="L344" s="19">
        <f t="shared" si="102"/>
        <v>0</v>
      </c>
      <c r="M344" s="19"/>
      <c r="N344" s="19">
        <f t="shared" si="102"/>
        <v>0</v>
      </c>
      <c r="O344" s="19">
        <f t="shared" si="102"/>
        <v>0</v>
      </c>
      <c r="P344" s="19"/>
      <c r="Q344" s="19">
        <f t="shared" si="102"/>
        <v>0</v>
      </c>
    </row>
    <row r="345" spans="1:17" ht="39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90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90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90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90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90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90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90"/>
        <v>0</v>
      </c>
      <c r="H355" s="19"/>
      <c r="I355" s="19">
        <f t="shared" ref="I355:Q355" si="103">I356</f>
        <v>0</v>
      </c>
      <c r="J355" s="19">
        <f t="shared" si="103"/>
        <v>0</v>
      </c>
      <c r="K355" s="19"/>
      <c r="L355" s="19">
        <f t="shared" si="103"/>
        <v>0</v>
      </c>
      <c r="M355" s="19"/>
      <c r="N355" s="19">
        <f t="shared" si="103"/>
        <v>0</v>
      </c>
      <c r="O355" s="19">
        <f t="shared" si="103"/>
        <v>0</v>
      </c>
      <c r="P355" s="19"/>
      <c r="Q355" s="19">
        <f t="shared" si="103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90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26.25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90"/>
        <v>0</v>
      </c>
      <c r="H357" s="19"/>
      <c r="I357" s="19">
        <f t="shared" ref="I357:Q357" si="104">SUM(I358:I360)</f>
        <v>0</v>
      </c>
      <c r="J357" s="19">
        <f t="shared" si="104"/>
        <v>0</v>
      </c>
      <c r="K357" s="19"/>
      <c r="L357" s="19">
        <f t="shared" si="104"/>
        <v>0</v>
      </c>
      <c r="M357" s="19"/>
      <c r="N357" s="19">
        <f t="shared" si="104"/>
        <v>0</v>
      </c>
      <c r="O357" s="19">
        <f t="shared" si="104"/>
        <v>0</v>
      </c>
      <c r="P357" s="19"/>
      <c r="Q357" s="19">
        <f t="shared" si="104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90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90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90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90"/>
        <v>0</v>
      </c>
      <c r="H361" s="19"/>
      <c r="I361" s="19">
        <f t="shared" ref="I361:Q361" si="105">I362+I365+I368+I371</f>
        <v>0</v>
      </c>
      <c r="J361" s="19">
        <f t="shared" si="105"/>
        <v>0</v>
      </c>
      <c r="K361" s="19"/>
      <c r="L361" s="19">
        <f t="shared" si="105"/>
        <v>0</v>
      </c>
      <c r="M361" s="19"/>
      <c r="N361" s="19">
        <f t="shared" si="105"/>
        <v>0</v>
      </c>
      <c r="O361" s="19">
        <f t="shared" si="105"/>
        <v>0</v>
      </c>
      <c r="P361" s="19"/>
      <c r="Q361" s="19">
        <f t="shared" si="105"/>
        <v>0</v>
      </c>
    </row>
    <row r="362" spans="1:17" ht="51.7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90"/>
        <v>0</v>
      </c>
      <c r="H362" s="19"/>
      <c r="I362" s="19">
        <f t="shared" ref="I362:Q362" si="106">I363+I364</f>
        <v>0</v>
      </c>
      <c r="J362" s="19">
        <f t="shared" si="106"/>
        <v>0</v>
      </c>
      <c r="K362" s="19"/>
      <c r="L362" s="19">
        <f t="shared" si="106"/>
        <v>0</v>
      </c>
      <c r="M362" s="19"/>
      <c r="N362" s="19">
        <f t="shared" si="106"/>
        <v>0</v>
      </c>
      <c r="O362" s="19">
        <f t="shared" si="106"/>
        <v>0</v>
      </c>
      <c r="P362" s="19"/>
      <c r="Q362" s="19">
        <f t="shared" si="106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90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90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39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90"/>
        <v>0</v>
      </c>
      <c r="H365" s="19"/>
      <c r="I365" s="19">
        <f t="shared" ref="I365:Q365" si="107">I366+I367</f>
        <v>0</v>
      </c>
      <c r="J365" s="19">
        <f t="shared" si="107"/>
        <v>0</v>
      </c>
      <c r="K365" s="19"/>
      <c r="L365" s="19">
        <f t="shared" si="107"/>
        <v>0</v>
      </c>
      <c r="M365" s="19"/>
      <c r="N365" s="19">
        <f t="shared" si="107"/>
        <v>0</v>
      </c>
      <c r="O365" s="19">
        <f t="shared" si="107"/>
        <v>0</v>
      </c>
      <c r="P365" s="19"/>
      <c r="Q365" s="19">
        <f t="shared" si="107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90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90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39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90"/>
        <v>0</v>
      </c>
      <c r="H368" s="19"/>
      <c r="I368" s="19">
        <f t="shared" ref="I368:Q368" si="108">I369+I370</f>
        <v>0</v>
      </c>
      <c r="J368" s="19">
        <f t="shared" si="108"/>
        <v>0</v>
      </c>
      <c r="K368" s="19"/>
      <c r="L368" s="19">
        <f t="shared" si="108"/>
        <v>0</v>
      </c>
      <c r="M368" s="19"/>
      <c r="N368" s="19">
        <f t="shared" si="108"/>
        <v>0</v>
      </c>
      <c r="O368" s="19">
        <f t="shared" si="108"/>
        <v>0</v>
      </c>
      <c r="P368" s="19"/>
      <c r="Q368" s="19">
        <f t="shared" si="108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90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90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90"/>
        <v>0</v>
      </c>
      <c r="H371" s="19"/>
      <c r="I371" s="19">
        <f t="shared" ref="I371:Q371" si="109">I372+I373</f>
        <v>0</v>
      </c>
      <c r="J371" s="19">
        <f t="shared" si="109"/>
        <v>0</v>
      </c>
      <c r="K371" s="19"/>
      <c r="L371" s="19">
        <f t="shared" si="109"/>
        <v>0</v>
      </c>
      <c r="M371" s="19"/>
      <c r="N371" s="19">
        <f t="shared" si="109"/>
        <v>0</v>
      </c>
      <c r="O371" s="19">
        <f t="shared" si="109"/>
        <v>0</v>
      </c>
      <c r="P371" s="19"/>
      <c r="Q371" s="19">
        <f t="shared" si="109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90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90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0">F379+F382+F385+F388+F391</f>
        <v>7710</v>
      </c>
      <c r="G374" s="19">
        <f t="shared" si="110"/>
        <v>7410</v>
      </c>
      <c r="H374" s="37">
        <f t="shared" si="110"/>
        <v>0</v>
      </c>
      <c r="I374" s="19">
        <f t="shared" si="110"/>
        <v>0</v>
      </c>
      <c r="J374" s="19">
        <f t="shared" si="110"/>
        <v>0</v>
      </c>
      <c r="K374" s="19">
        <f t="shared" si="110"/>
        <v>0</v>
      </c>
      <c r="L374" s="19">
        <f t="shared" si="110"/>
        <v>0</v>
      </c>
      <c r="M374" s="19">
        <f t="shared" si="110"/>
        <v>7710</v>
      </c>
      <c r="N374" s="19">
        <f t="shared" si="110"/>
        <v>7410</v>
      </c>
      <c r="O374" s="19">
        <f t="shared" si="110"/>
        <v>0</v>
      </c>
      <c r="P374" s="19">
        <f t="shared" si="110"/>
        <v>0</v>
      </c>
      <c r="Q374" s="19">
        <f t="shared" si="110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90"/>
        <v>0</v>
      </c>
      <c r="H379" s="19"/>
      <c r="I379" s="19">
        <f t="shared" ref="I379:Q379" si="111">I380+I381</f>
        <v>0</v>
      </c>
      <c r="J379" s="19">
        <f t="shared" si="111"/>
        <v>0</v>
      </c>
      <c r="K379" s="19"/>
      <c r="L379" s="19">
        <f t="shared" si="111"/>
        <v>0</v>
      </c>
      <c r="M379" s="19"/>
      <c r="N379" s="19">
        <f t="shared" si="111"/>
        <v>0</v>
      </c>
      <c r="O379" s="19">
        <f t="shared" si="111"/>
        <v>0</v>
      </c>
      <c r="P379" s="19"/>
      <c r="Q379" s="19">
        <f t="shared" si="111"/>
        <v>0</v>
      </c>
    </row>
    <row r="380" spans="1:17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90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90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26.25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90"/>
        <v>0</v>
      </c>
      <c r="H382" s="19"/>
      <c r="I382" s="19">
        <f t="shared" ref="I382:Q382" si="112">I383+I384</f>
        <v>0</v>
      </c>
      <c r="J382" s="19">
        <f t="shared" si="112"/>
        <v>0</v>
      </c>
      <c r="K382" s="19"/>
      <c r="L382" s="19">
        <f t="shared" si="112"/>
        <v>0</v>
      </c>
      <c r="M382" s="19"/>
      <c r="N382" s="19">
        <f t="shared" si="112"/>
        <v>0</v>
      </c>
      <c r="O382" s="19">
        <f t="shared" si="112"/>
        <v>0</v>
      </c>
      <c r="P382" s="19"/>
      <c r="Q382" s="19">
        <f t="shared" si="112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90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90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26.25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3">SUM(I385:Q385)</f>
        <v>0</v>
      </c>
      <c r="H385" s="19"/>
      <c r="I385" s="19">
        <f t="shared" ref="I385:Q385" si="114">I386+I387</f>
        <v>0</v>
      </c>
      <c r="J385" s="19">
        <f t="shared" si="114"/>
        <v>0</v>
      </c>
      <c r="K385" s="19"/>
      <c r="L385" s="19">
        <f t="shared" si="114"/>
        <v>0</v>
      </c>
      <c r="M385" s="19"/>
      <c r="N385" s="19">
        <f t="shared" si="114"/>
        <v>0</v>
      </c>
      <c r="O385" s="19">
        <f t="shared" si="114"/>
        <v>0</v>
      </c>
      <c r="P385" s="19"/>
      <c r="Q385" s="19">
        <f t="shared" si="114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3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3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39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3"/>
        <v>0</v>
      </c>
      <c r="H388" s="19"/>
      <c r="I388" s="19">
        <f t="shared" ref="I388:Q388" si="115">I389+I390</f>
        <v>0</v>
      </c>
      <c r="J388" s="19">
        <f t="shared" si="115"/>
        <v>0</v>
      </c>
      <c r="K388" s="19"/>
      <c r="L388" s="19">
        <f t="shared" si="115"/>
        <v>0</v>
      </c>
      <c r="M388" s="19"/>
      <c r="N388" s="19">
        <f t="shared" si="115"/>
        <v>0</v>
      </c>
      <c r="O388" s="19">
        <f t="shared" si="115"/>
        <v>0</v>
      </c>
      <c r="P388" s="19"/>
      <c r="Q388" s="19">
        <f t="shared" si="115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3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26.25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3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6">F392+F393</f>
        <v>7710</v>
      </c>
      <c r="G391" s="19">
        <f t="shared" si="116"/>
        <v>7410</v>
      </c>
      <c r="H391" s="19">
        <f t="shared" si="116"/>
        <v>0</v>
      </c>
      <c r="I391" s="19">
        <f t="shared" si="116"/>
        <v>0</v>
      </c>
      <c r="J391" s="19">
        <f t="shared" si="116"/>
        <v>0</v>
      </c>
      <c r="K391" s="19">
        <f t="shared" si="116"/>
        <v>0</v>
      </c>
      <c r="L391" s="19">
        <f t="shared" si="116"/>
        <v>0</v>
      </c>
      <c r="M391" s="19">
        <f t="shared" si="116"/>
        <v>7710</v>
      </c>
      <c r="N391" s="19">
        <f t="shared" si="116"/>
        <v>7410</v>
      </c>
      <c r="O391" s="19">
        <f t="shared" si="116"/>
        <v>0</v>
      </c>
      <c r="P391" s="19">
        <f t="shared" si="116"/>
        <v>0</v>
      </c>
      <c r="Q391" s="19">
        <f t="shared" si="116"/>
        <v>0</v>
      </c>
    </row>
    <row r="392" spans="1:17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7710</v>
      </c>
      <c r="G392" s="37">
        <f t="shared" ref="G392" si="117">SUM(I392:Q392)-K392-M392-P392</f>
        <v>7410</v>
      </c>
      <c r="H392" s="37"/>
      <c r="I392" s="36"/>
      <c r="J392" s="36"/>
      <c r="K392" s="36"/>
      <c r="L392" s="36"/>
      <c r="M392" s="36">
        <v>7710</v>
      </c>
      <c r="N392" s="36">
        <v>7410</v>
      </c>
      <c r="O392" s="36"/>
      <c r="P392" s="36"/>
      <c r="Q392" s="36"/>
    </row>
    <row r="393" spans="1:17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3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3"/>
        <v>0</v>
      </c>
      <c r="H394" s="19"/>
      <c r="I394" s="19">
        <f t="shared" ref="I394:Q394" si="118">I395+I399</f>
        <v>0</v>
      </c>
      <c r="J394" s="19">
        <f t="shared" si="118"/>
        <v>0</v>
      </c>
      <c r="K394" s="19"/>
      <c r="L394" s="19">
        <f t="shared" si="118"/>
        <v>0</v>
      </c>
      <c r="M394" s="19"/>
      <c r="N394" s="19">
        <f t="shared" si="118"/>
        <v>0</v>
      </c>
      <c r="O394" s="19">
        <f t="shared" si="118"/>
        <v>0</v>
      </c>
      <c r="P394" s="19"/>
      <c r="Q394" s="19">
        <f t="shared" si="118"/>
        <v>0</v>
      </c>
    </row>
    <row r="395" spans="1:17" ht="51.7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3"/>
        <v>0</v>
      </c>
      <c r="H395" s="19"/>
      <c r="I395" s="19">
        <f t="shared" ref="I395:Q395" si="119">SUM(I396:I398)</f>
        <v>0</v>
      </c>
      <c r="J395" s="19">
        <f t="shared" si="119"/>
        <v>0</v>
      </c>
      <c r="K395" s="19"/>
      <c r="L395" s="19">
        <f t="shared" si="119"/>
        <v>0</v>
      </c>
      <c r="M395" s="19"/>
      <c r="N395" s="19">
        <f t="shared" si="119"/>
        <v>0</v>
      </c>
      <c r="O395" s="19">
        <f t="shared" si="119"/>
        <v>0</v>
      </c>
      <c r="P395" s="19"/>
      <c r="Q395" s="19">
        <f t="shared" si="119"/>
        <v>0</v>
      </c>
    </row>
    <row r="396" spans="1:17" ht="26.25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3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3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39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3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3"/>
        <v>0</v>
      </c>
      <c r="H399" s="19"/>
      <c r="I399" s="19">
        <f t="shared" ref="I399:Q399" si="120">SUM(I404:I412)</f>
        <v>0</v>
      </c>
      <c r="J399" s="19">
        <f t="shared" si="120"/>
        <v>0</v>
      </c>
      <c r="K399" s="19"/>
      <c r="L399" s="19">
        <f t="shared" si="120"/>
        <v>0</v>
      </c>
      <c r="M399" s="19"/>
      <c r="N399" s="19">
        <f t="shared" si="120"/>
        <v>0</v>
      </c>
      <c r="O399" s="19">
        <f t="shared" si="120"/>
        <v>0</v>
      </c>
      <c r="P399" s="19"/>
      <c r="Q399" s="19">
        <f t="shared" si="120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3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3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3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3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3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3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3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3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3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26.25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1">F414+F417+F421+F423+F426+F432</f>
        <v>135</v>
      </c>
      <c r="G413" s="19">
        <f t="shared" si="121"/>
        <v>108</v>
      </c>
      <c r="H413" s="19">
        <f t="shared" si="121"/>
        <v>0</v>
      </c>
      <c r="I413" s="19">
        <f t="shared" si="121"/>
        <v>0</v>
      </c>
      <c r="J413" s="19">
        <f t="shared" si="121"/>
        <v>0</v>
      </c>
      <c r="K413" s="19">
        <f t="shared" si="121"/>
        <v>0</v>
      </c>
      <c r="L413" s="19">
        <f t="shared" si="121"/>
        <v>0</v>
      </c>
      <c r="M413" s="19">
        <f t="shared" si="121"/>
        <v>0</v>
      </c>
      <c r="N413" s="19">
        <f t="shared" si="121"/>
        <v>8</v>
      </c>
      <c r="O413" s="19">
        <f t="shared" si="121"/>
        <v>0</v>
      </c>
      <c r="P413" s="19">
        <f t="shared" si="121"/>
        <v>135</v>
      </c>
      <c r="Q413" s="19">
        <f t="shared" si="121"/>
        <v>100</v>
      </c>
    </row>
    <row r="414" spans="1:17" ht="26.25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2">F415+F416</f>
        <v>35</v>
      </c>
      <c r="G414" s="19">
        <f t="shared" si="122"/>
        <v>35</v>
      </c>
      <c r="H414" s="19">
        <f t="shared" si="122"/>
        <v>0</v>
      </c>
      <c r="I414" s="19">
        <f t="shared" si="122"/>
        <v>0</v>
      </c>
      <c r="J414" s="19">
        <f t="shared" si="122"/>
        <v>0</v>
      </c>
      <c r="K414" s="19">
        <f t="shared" si="122"/>
        <v>0</v>
      </c>
      <c r="L414" s="19">
        <f t="shared" si="122"/>
        <v>0</v>
      </c>
      <c r="M414" s="19">
        <f t="shared" si="122"/>
        <v>0</v>
      </c>
      <c r="N414" s="19">
        <f t="shared" si="122"/>
        <v>0</v>
      </c>
      <c r="O414" s="19">
        <f t="shared" si="122"/>
        <v>0</v>
      </c>
      <c r="P414" s="19">
        <f t="shared" si="122"/>
        <v>35</v>
      </c>
      <c r="Q414" s="19">
        <f t="shared" si="122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3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3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17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4">SUM(F418:F420)</f>
        <v>80</v>
      </c>
      <c r="G417" s="19">
        <f t="shared" si="124"/>
        <v>58</v>
      </c>
      <c r="H417" s="19">
        <f t="shared" si="124"/>
        <v>0</v>
      </c>
      <c r="I417" s="19">
        <f t="shared" si="124"/>
        <v>0</v>
      </c>
      <c r="J417" s="19">
        <f t="shared" si="124"/>
        <v>0</v>
      </c>
      <c r="K417" s="19">
        <f t="shared" si="124"/>
        <v>0</v>
      </c>
      <c r="L417" s="19">
        <f t="shared" si="124"/>
        <v>0</v>
      </c>
      <c r="M417" s="19">
        <f t="shared" si="124"/>
        <v>0</v>
      </c>
      <c r="N417" s="19">
        <f t="shared" si="124"/>
        <v>8</v>
      </c>
      <c r="O417" s="19">
        <f t="shared" si="124"/>
        <v>0</v>
      </c>
      <c r="P417" s="19">
        <f t="shared" si="124"/>
        <v>80</v>
      </c>
      <c r="Q417" s="19">
        <f t="shared" si="124"/>
        <v>50</v>
      </c>
    </row>
    <row r="418" spans="1:17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20</v>
      </c>
      <c r="G418" s="37">
        <f t="shared" ref="G418:G419" si="125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20</v>
      </c>
      <c r="Q418" s="36">
        <v>9</v>
      </c>
    </row>
    <row r="419" spans="1:17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60</v>
      </c>
      <c r="G419" s="37">
        <f t="shared" si="125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60</v>
      </c>
      <c r="Q419" s="36">
        <v>41</v>
      </c>
    </row>
    <row r="420" spans="1:17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0</v>
      </c>
      <c r="G420" s="37">
        <f t="shared" si="113"/>
        <v>0</v>
      </c>
      <c r="H420" s="37"/>
      <c r="I420" s="36"/>
      <c r="J420" s="36"/>
      <c r="K420" s="36"/>
      <c r="L420" s="36"/>
      <c r="M420" s="36"/>
      <c r="N420" s="36"/>
      <c r="O420" s="36"/>
      <c r="P420" s="36"/>
      <c r="Q420" s="36"/>
    </row>
    <row r="421" spans="1:17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6">F422</f>
        <v>20</v>
      </c>
      <c r="G421" s="19">
        <f t="shared" si="126"/>
        <v>15</v>
      </c>
      <c r="H421" s="19">
        <f t="shared" si="126"/>
        <v>0</v>
      </c>
      <c r="I421" s="19">
        <f t="shared" si="126"/>
        <v>0</v>
      </c>
      <c r="J421" s="19">
        <f t="shared" si="126"/>
        <v>0</v>
      </c>
      <c r="K421" s="19">
        <f t="shared" si="126"/>
        <v>0</v>
      </c>
      <c r="L421" s="19">
        <f t="shared" si="126"/>
        <v>0</v>
      </c>
      <c r="M421" s="19">
        <f t="shared" si="126"/>
        <v>0</v>
      </c>
      <c r="N421" s="19">
        <f t="shared" si="126"/>
        <v>0</v>
      </c>
      <c r="O421" s="19">
        <f t="shared" si="126"/>
        <v>0</v>
      </c>
      <c r="P421" s="19">
        <f t="shared" si="126"/>
        <v>20</v>
      </c>
      <c r="Q421" s="19">
        <f t="shared" si="126"/>
        <v>15</v>
      </c>
    </row>
    <row r="422" spans="1:17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20</v>
      </c>
      <c r="G422" s="37">
        <f t="shared" ref="G422" si="127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20</v>
      </c>
      <c r="Q422" s="36">
        <v>15</v>
      </c>
    </row>
    <row r="423" spans="1:17" ht="64.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3"/>
        <v>0</v>
      </c>
      <c r="H423" s="19"/>
      <c r="I423" s="19">
        <f t="shared" ref="I423:Q423" si="128">I424+I425</f>
        <v>0</v>
      </c>
      <c r="J423" s="19">
        <f t="shared" si="128"/>
        <v>0</v>
      </c>
      <c r="K423" s="19"/>
      <c r="L423" s="19">
        <f t="shared" si="128"/>
        <v>0</v>
      </c>
      <c r="M423" s="19"/>
      <c r="N423" s="19">
        <f t="shared" si="128"/>
        <v>0</v>
      </c>
      <c r="O423" s="19">
        <f t="shared" si="128"/>
        <v>0</v>
      </c>
      <c r="P423" s="19"/>
      <c r="Q423" s="19">
        <f t="shared" si="128"/>
        <v>0</v>
      </c>
    </row>
    <row r="424" spans="1:17" ht="26.25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3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17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3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17" ht="39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3"/>
        <v>0</v>
      </c>
      <c r="H426" s="19"/>
      <c r="I426" s="19">
        <f t="shared" ref="I426:Q426" si="129">I427</f>
        <v>0</v>
      </c>
      <c r="J426" s="19">
        <f t="shared" si="129"/>
        <v>0</v>
      </c>
      <c r="K426" s="19"/>
      <c r="L426" s="19">
        <f t="shared" si="129"/>
        <v>0</v>
      </c>
      <c r="M426" s="19"/>
      <c r="N426" s="19">
        <f t="shared" si="129"/>
        <v>0</v>
      </c>
      <c r="O426" s="19">
        <f t="shared" si="129"/>
        <v>0</v>
      </c>
      <c r="P426" s="19"/>
      <c r="Q426" s="19">
        <f t="shared" si="129"/>
        <v>0</v>
      </c>
    </row>
    <row r="427" spans="1:17" ht="26.25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3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17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17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17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17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17" ht="51.75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3"/>
        <v>0</v>
      </c>
      <c r="H432" s="19"/>
      <c r="I432" s="19">
        <f t="shared" ref="I432:Q432" si="130">I433</f>
        <v>0</v>
      </c>
      <c r="J432" s="19">
        <f t="shared" si="130"/>
        <v>0</v>
      </c>
      <c r="K432" s="19"/>
      <c r="L432" s="19">
        <f t="shared" si="130"/>
        <v>0</v>
      </c>
      <c r="M432" s="19"/>
      <c r="N432" s="19">
        <f t="shared" si="130"/>
        <v>0</v>
      </c>
      <c r="O432" s="19">
        <f t="shared" si="130"/>
        <v>0</v>
      </c>
      <c r="P432" s="19"/>
      <c r="Q432" s="19">
        <f t="shared" si="130"/>
        <v>0</v>
      </c>
    </row>
    <row r="433" spans="1:22" ht="39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3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39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1">F435+F458+F471+F474+F482</f>
        <v>25395</v>
      </c>
      <c r="G434" s="19">
        <f t="shared" si="131"/>
        <v>17163</v>
      </c>
      <c r="H434" s="19">
        <f t="shared" si="131"/>
        <v>20042</v>
      </c>
      <c r="I434" s="19">
        <f t="shared" si="131"/>
        <v>15250</v>
      </c>
      <c r="J434" s="19">
        <f t="shared" si="131"/>
        <v>0</v>
      </c>
      <c r="K434" s="19">
        <f t="shared" si="131"/>
        <v>0</v>
      </c>
      <c r="L434" s="19">
        <f t="shared" si="131"/>
        <v>0</v>
      </c>
      <c r="M434" s="19">
        <f t="shared" si="131"/>
        <v>0</v>
      </c>
      <c r="N434" s="19">
        <f t="shared" si="131"/>
        <v>0</v>
      </c>
      <c r="O434" s="19">
        <f t="shared" si="131"/>
        <v>0</v>
      </c>
      <c r="P434" s="19">
        <f t="shared" si="131"/>
        <v>5353</v>
      </c>
      <c r="Q434" s="19">
        <f t="shared" si="131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2">F436+F441+F452+F454+F456</f>
        <v>25395</v>
      </c>
      <c r="G435" s="19">
        <f t="shared" si="132"/>
        <v>17163</v>
      </c>
      <c r="H435" s="19">
        <f t="shared" si="132"/>
        <v>20042</v>
      </c>
      <c r="I435" s="19">
        <f t="shared" si="132"/>
        <v>15250</v>
      </c>
      <c r="J435" s="19">
        <f t="shared" si="132"/>
        <v>0</v>
      </c>
      <c r="K435" s="19">
        <f t="shared" si="132"/>
        <v>0</v>
      </c>
      <c r="L435" s="19">
        <f t="shared" si="132"/>
        <v>0</v>
      </c>
      <c r="M435" s="19">
        <f t="shared" si="132"/>
        <v>0</v>
      </c>
      <c r="N435" s="19">
        <f t="shared" si="132"/>
        <v>0</v>
      </c>
      <c r="O435" s="19">
        <f t="shared" si="132"/>
        <v>0</v>
      </c>
      <c r="P435" s="19">
        <f t="shared" si="132"/>
        <v>5353</v>
      </c>
      <c r="Q435" s="19">
        <f t="shared" si="132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3">SUM(F437:F440)</f>
        <v>2124</v>
      </c>
      <c r="G436" s="19">
        <f t="shared" si="133"/>
        <v>1450</v>
      </c>
      <c r="H436" s="19">
        <f t="shared" si="133"/>
        <v>2000</v>
      </c>
      <c r="I436" s="19">
        <f t="shared" si="133"/>
        <v>1450</v>
      </c>
      <c r="J436" s="19">
        <f t="shared" si="133"/>
        <v>0</v>
      </c>
      <c r="K436" s="19">
        <f t="shared" si="133"/>
        <v>0</v>
      </c>
      <c r="L436" s="19">
        <f t="shared" si="133"/>
        <v>0</v>
      </c>
      <c r="M436" s="19">
        <f t="shared" si="133"/>
        <v>0</v>
      </c>
      <c r="N436" s="19">
        <f t="shared" si="133"/>
        <v>0</v>
      </c>
      <c r="O436" s="19">
        <f t="shared" si="133"/>
        <v>0</v>
      </c>
      <c r="P436" s="19">
        <f t="shared" si="133"/>
        <v>124</v>
      </c>
      <c r="Q436" s="19">
        <f t="shared" si="133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3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3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18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2124</v>
      </c>
      <c r="G439" s="37">
        <f t="shared" ref="G439" si="134">SUM(I439:Q439)-K439-M439-P439</f>
        <v>1450</v>
      </c>
      <c r="H439" s="37">
        <v>2000</v>
      </c>
      <c r="I439" s="36">
        <v>1450</v>
      </c>
      <c r="J439" s="36"/>
      <c r="K439" s="36"/>
      <c r="L439" s="36"/>
      <c r="M439" s="36"/>
      <c r="N439" s="36"/>
      <c r="O439" s="36"/>
      <c r="P439" s="36">
        <v>124</v>
      </c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3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5">SUM(F442:F451)</f>
        <v>23171</v>
      </c>
      <c r="G441" s="19">
        <f t="shared" si="135"/>
        <v>15613</v>
      </c>
      <c r="H441" s="19">
        <f t="shared" si="135"/>
        <v>18042</v>
      </c>
      <c r="I441" s="19">
        <f t="shared" si="135"/>
        <v>13800</v>
      </c>
      <c r="J441" s="19">
        <f t="shared" si="135"/>
        <v>0</v>
      </c>
      <c r="K441" s="19">
        <f t="shared" si="135"/>
        <v>0</v>
      </c>
      <c r="L441" s="19">
        <f t="shared" si="135"/>
        <v>0</v>
      </c>
      <c r="M441" s="19">
        <f t="shared" si="135"/>
        <v>0</v>
      </c>
      <c r="N441" s="19">
        <f t="shared" si="135"/>
        <v>0</v>
      </c>
      <c r="O441" s="19">
        <f t="shared" si="135"/>
        <v>0</v>
      </c>
      <c r="P441" s="19">
        <f t="shared" si="135"/>
        <v>5129</v>
      </c>
      <c r="Q441" s="19">
        <f t="shared" si="135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3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3848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>
        <f>3960-112</f>
        <v>3848</v>
      </c>
      <c r="Q443" s="36"/>
    </row>
    <row r="444" spans="1:22" x14ac:dyDescent="0.2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1166</v>
      </c>
      <c r="G444" s="37">
        <f t="shared" ref="G444" si="136">SUM(I444:Q444)-K444-M444-P444</f>
        <v>1258</v>
      </c>
      <c r="H444" s="37">
        <v>42</v>
      </c>
      <c r="I444" s="36"/>
      <c r="J444" s="36"/>
      <c r="K444" s="36"/>
      <c r="L444" s="36"/>
      <c r="M444" s="36"/>
      <c r="N444" s="36"/>
      <c r="O444" s="36"/>
      <c r="P444" s="36">
        <f>2000-221-559-96</f>
        <v>1124</v>
      </c>
      <c r="Q444" s="36">
        <v>1258</v>
      </c>
      <c r="R444" s="12">
        <v>809</v>
      </c>
      <c r="S444" s="12">
        <v>1124</v>
      </c>
      <c r="T444" s="12">
        <f>S444-R444</f>
        <v>315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3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3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18157</v>
      </c>
      <c r="G447" s="37">
        <f t="shared" ref="G447" si="137">SUM(I447:Q447)-K447-M447-P447</f>
        <v>14355</v>
      </c>
      <c r="H447" s="37">
        <f>20000-2000</f>
        <v>18000</v>
      </c>
      <c r="I447" s="36">
        <v>13800</v>
      </c>
      <c r="J447" s="36"/>
      <c r="K447" s="36"/>
      <c r="L447" s="36"/>
      <c r="M447" s="36"/>
      <c r="N447" s="36"/>
      <c r="O447" s="36"/>
      <c r="P447" s="38">
        <v>157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3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3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3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3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3"/>
        <v>0</v>
      </c>
      <c r="H452" s="19"/>
      <c r="I452" s="19">
        <f t="shared" ref="I452:Q452" si="138">I453</f>
        <v>0</v>
      </c>
      <c r="J452" s="19">
        <f t="shared" si="138"/>
        <v>0</v>
      </c>
      <c r="K452" s="19"/>
      <c r="L452" s="19">
        <f t="shared" si="138"/>
        <v>0</v>
      </c>
      <c r="M452" s="19"/>
      <c r="N452" s="19">
        <f t="shared" si="138"/>
        <v>0</v>
      </c>
      <c r="O452" s="19">
        <f t="shared" si="138"/>
        <v>0</v>
      </c>
      <c r="P452" s="19"/>
      <c r="Q452" s="19">
        <f t="shared" si="138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3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3"/>
        <v>0</v>
      </c>
      <c r="H454" s="19"/>
      <c r="I454" s="19">
        <f t="shared" ref="I454:Q454" si="139">I455</f>
        <v>0</v>
      </c>
      <c r="J454" s="19">
        <f t="shared" si="139"/>
        <v>0</v>
      </c>
      <c r="K454" s="19"/>
      <c r="L454" s="19">
        <f t="shared" si="139"/>
        <v>0</v>
      </c>
      <c r="M454" s="19"/>
      <c r="N454" s="19">
        <f t="shared" si="139"/>
        <v>0</v>
      </c>
      <c r="O454" s="19">
        <f t="shared" si="139"/>
        <v>0</v>
      </c>
      <c r="P454" s="19"/>
      <c r="Q454" s="19">
        <f t="shared" si="139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3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0">F457</f>
        <v>100</v>
      </c>
      <c r="G456" s="19">
        <f t="shared" si="140"/>
        <v>100</v>
      </c>
      <c r="H456" s="19">
        <f t="shared" si="140"/>
        <v>0</v>
      </c>
      <c r="I456" s="19">
        <f t="shared" si="140"/>
        <v>0</v>
      </c>
      <c r="J456" s="19">
        <f t="shared" si="140"/>
        <v>0</v>
      </c>
      <c r="K456" s="19">
        <f t="shared" si="140"/>
        <v>0</v>
      </c>
      <c r="L456" s="19">
        <f t="shared" si="140"/>
        <v>0</v>
      </c>
      <c r="M456" s="19">
        <f t="shared" si="140"/>
        <v>0</v>
      </c>
      <c r="N456" s="19">
        <f t="shared" si="140"/>
        <v>0</v>
      </c>
      <c r="O456" s="19">
        <f t="shared" si="140"/>
        <v>0</v>
      </c>
      <c r="P456" s="19">
        <f t="shared" si="140"/>
        <v>100</v>
      </c>
      <c r="Q456" s="19">
        <f t="shared" si="140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100</v>
      </c>
      <c r="G457" s="37">
        <f t="shared" si="113"/>
        <v>100</v>
      </c>
      <c r="H457" s="37"/>
      <c r="I457" s="36"/>
      <c r="J457" s="36"/>
      <c r="K457" s="36"/>
      <c r="L457" s="36"/>
      <c r="M457" s="36"/>
      <c r="N457" s="36"/>
      <c r="O457" s="36"/>
      <c r="P457" s="36">
        <v>100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1">SUM(I458:Q458)</f>
        <v>0</v>
      </c>
      <c r="H458" s="19"/>
      <c r="I458" s="19">
        <f t="shared" ref="I458:Q458" si="142">I459+I461+I469</f>
        <v>0</v>
      </c>
      <c r="J458" s="19">
        <f t="shared" si="142"/>
        <v>0</v>
      </c>
      <c r="K458" s="19"/>
      <c r="L458" s="19">
        <f t="shared" si="142"/>
        <v>0</v>
      </c>
      <c r="M458" s="19"/>
      <c r="N458" s="19">
        <f t="shared" si="142"/>
        <v>0</v>
      </c>
      <c r="O458" s="19">
        <f t="shared" si="142"/>
        <v>0</v>
      </c>
      <c r="P458" s="19"/>
      <c r="Q458" s="19">
        <f t="shared" si="142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1"/>
        <v>0</v>
      </c>
      <c r="H459" s="19"/>
      <c r="I459" s="19">
        <f t="shared" ref="I459:Q459" si="143">I460</f>
        <v>0</v>
      </c>
      <c r="J459" s="19">
        <f t="shared" si="143"/>
        <v>0</v>
      </c>
      <c r="K459" s="19"/>
      <c r="L459" s="19">
        <f t="shared" si="143"/>
        <v>0</v>
      </c>
      <c r="M459" s="19"/>
      <c r="N459" s="19">
        <f t="shared" si="143"/>
        <v>0</v>
      </c>
      <c r="O459" s="19">
        <f t="shared" si="143"/>
        <v>0</v>
      </c>
      <c r="P459" s="19"/>
      <c r="Q459" s="19">
        <f t="shared" si="143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1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1"/>
        <v>0</v>
      </c>
      <c r="H461" s="19"/>
      <c r="I461" s="19">
        <f t="shared" ref="I461:Q461" si="144">SUM(I462:I468)</f>
        <v>0</v>
      </c>
      <c r="J461" s="19">
        <f t="shared" si="144"/>
        <v>0</v>
      </c>
      <c r="K461" s="19"/>
      <c r="L461" s="19">
        <f t="shared" si="144"/>
        <v>0</v>
      </c>
      <c r="M461" s="19"/>
      <c r="N461" s="19">
        <f t="shared" si="144"/>
        <v>0</v>
      </c>
      <c r="O461" s="19">
        <f t="shared" si="144"/>
        <v>0</v>
      </c>
      <c r="P461" s="19"/>
      <c r="Q461" s="19">
        <f t="shared" si="144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1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1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1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1"/>
        <v>0</v>
      </c>
      <c r="H469" s="19"/>
      <c r="I469" s="19">
        <f t="shared" ref="I469:Q469" si="145">I470</f>
        <v>0</v>
      </c>
      <c r="J469" s="19">
        <f t="shared" si="145"/>
        <v>0</v>
      </c>
      <c r="K469" s="19"/>
      <c r="L469" s="19">
        <f t="shared" si="145"/>
        <v>0</v>
      </c>
      <c r="M469" s="19"/>
      <c r="N469" s="19">
        <f t="shared" si="145"/>
        <v>0</v>
      </c>
      <c r="O469" s="19">
        <f t="shared" si="145"/>
        <v>0</v>
      </c>
      <c r="P469" s="19"/>
      <c r="Q469" s="19">
        <f t="shared" si="145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1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1"/>
        <v>0</v>
      </c>
      <c r="H471" s="19"/>
      <c r="I471" s="19">
        <f t="shared" ref="I471:Q472" si="146">I472</f>
        <v>0</v>
      </c>
      <c r="J471" s="19">
        <f t="shared" si="146"/>
        <v>0</v>
      </c>
      <c r="K471" s="19"/>
      <c r="L471" s="19">
        <f t="shared" si="146"/>
        <v>0</v>
      </c>
      <c r="M471" s="19"/>
      <c r="N471" s="19">
        <f t="shared" si="146"/>
        <v>0</v>
      </c>
      <c r="O471" s="19">
        <f t="shared" si="146"/>
        <v>0</v>
      </c>
      <c r="P471" s="19"/>
      <c r="Q471" s="19">
        <f t="shared" si="146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1"/>
        <v>0</v>
      </c>
      <c r="H472" s="19"/>
      <c r="I472" s="19">
        <f t="shared" si="146"/>
        <v>0</v>
      </c>
      <c r="J472" s="19">
        <f t="shared" si="146"/>
        <v>0</v>
      </c>
      <c r="K472" s="19"/>
      <c r="L472" s="19">
        <f t="shared" si="146"/>
        <v>0</v>
      </c>
      <c r="M472" s="19"/>
      <c r="N472" s="19">
        <f t="shared" si="146"/>
        <v>0</v>
      </c>
      <c r="O472" s="19">
        <f t="shared" si="146"/>
        <v>0</v>
      </c>
      <c r="P472" s="19"/>
      <c r="Q472" s="19">
        <f t="shared" si="146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1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1"/>
        <v>0</v>
      </c>
      <c r="H474" s="19"/>
      <c r="I474" s="19">
        <f t="shared" ref="I474:Q474" si="147">I475+I477+I479</f>
        <v>0</v>
      </c>
      <c r="J474" s="19">
        <f t="shared" si="147"/>
        <v>0</v>
      </c>
      <c r="K474" s="19"/>
      <c r="L474" s="19">
        <f t="shared" si="147"/>
        <v>0</v>
      </c>
      <c r="M474" s="19"/>
      <c r="N474" s="19">
        <f t="shared" si="147"/>
        <v>0</v>
      </c>
      <c r="O474" s="19">
        <f t="shared" si="147"/>
        <v>0</v>
      </c>
      <c r="P474" s="19"/>
      <c r="Q474" s="19">
        <f t="shared" si="147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1"/>
        <v>0</v>
      </c>
      <c r="H475" s="19"/>
      <c r="I475" s="19">
        <f t="shared" ref="I475:Q475" si="148">I476</f>
        <v>0</v>
      </c>
      <c r="J475" s="19">
        <f t="shared" si="148"/>
        <v>0</v>
      </c>
      <c r="K475" s="19"/>
      <c r="L475" s="19">
        <f t="shared" si="148"/>
        <v>0</v>
      </c>
      <c r="M475" s="19"/>
      <c r="N475" s="19">
        <f t="shared" si="148"/>
        <v>0</v>
      </c>
      <c r="O475" s="19">
        <f t="shared" si="148"/>
        <v>0</v>
      </c>
      <c r="P475" s="19"/>
      <c r="Q475" s="19">
        <f t="shared" si="148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1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1"/>
        <v>0</v>
      </c>
      <c r="H477" s="19"/>
      <c r="I477" s="19">
        <f t="shared" ref="I477:Q477" si="149">I478</f>
        <v>0</v>
      </c>
      <c r="J477" s="19">
        <f t="shared" si="149"/>
        <v>0</v>
      </c>
      <c r="K477" s="19"/>
      <c r="L477" s="19">
        <f t="shared" si="149"/>
        <v>0</v>
      </c>
      <c r="M477" s="19"/>
      <c r="N477" s="19">
        <f t="shared" si="149"/>
        <v>0</v>
      </c>
      <c r="O477" s="19">
        <f t="shared" si="149"/>
        <v>0</v>
      </c>
      <c r="P477" s="19"/>
      <c r="Q477" s="19">
        <f t="shared" si="149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1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1"/>
        <v>0</v>
      </c>
      <c r="H479" s="19"/>
      <c r="I479" s="19">
        <f t="shared" ref="I479:Q479" si="150">I480+I481</f>
        <v>0</v>
      </c>
      <c r="J479" s="19">
        <f t="shared" si="150"/>
        <v>0</v>
      </c>
      <c r="K479" s="19"/>
      <c r="L479" s="19">
        <f t="shared" si="150"/>
        <v>0</v>
      </c>
      <c r="M479" s="19"/>
      <c r="N479" s="19">
        <f t="shared" si="150"/>
        <v>0</v>
      </c>
      <c r="O479" s="19">
        <f t="shared" si="150"/>
        <v>0</v>
      </c>
      <c r="P479" s="19"/>
      <c r="Q479" s="19">
        <f t="shared" si="150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1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1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64.5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1"/>
        <v>0</v>
      </c>
      <c r="H482" s="19"/>
      <c r="I482" s="19">
        <f t="shared" ref="I482:Q483" si="151">I483</f>
        <v>0</v>
      </c>
      <c r="J482" s="19">
        <f t="shared" si="151"/>
        <v>0</v>
      </c>
      <c r="K482" s="19"/>
      <c r="L482" s="19">
        <f t="shared" si="151"/>
        <v>0</v>
      </c>
      <c r="M482" s="19"/>
      <c r="N482" s="19">
        <f t="shared" si="151"/>
        <v>0</v>
      </c>
      <c r="O482" s="19">
        <f t="shared" si="151"/>
        <v>0</v>
      </c>
      <c r="P482" s="19"/>
      <c r="Q482" s="19">
        <f t="shared" si="151"/>
        <v>0</v>
      </c>
    </row>
    <row r="483" spans="1:17" ht="64.5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1"/>
        <v>0</v>
      </c>
      <c r="H483" s="19"/>
      <c r="I483" s="19">
        <f t="shared" si="151"/>
        <v>0</v>
      </c>
      <c r="J483" s="19">
        <f t="shared" si="151"/>
        <v>0</v>
      </c>
      <c r="K483" s="19"/>
      <c r="L483" s="19">
        <f t="shared" si="151"/>
        <v>0</v>
      </c>
      <c r="M483" s="19"/>
      <c r="N483" s="19">
        <f t="shared" si="151"/>
        <v>0</v>
      </c>
      <c r="O483" s="19">
        <f t="shared" si="151"/>
        <v>0</v>
      </c>
      <c r="P483" s="19"/>
      <c r="Q483" s="19">
        <f t="shared" si="151"/>
        <v>0</v>
      </c>
    </row>
    <row r="484" spans="1:17" ht="39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1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39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1"/>
        <v>0</v>
      </c>
      <c r="H485" s="19"/>
      <c r="I485" s="19">
        <f t="shared" ref="I485:Q485" si="152">I486+I515</f>
        <v>0</v>
      </c>
      <c r="J485" s="19">
        <f t="shared" si="152"/>
        <v>0</v>
      </c>
      <c r="K485" s="19"/>
      <c r="L485" s="19">
        <f t="shared" si="152"/>
        <v>0</v>
      </c>
      <c r="M485" s="19"/>
      <c r="N485" s="19">
        <f t="shared" si="152"/>
        <v>0</v>
      </c>
      <c r="O485" s="19">
        <f t="shared" si="152"/>
        <v>0</v>
      </c>
      <c r="P485" s="19"/>
      <c r="Q485" s="19">
        <f t="shared" si="152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1"/>
        <v>0</v>
      </c>
      <c r="H486" s="19"/>
      <c r="I486" s="19">
        <f t="shared" ref="I486:Q486" si="153">I487+I501+I509+I511+I513</f>
        <v>0</v>
      </c>
      <c r="J486" s="19">
        <f t="shared" si="153"/>
        <v>0</v>
      </c>
      <c r="K486" s="19"/>
      <c r="L486" s="19">
        <f t="shared" si="153"/>
        <v>0</v>
      </c>
      <c r="M486" s="19"/>
      <c r="N486" s="19">
        <f t="shared" si="153"/>
        <v>0</v>
      </c>
      <c r="O486" s="19">
        <f t="shared" si="153"/>
        <v>0</v>
      </c>
      <c r="P486" s="19"/>
      <c r="Q486" s="19">
        <f t="shared" si="153"/>
        <v>0</v>
      </c>
    </row>
    <row r="487" spans="1:17" ht="26.25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1"/>
        <v>0</v>
      </c>
      <c r="H487" s="19"/>
      <c r="I487" s="19">
        <f t="shared" ref="I487:Q487" si="154">SUM(I488:I500)</f>
        <v>0</v>
      </c>
      <c r="J487" s="19">
        <f t="shared" si="154"/>
        <v>0</v>
      </c>
      <c r="K487" s="19"/>
      <c r="L487" s="19">
        <f t="shared" si="154"/>
        <v>0</v>
      </c>
      <c r="M487" s="19"/>
      <c r="N487" s="19">
        <f t="shared" si="154"/>
        <v>0</v>
      </c>
      <c r="O487" s="19">
        <f t="shared" si="154"/>
        <v>0</v>
      </c>
      <c r="P487" s="19"/>
      <c r="Q487" s="19">
        <f t="shared" si="154"/>
        <v>0</v>
      </c>
    </row>
    <row r="488" spans="1:17" ht="26.25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1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1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26.25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1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1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1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1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1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1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1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26.25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1"/>
        <v>0</v>
      </c>
      <c r="H501" s="19"/>
      <c r="I501" s="19">
        <f t="shared" ref="I501:Q501" si="155">SUM(I502:I508)</f>
        <v>0</v>
      </c>
      <c r="J501" s="19">
        <f t="shared" si="155"/>
        <v>0</v>
      </c>
      <c r="K501" s="19"/>
      <c r="L501" s="19">
        <f t="shared" si="155"/>
        <v>0</v>
      </c>
      <c r="M501" s="19"/>
      <c r="N501" s="19">
        <f t="shared" si="155"/>
        <v>0</v>
      </c>
      <c r="O501" s="19">
        <f t="shared" si="155"/>
        <v>0</v>
      </c>
      <c r="P501" s="19"/>
      <c r="Q501" s="19">
        <f t="shared" si="155"/>
        <v>0</v>
      </c>
    </row>
    <row r="502" spans="1:17" ht="39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1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1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1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1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1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1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1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1"/>
        <v>0</v>
      </c>
      <c r="H509" s="19"/>
      <c r="I509" s="19">
        <f t="shared" ref="I509:Q509" si="156">I510</f>
        <v>0</v>
      </c>
      <c r="J509" s="19">
        <f t="shared" si="156"/>
        <v>0</v>
      </c>
      <c r="K509" s="19"/>
      <c r="L509" s="19">
        <f t="shared" si="156"/>
        <v>0</v>
      </c>
      <c r="M509" s="19"/>
      <c r="N509" s="19">
        <f t="shared" si="156"/>
        <v>0</v>
      </c>
      <c r="O509" s="19">
        <f t="shared" si="156"/>
        <v>0</v>
      </c>
      <c r="P509" s="19"/>
      <c r="Q509" s="19">
        <f t="shared" si="156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1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26.25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1"/>
        <v>0</v>
      </c>
      <c r="H511" s="19"/>
      <c r="I511" s="19">
        <f t="shared" ref="I511:Q513" si="157">I512</f>
        <v>0</v>
      </c>
      <c r="J511" s="19">
        <f t="shared" si="157"/>
        <v>0</v>
      </c>
      <c r="K511" s="19"/>
      <c r="L511" s="19">
        <f t="shared" si="157"/>
        <v>0</v>
      </c>
      <c r="M511" s="19"/>
      <c r="N511" s="19">
        <f t="shared" si="157"/>
        <v>0</v>
      </c>
      <c r="O511" s="19">
        <f t="shared" si="157"/>
        <v>0</v>
      </c>
      <c r="P511" s="19"/>
      <c r="Q511" s="19">
        <f t="shared" si="157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1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1"/>
        <v>0</v>
      </c>
      <c r="H513" s="19"/>
      <c r="I513" s="19">
        <f t="shared" si="157"/>
        <v>0</v>
      </c>
      <c r="J513" s="19">
        <f t="shared" si="157"/>
        <v>0</v>
      </c>
      <c r="K513" s="19"/>
      <c r="L513" s="19">
        <f t="shared" si="157"/>
        <v>0</v>
      </c>
      <c r="M513" s="19"/>
      <c r="N513" s="19">
        <f t="shared" si="157"/>
        <v>0</v>
      </c>
      <c r="O513" s="19">
        <f t="shared" si="157"/>
        <v>0</v>
      </c>
      <c r="P513" s="19"/>
      <c r="Q513" s="19">
        <f t="shared" si="157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1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1"/>
        <v>0</v>
      </c>
      <c r="H515" s="19"/>
      <c r="I515" s="19">
        <f t="shared" ref="I515:Q515" si="158">I516+I530+I539</f>
        <v>0</v>
      </c>
      <c r="J515" s="19">
        <f t="shared" si="158"/>
        <v>0</v>
      </c>
      <c r="K515" s="19"/>
      <c r="L515" s="19">
        <f t="shared" si="158"/>
        <v>0</v>
      </c>
      <c r="M515" s="19"/>
      <c r="N515" s="19">
        <f t="shared" si="158"/>
        <v>0</v>
      </c>
      <c r="O515" s="19">
        <f t="shared" si="158"/>
        <v>0</v>
      </c>
      <c r="P515" s="19"/>
      <c r="Q515" s="19">
        <f t="shared" si="158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1"/>
        <v>0</v>
      </c>
      <c r="H516" s="19"/>
      <c r="I516" s="19">
        <f t="shared" ref="I516:Q516" si="159">SUM(I517:I529)</f>
        <v>0</v>
      </c>
      <c r="J516" s="19">
        <f t="shared" si="159"/>
        <v>0</v>
      </c>
      <c r="K516" s="19"/>
      <c r="L516" s="19">
        <f t="shared" si="159"/>
        <v>0</v>
      </c>
      <c r="M516" s="19"/>
      <c r="N516" s="19">
        <f t="shared" si="159"/>
        <v>0</v>
      </c>
      <c r="O516" s="19">
        <f t="shared" si="159"/>
        <v>0</v>
      </c>
      <c r="P516" s="19"/>
      <c r="Q516" s="19">
        <f t="shared" si="159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1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1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1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1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26.25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1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1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1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26.25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1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1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26.25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1"/>
        <v>0</v>
      </c>
      <c r="H530" s="19"/>
      <c r="I530" s="19">
        <f t="shared" ref="I530:Q530" si="160">SUM(I531:I538)</f>
        <v>0</v>
      </c>
      <c r="J530" s="19">
        <f t="shared" si="160"/>
        <v>0</v>
      </c>
      <c r="K530" s="19"/>
      <c r="L530" s="19">
        <f t="shared" si="160"/>
        <v>0</v>
      </c>
      <c r="M530" s="19"/>
      <c r="N530" s="19">
        <f t="shared" si="160"/>
        <v>0</v>
      </c>
      <c r="O530" s="19">
        <f t="shared" si="160"/>
        <v>0</v>
      </c>
      <c r="P530" s="19"/>
      <c r="Q530" s="19">
        <f t="shared" si="160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1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1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1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1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1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1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1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1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64.5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1"/>
        <v>0</v>
      </c>
      <c r="H539" s="19"/>
      <c r="I539" s="19">
        <f t="shared" ref="I539:Q539" si="162">I540</f>
        <v>0</v>
      </c>
      <c r="J539" s="19">
        <f t="shared" si="162"/>
        <v>0</v>
      </c>
      <c r="K539" s="19"/>
      <c r="L539" s="19">
        <f t="shared" si="162"/>
        <v>0</v>
      </c>
      <c r="M539" s="19"/>
      <c r="N539" s="19">
        <f t="shared" si="162"/>
        <v>0</v>
      </c>
      <c r="O539" s="19">
        <f t="shared" si="162"/>
        <v>0</v>
      </c>
      <c r="P539" s="19"/>
      <c r="Q539" s="19">
        <f t="shared" si="162"/>
        <v>0</v>
      </c>
    </row>
    <row r="540" spans="1:17" ht="39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1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3">E219+E485</f>
        <v>1500538</v>
      </c>
      <c r="F541" s="19">
        <f t="shared" si="163"/>
        <v>1484523</v>
      </c>
      <c r="G541" s="19">
        <f t="shared" si="163"/>
        <v>1428216</v>
      </c>
      <c r="H541" s="19">
        <f t="shared" si="163"/>
        <v>22280</v>
      </c>
      <c r="I541" s="19">
        <f t="shared" si="163"/>
        <v>17657</v>
      </c>
      <c r="J541" s="19">
        <f t="shared" si="163"/>
        <v>0</v>
      </c>
      <c r="K541" s="19">
        <f t="shared" si="163"/>
        <v>1000</v>
      </c>
      <c r="L541" s="19">
        <f t="shared" si="163"/>
        <v>1273</v>
      </c>
      <c r="M541" s="19">
        <f t="shared" si="163"/>
        <v>1444342</v>
      </c>
      <c r="N541" s="19">
        <f t="shared" si="163"/>
        <v>1398024</v>
      </c>
      <c r="O541" s="19">
        <f t="shared" si="163"/>
        <v>0</v>
      </c>
      <c r="P541" s="19">
        <f t="shared" si="163"/>
        <v>16901</v>
      </c>
      <c r="Q541" s="19">
        <f t="shared" si="163"/>
        <v>11162</v>
      </c>
    </row>
    <row r="543" spans="1:17" x14ac:dyDescent="0.25"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60"/>
      <c r="Q543" s="44"/>
    </row>
    <row r="546" spans="6:14" x14ac:dyDescent="0.25">
      <c r="L546" s="44"/>
      <c r="M546" s="44"/>
      <c r="N546" s="44"/>
    </row>
    <row r="548" spans="6:14" x14ac:dyDescent="0.25">
      <c r="F548" s="65"/>
      <c r="M548" s="65"/>
    </row>
  </sheetData>
  <mergeCells count="186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F74:F154 E104:E127 G120:M121 G104:Q119 E467:Q490 E379:Q399 E353:Q374 E323:Q348 E404:Q427 E522:Q541 E219:Q233 E238:Q269 E274:Q318 E132:E154 G132:Q154 G122:Q127 G74:Q99 E74:E99 E6:Q10 E207:Q211 E185:Q202 E159:Q180 E47:Q69 E15:Q42 E432:Q462">
      <formula1>0</formula1>
      <formula2>999999999</formula2>
    </dataValidation>
  </dataValidations>
  <pageMargins left="0.16" right="0.21" top="0.72" bottom="0.75" header="0.24" footer="0.56999999999999995"/>
  <pageSetup paperSize="9" orientation="portrait" verticalDpi="4294967295" r:id="rId1"/>
  <headerFooter>
    <oddHeader>&amp;CФИНАНСИЈСКИ ПЛАН ОПШТЕ БОЛНИЦЕ ПИРОТ ЗА 2022. ГОДИНУ</oddHead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49"/>
  <sheetViews>
    <sheetView topLeftCell="A416" workbookViewId="0">
      <selection activeCell="P285" sqref="P285"/>
    </sheetView>
  </sheetViews>
  <sheetFormatPr defaultRowHeight="15" x14ac:dyDescent="0.25"/>
  <cols>
    <col min="1" max="1" width="4.85546875" style="152" customWidth="1"/>
    <col min="2" max="2" width="7.85546875" style="152" customWidth="1"/>
    <col min="3" max="3" width="28.42578125" style="152" customWidth="1"/>
    <col min="4" max="4" width="3.28515625" style="152" customWidth="1"/>
    <col min="5" max="5" width="8.7109375" style="152" hidden="1" customWidth="1"/>
    <col min="6" max="6" width="9" style="152" customWidth="1"/>
    <col min="7" max="7" width="0" style="152" hidden="1" customWidth="1"/>
    <col min="8" max="8" width="9.7109375" style="152" customWidth="1"/>
    <col min="9" max="9" width="7.5703125" style="152" hidden="1" customWidth="1"/>
    <col min="10" max="10" width="0" style="152" hidden="1" customWidth="1"/>
    <col min="11" max="11" width="7.28515625" style="152" customWidth="1"/>
    <col min="12" max="12" width="6.28515625" style="152" hidden="1" customWidth="1"/>
    <col min="13" max="13" width="10.28515625" style="152" customWidth="1"/>
    <col min="14" max="14" width="0" style="152" hidden="1" customWidth="1"/>
    <col min="15" max="15" width="0.5703125" style="152" hidden="1" customWidth="1"/>
    <col min="16" max="16" width="10.5703125" style="152" customWidth="1"/>
    <col min="17" max="17" width="7.85546875" style="152" hidden="1" customWidth="1"/>
    <col min="18" max="22" width="0" style="152" hidden="1" customWidth="1"/>
    <col min="23" max="16384" width="9.140625" style="152"/>
  </cols>
  <sheetData>
    <row r="1" spans="1:17" ht="33.75" customHeight="1" thickBot="1" x14ac:dyDescent="0.3">
      <c r="A1" s="150" t="s">
        <v>507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</row>
    <row r="2" spans="1:17" ht="15" customHeight="1" thickBot="1" x14ac:dyDescent="0.3">
      <c r="A2" s="623" t="s">
        <v>0</v>
      </c>
      <c r="B2" s="625" t="s">
        <v>1</v>
      </c>
      <c r="C2" s="625" t="s">
        <v>2</v>
      </c>
      <c r="D2" s="627"/>
      <c r="E2" s="628" t="s">
        <v>3</v>
      </c>
      <c r="F2" s="629" t="s">
        <v>3</v>
      </c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1"/>
    </row>
    <row r="3" spans="1:17" ht="29.25" customHeight="1" x14ac:dyDescent="0.25">
      <c r="A3" s="624"/>
      <c r="B3" s="600"/>
      <c r="C3" s="626"/>
      <c r="D3" s="622"/>
      <c r="E3" s="600"/>
      <c r="F3" s="627" t="s">
        <v>510</v>
      </c>
      <c r="G3" s="632" t="s">
        <v>5</v>
      </c>
      <c r="H3" s="633" t="s">
        <v>6</v>
      </c>
      <c r="I3" s="634"/>
      <c r="J3" s="634"/>
      <c r="K3" s="634"/>
      <c r="L3" s="634"/>
      <c r="M3" s="634"/>
      <c r="N3" s="635"/>
      <c r="O3" s="610" t="s">
        <v>7</v>
      </c>
      <c r="P3" s="610" t="s">
        <v>8</v>
      </c>
      <c r="Q3" s="611" t="s">
        <v>8</v>
      </c>
    </row>
    <row r="4" spans="1:17" ht="39" x14ac:dyDescent="0.25">
      <c r="A4" s="624"/>
      <c r="B4" s="600"/>
      <c r="C4" s="626"/>
      <c r="D4" s="610"/>
      <c r="E4" s="600"/>
      <c r="F4" s="610"/>
      <c r="G4" s="607"/>
      <c r="H4" s="153" t="s">
        <v>9</v>
      </c>
      <c r="I4" s="154" t="s">
        <v>9</v>
      </c>
      <c r="J4" s="154" t="s">
        <v>9</v>
      </c>
      <c r="K4" s="154" t="s">
        <v>11</v>
      </c>
      <c r="L4" s="154" t="s">
        <v>11</v>
      </c>
      <c r="M4" s="154" t="s">
        <v>12</v>
      </c>
      <c r="N4" s="154" t="s">
        <v>12</v>
      </c>
      <c r="O4" s="600"/>
      <c r="P4" s="600"/>
      <c r="Q4" s="606"/>
    </row>
    <row r="5" spans="1:17" x14ac:dyDescent="0.25">
      <c r="A5" s="155">
        <v>1</v>
      </c>
      <c r="B5" s="154">
        <v>2</v>
      </c>
      <c r="C5" s="154">
        <v>3</v>
      </c>
      <c r="D5" s="154"/>
      <c r="E5" s="154">
        <v>4</v>
      </c>
      <c r="F5" s="154">
        <v>4</v>
      </c>
      <c r="G5" s="154">
        <v>4</v>
      </c>
      <c r="H5" s="154">
        <v>5</v>
      </c>
      <c r="I5" s="154">
        <v>5</v>
      </c>
      <c r="J5" s="154">
        <v>7</v>
      </c>
      <c r="K5" s="154">
        <v>6</v>
      </c>
      <c r="L5" s="154">
        <v>6</v>
      </c>
      <c r="M5" s="154">
        <v>7</v>
      </c>
      <c r="N5" s="154">
        <v>7</v>
      </c>
      <c r="O5" s="154">
        <v>10</v>
      </c>
      <c r="P5" s="154">
        <v>8</v>
      </c>
      <c r="Q5" s="156">
        <v>8</v>
      </c>
    </row>
    <row r="6" spans="1:17" ht="42" customHeight="1" x14ac:dyDescent="0.25">
      <c r="A6" s="157">
        <v>5001</v>
      </c>
      <c r="B6" s="154"/>
      <c r="C6" s="158" t="s">
        <v>13</v>
      </c>
      <c r="D6" s="158"/>
      <c r="E6" s="159">
        <f>E7+E133</f>
        <v>1500538</v>
      </c>
      <c r="F6" s="159">
        <f>F7+F133</f>
        <v>1490987</v>
      </c>
      <c r="G6" s="159">
        <f t="shared" ref="G6:Q6" si="0">G7+G133</f>
        <v>2881680</v>
      </c>
      <c r="H6" s="159">
        <f t="shared" si="0"/>
        <v>24480</v>
      </c>
      <c r="I6" s="159">
        <f t="shared" si="0"/>
        <v>18738</v>
      </c>
      <c r="J6" s="159">
        <f t="shared" si="0"/>
        <v>0</v>
      </c>
      <c r="K6" s="159">
        <f t="shared" si="0"/>
        <v>1000</v>
      </c>
      <c r="L6" s="159">
        <f t="shared" si="0"/>
        <v>505</v>
      </c>
      <c r="M6" s="159">
        <f t="shared" si="0"/>
        <v>1452707</v>
      </c>
      <c r="N6" s="159">
        <f t="shared" si="0"/>
        <v>1398192</v>
      </c>
      <c r="O6" s="159">
        <f t="shared" si="0"/>
        <v>0</v>
      </c>
      <c r="P6" s="159">
        <f t="shared" si="0"/>
        <v>12800</v>
      </c>
      <c r="Q6" s="160">
        <f t="shared" si="0"/>
        <v>12669</v>
      </c>
    </row>
    <row r="7" spans="1:17" ht="39" x14ac:dyDescent="0.25">
      <c r="A7" s="157">
        <v>5002</v>
      </c>
      <c r="B7" s="154">
        <v>700000</v>
      </c>
      <c r="C7" s="158" t="s">
        <v>14</v>
      </c>
      <c r="D7" s="158"/>
      <c r="E7" s="159">
        <f>E8+E60+E74+E86+E115+E122+E126</f>
        <v>1500338</v>
      </c>
      <c r="F7" s="161">
        <f>F86+F122+F126</f>
        <v>1490787</v>
      </c>
      <c r="G7" s="159">
        <f>G8+G60+G74+G86+G115+G122+G126</f>
        <v>2881496</v>
      </c>
      <c r="H7" s="159">
        <f t="shared" ref="H7:Q7" si="1">H8+H60+H74+H86+H115+H122+H126</f>
        <v>24480</v>
      </c>
      <c r="I7" s="159">
        <f t="shared" si="1"/>
        <v>18738</v>
      </c>
      <c r="J7" s="159">
        <f t="shared" si="1"/>
        <v>0</v>
      </c>
      <c r="K7" s="159">
        <f t="shared" si="1"/>
        <v>1000</v>
      </c>
      <c r="L7" s="159">
        <f t="shared" si="1"/>
        <v>505</v>
      </c>
      <c r="M7" s="159">
        <f t="shared" si="1"/>
        <v>1452707</v>
      </c>
      <c r="N7" s="159">
        <f t="shared" si="1"/>
        <v>1398192</v>
      </c>
      <c r="O7" s="159">
        <f t="shared" si="1"/>
        <v>0</v>
      </c>
      <c r="P7" s="159">
        <f t="shared" si="1"/>
        <v>12600</v>
      </c>
      <c r="Q7" s="160">
        <f t="shared" si="1"/>
        <v>12485</v>
      </c>
    </row>
    <row r="8" spans="1:17" ht="39" hidden="1" x14ac:dyDescent="0.25">
      <c r="A8" s="155">
        <v>5003</v>
      </c>
      <c r="B8" s="154">
        <v>710000</v>
      </c>
      <c r="C8" s="158" t="s">
        <v>15</v>
      </c>
      <c r="D8" s="158"/>
      <c r="E8" s="162">
        <f>E9+E17+E19+E26+E32+E39+E42+E53</f>
        <v>0</v>
      </c>
      <c r="F8" s="162"/>
      <c r="G8" s="162">
        <f t="shared" ref="G8:G41" si="2">SUM(I8:Q8)</f>
        <v>0</v>
      </c>
      <c r="H8" s="162"/>
      <c r="I8" s="162">
        <f t="shared" ref="I8:Q8" si="3">I9+I17+I19+I26+I32+I39+I42+I53</f>
        <v>0</v>
      </c>
      <c r="J8" s="162">
        <f t="shared" si="3"/>
        <v>0</v>
      </c>
      <c r="K8" s="162"/>
      <c r="L8" s="162">
        <f t="shared" si="3"/>
        <v>0</v>
      </c>
      <c r="M8" s="162"/>
      <c r="N8" s="162">
        <f t="shared" si="3"/>
        <v>0</v>
      </c>
      <c r="O8" s="162">
        <f t="shared" si="3"/>
        <v>0</v>
      </c>
      <c r="P8" s="162"/>
      <c r="Q8" s="163">
        <f t="shared" si="3"/>
        <v>0</v>
      </c>
    </row>
    <row r="9" spans="1:17" ht="39" hidden="1" x14ac:dyDescent="0.25">
      <c r="A9" s="155">
        <v>5004</v>
      </c>
      <c r="B9" s="154">
        <v>711000</v>
      </c>
      <c r="C9" s="158" t="s">
        <v>16</v>
      </c>
      <c r="D9" s="158"/>
      <c r="E9" s="162">
        <f>SUM(E10:E16)</f>
        <v>0</v>
      </c>
      <c r="F9" s="162"/>
      <c r="G9" s="162">
        <f t="shared" si="2"/>
        <v>0</v>
      </c>
      <c r="H9" s="162"/>
      <c r="I9" s="162">
        <f t="shared" ref="I9:Q9" si="4">SUM(I10:I16)</f>
        <v>0</v>
      </c>
      <c r="J9" s="162">
        <f t="shared" si="4"/>
        <v>0</v>
      </c>
      <c r="K9" s="162"/>
      <c r="L9" s="162">
        <f t="shared" si="4"/>
        <v>0</v>
      </c>
      <c r="M9" s="162"/>
      <c r="N9" s="162">
        <f t="shared" si="4"/>
        <v>0</v>
      </c>
      <c r="O9" s="162">
        <f t="shared" si="4"/>
        <v>0</v>
      </c>
      <c r="P9" s="162"/>
      <c r="Q9" s="163">
        <f t="shared" si="4"/>
        <v>0</v>
      </c>
    </row>
    <row r="10" spans="1:17" ht="39" hidden="1" x14ac:dyDescent="0.25">
      <c r="A10" s="164">
        <v>5005</v>
      </c>
      <c r="B10" s="165">
        <v>711100</v>
      </c>
      <c r="C10" s="166" t="s">
        <v>17</v>
      </c>
      <c r="D10" s="167"/>
      <c r="E10" s="168"/>
      <c r="F10" s="169"/>
      <c r="G10" s="169">
        <f t="shared" si="2"/>
        <v>0</v>
      </c>
      <c r="H10" s="169"/>
      <c r="I10" s="169"/>
      <c r="J10" s="169"/>
      <c r="K10" s="169"/>
      <c r="L10" s="169"/>
      <c r="M10" s="169"/>
      <c r="N10" s="169"/>
      <c r="O10" s="169"/>
      <c r="P10" s="169"/>
      <c r="Q10" s="170"/>
    </row>
    <row r="11" spans="1:17" ht="24" hidden="1" customHeight="1" x14ac:dyDescent="0.25">
      <c r="A11" s="612" t="s">
        <v>0</v>
      </c>
      <c r="B11" s="615" t="s">
        <v>1</v>
      </c>
      <c r="C11" s="618" t="s">
        <v>2</v>
      </c>
      <c r="D11" s="171"/>
      <c r="E11" s="621" t="s">
        <v>3</v>
      </c>
      <c r="F11" s="154"/>
      <c r="G11" s="600" t="s">
        <v>4</v>
      </c>
      <c r="H11" s="600"/>
      <c r="I11" s="600"/>
      <c r="J11" s="600"/>
      <c r="K11" s="600"/>
      <c r="L11" s="600"/>
      <c r="M11" s="600"/>
      <c r="N11" s="600"/>
      <c r="O11" s="600"/>
      <c r="P11" s="600"/>
      <c r="Q11" s="606"/>
    </row>
    <row r="12" spans="1:17" ht="24" hidden="1" customHeight="1" x14ac:dyDescent="0.25">
      <c r="A12" s="613"/>
      <c r="B12" s="616"/>
      <c r="C12" s="619"/>
      <c r="D12" s="172"/>
      <c r="E12" s="622"/>
      <c r="F12" s="154"/>
      <c r="G12" s="607" t="s">
        <v>5</v>
      </c>
      <c r="H12" s="173"/>
      <c r="I12" s="600" t="s">
        <v>6</v>
      </c>
      <c r="J12" s="600"/>
      <c r="K12" s="600"/>
      <c r="L12" s="600"/>
      <c r="M12" s="600"/>
      <c r="N12" s="600"/>
      <c r="O12" s="600" t="s">
        <v>7</v>
      </c>
      <c r="P12" s="154"/>
      <c r="Q12" s="606" t="s">
        <v>8</v>
      </c>
    </row>
    <row r="13" spans="1:17" ht="39" hidden="1" x14ac:dyDescent="0.25">
      <c r="A13" s="614"/>
      <c r="B13" s="617"/>
      <c r="C13" s="620"/>
      <c r="D13" s="174"/>
      <c r="E13" s="610"/>
      <c r="F13" s="154"/>
      <c r="G13" s="607"/>
      <c r="H13" s="173"/>
      <c r="I13" s="154" t="s">
        <v>9</v>
      </c>
      <c r="J13" s="154" t="s">
        <v>10</v>
      </c>
      <c r="K13" s="154"/>
      <c r="L13" s="154" t="s">
        <v>11</v>
      </c>
      <c r="M13" s="154"/>
      <c r="N13" s="154" t="s">
        <v>12</v>
      </c>
      <c r="O13" s="600"/>
      <c r="P13" s="154"/>
      <c r="Q13" s="606"/>
    </row>
    <row r="14" spans="1:17" ht="26.25" hidden="1" x14ac:dyDescent="0.25">
      <c r="A14" s="175" t="s">
        <v>18</v>
      </c>
      <c r="B14" s="176" t="s">
        <v>19</v>
      </c>
      <c r="C14" s="176" t="s">
        <v>20</v>
      </c>
      <c r="D14" s="176"/>
      <c r="E14" s="177" t="s">
        <v>21</v>
      </c>
      <c r="F14" s="177"/>
      <c r="G14" s="177" t="s">
        <v>22</v>
      </c>
      <c r="H14" s="177"/>
      <c r="I14" s="177" t="s">
        <v>23</v>
      </c>
      <c r="J14" s="177" t="s">
        <v>24</v>
      </c>
      <c r="K14" s="177"/>
      <c r="L14" s="177" t="s">
        <v>25</v>
      </c>
      <c r="M14" s="177"/>
      <c r="N14" s="177" t="s">
        <v>26</v>
      </c>
      <c r="O14" s="177" t="s">
        <v>27</v>
      </c>
      <c r="P14" s="177"/>
      <c r="Q14" s="178" t="s">
        <v>28</v>
      </c>
    </row>
    <row r="15" spans="1:17" ht="39" hidden="1" x14ac:dyDescent="0.25">
      <c r="A15" s="164">
        <v>5006</v>
      </c>
      <c r="B15" s="165">
        <v>711200</v>
      </c>
      <c r="C15" s="166" t="s">
        <v>29</v>
      </c>
      <c r="D15" s="166"/>
      <c r="E15" s="169"/>
      <c r="F15" s="169"/>
      <c r="G15" s="169">
        <f t="shared" si="2"/>
        <v>0</v>
      </c>
      <c r="H15" s="169"/>
      <c r="I15" s="169"/>
      <c r="J15" s="169"/>
      <c r="K15" s="169"/>
      <c r="L15" s="169"/>
      <c r="M15" s="169"/>
      <c r="N15" s="169"/>
      <c r="O15" s="169"/>
      <c r="P15" s="169"/>
      <c r="Q15" s="170"/>
    </row>
    <row r="16" spans="1:17" ht="51.75" hidden="1" x14ac:dyDescent="0.25">
      <c r="A16" s="164">
        <v>5007</v>
      </c>
      <c r="B16" s="165">
        <v>711300</v>
      </c>
      <c r="C16" s="166" t="s">
        <v>30</v>
      </c>
      <c r="D16" s="166"/>
      <c r="E16" s="169"/>
      <c r="F16" s="169"/>
      <c r="G16" s="169">
        <f t="shared" si="2"/>
        <v>0</v>
      </c>
      <c r="H16" s="169"/>
      <c r="I16" s="169"/>
      <c r="J16" s="169"/>
      <c r="K16" s="169"/>
      <c r="L16" s="169"/>
      <c r="M16" s="169"/>
      <c r="N16" s="169"/>
      <c r="O16" s="169"/>
      <c r="P16" s="169"/>
      <c r="Q16" s="170"/>
    </row>
    <row r="17" spans="1:17" ht="26.25" hidden="1" x14ac:dyDescent="0.25">
      <c r="A17" s="155">
        <v>5008</v>
      </c>
      <c r="B17" s="154">
        <v>712000</v>
      </c>
      <c r="C17" s="158" t="s">
        <v>31</v>
      </c>
      <c r="D17" s="158"/>
      <c r="E17" s="162">
        <f>E18</f>
        <v>0</v>
      </c>
      <c r="F17" s="162"/>
      <c r="G17" s="162">
        <f t="shared" si="2"/>
        <v>0</v>
      </c>
      <c r="H17" s="162"/>
      <c r="I17" s="162">
        <f t="shared" ref="I17:Q17" si="5">I18</f>
        <v>0</v>
      </c>
      <c r="J17" s="162">
        <f t="shared" si="5"/>
        <v>0</v>
      </c>
      <c r="K17" s="162"/>
      <c r="L17" s="162">
        <f t="shared" si="5"/>
        <v>0</v>
      </c>
      <c r="M17" s="162"/>
      <c r="N17" s="162">
        <f t="shared" si="5"/>
        <v>0</v>
      </c>
      <c r="O17" s="162">
        <f t="shared" si="5"/>
        <v>0</v>
      </c>
      <c r="P17" s="162"/>
      <c r="Q17" s="163">
        <f t="shared" si="5"/>
        <v>0</v>
      </c>
    </row>
    <row r="18" spans="1:17" hidden="1" x14ac:dyDescent="0.25">
      <c r="A18" s="164">
        <v>5009</v>
      </c>
      <c r="B18" s="165">
        <v>712100</v>
      </c>
      <c r="C18" s="166" t="s">
        <v>32</v>
      </c>
      <c r="D18" s="166"/>
      <c r="E18" s="169"/>
      <c r="F18" s="169"/>
      <c r="G18" s="169">
        <f t="shared" si="2"/>
        <v>0</v>
      </c>
      <c r="H18" s="169"/>
      <c r="I18" s="169"/>
      <c r="J18" s="169"/>
      <c r="K18" s="169"/>
      <c r="L18" s="169"/>
      <c r="M18" s="169"/>
      <c r="N18" s="169"/>
      <c r="O18" s="169"/>
      <c r="P18" s="169"/>
      <c r="Q18" s="170"/>
    </row>
    <row r="19" spans="1:17" ht="26.25" hidden="1" x14ac:dyDescent="0.25">
      <c r="A19" s="155">
        <v>5010</v>
      </c>
      <c r="B19" s="154">
        <v>713000</v>
      </c>
      <c r="C19" s="158" t="s">
        <v>33</v>
      </c>
      <c r="D19" s="158"/>
      <c r="E19" s="162">
        <f>SUM(E20:E25)</f>
        <v>0</v>
      </c>
      <c r="F19" s="162"/>
      <c r="G19" s="162">
        <f t="shared" si="2"/>
        <v>0</v>
      </c>
      <c r="H19" s="162"/>
      <c r="I19" s="162">
        <f t="shared" ref="I19:Q19" si="6">SUM(I20:I25)</f>
        <v>0</v>
      </c>
      <c r="J19" s="162">
        <f t="shared" si="6"/>
        <v>0</v>
      </c>
      <c r="K19" s="162"/>
      <c r="L19" s="162">
        <f t="shared" si="6"/>
        <v>0</v>
      </c>
      <c r="M19" s="162"/>
      <c r="N19" s="162">
        <f t="shared" si="6"/>
        <v>0</v>
      </c>
      <c r="O19" s="162">
        <f t="shared" si="6"/>
        <v>0</v>
      </c>
      <c r="P19" s="162"/>
      <c r="Q19" s="163">
        <f t="shared" si="6"/>
        <v>0</v>
      </c>
    </row>
    <row r="20" spans="1:17" ht="26.25" hidden="1" x14ac:dyDescent="0.25">
      <c r="A20" s="164">
        <v>5011</v>
      </c>
      <c r="B20" s="165">
        <v>713100</v>
      </c>
      <c r="C20" s="166" t="s">
        <v>34</v>
      </c>
      <c r="D20" s="166"/>
      <c r="E20" s="169"/>
      <c r="F20" s="169"/>
      <c r="G20" s="169">
        <f t="shared" si="2"/>
        <v>0</v>
      </c>
      <c r="H20" s="169"/>
      <c r="I20" s="169"/>
      <c r="J20" s="169"/>
      <c r="K20" s="169"/>
      <c r="L20" s="169"/>
      <c r="M20" s="169"/>
      <c r="N20" s="169"/>
      <c r="O20" s="169"/>
      <c r="P20" s="169"/>
      <c r="Q20" s="170"/>
    </row>
    <row r="21" spans="1:17" ht="26.25" hidden="1" x14ac:dyDescent="0.25">
      <c r="A21" s="164">
        <v>5012</v>
      </c>
      <c r="B21" s="165">
        <v>713200</v>
      </c>
      <c r="C21" s="166" t="s">
        <v>35</v>
      </c>
      <c r="D21" s="166"/>
      <c r="E21" s="169"/>
      <c r="F21" s="169"/>
      <c r="G21" s="169">
        <f t="shared" si="2"/>
        <v>0</v>
      </c>
      <c r="H21" s="169"/>
      <c r="I21" s="169"/>
      <c r="J21" s="169"/>
      <c r="K21" s="169"/>
      <c r="L21" s="169"/>
      <c r="M21" s="169"/>
      <c r="N21" s="169"/>
      <c r="O21" s="169"/>
      <c r="P21" s="169"/>
      <c r="Q21" s="170"/>
    </row>
    <row r="22" spans="1:17" ht="26.25" hidden="1" x14ac:dyDescent="0.25">
      <c r="A22" s="164">
        <v>5013</v>
      </c>
      <c r="B22" s="165">
        <v>713300</v>
      </c>
      <c r="C22" s="166" t="s">
        <v>36</v>
      </c>
      <c r="D22" s="166"/>
      <c r="E22" s="169"/>
      <c r="F22" s="169"/>
      <c r="G22" s="169">
        <f t="shared" si="2"/>
        <v>0</v>
      </c>
      <c r="H22" s="169"/>
      <c r="I22" s="169"/>
      <c r="J22" s="169"/>
      <c r="K22" s="169"/>
      <c r="L22" s="169"/>
      <c r="M22" s="169"/>
      <c r="N22" s="169"/>
      <c r="O22" s="169"/>
      <c r="P22" s="169"/>
      <c r="Q22" s="170"/>
    </row>
    <row r="23" spans="1:17" ht="26.25" hidden="1" x14ac:dyDescent="0.25">
      <c r="A23" s="164">
        <v>5014</v>
      </c>
      <c r="B23" s="165">
        <v>713400</v>
      </c>
      <c r="C23" s="166" t="s">
        <v>37</v>
      </c>
      <c r="D23" s="166"/>
      <c r="E23" s="169"/>
      <c r="F23" s="169"/>
      <c r="G23" s="169">
        <f t="shared" si="2"/>
        <v>0</v>
      </c>
      <c r="H23" s="169"/>
      <c r="I23" s="169"/>
      <c r="J23" s="169"/>
      <c r="K23" s="169"/>
      <c r="L23" s="169"/>
      <c r="M23" s="169"/>
      <c r="N23" s="169"/>
      <c r="O23" s="169"/>
      <c r="P23" s="169"/>
      <c r="Q23" s="170"/>
    </row>
    <row r="24" spans="1:17" ht="26.25" hidden="1" x14ac:dyDescent="0.25">
      <c r="A24" s="164">
        <v>5015</v>
      </c>
      <c r="B24" s="165">
        <v>713500</v>
      </c>
      <c r="C24" s="166" t="s">
        <v>38</v>
      </c>
      <c r="D24" s="166"/>
      <c r="E24" s="169"/>
      <c r="F24" s="169"/>
      <c r="G24" s="169">
        <f t="shared" si="2"/>
        <v>0</v>
      </c>
      <c r="H24" s="169"/>
      <c r="I24" s="169"/>
      <c r="J24" s="169"/>
      <c r="K24" s="169"/>
      <c r="L24" s="169"/>
      <c r="M24" s="169"/>
      <c r="N24" s="169"/>
      <c r="O24" s="169"/>
      <c r="P24" s="169"/>
      <c r="Q24" s="170"/>
    </row>
    <row r="25" spans="1:17" ht="26.25" hidden="1" x14ac:dyDescent="0.25">
      <c r="A25" s="164">
        <v>5016</v>
      </c>
      <c r="B25" s="165">
        <v>713600</v>
      </c>
      <c r="C25" s="166" t="s">
        <v>39</v>
      </c>
      <c r="D25" s="166"/>
      <c r="E25" s="162"/>
      <c r="F25" s="162"/>
      <c r="G25" s="169">
        <f t="shared" si="2"/>
        <v>0</v>
      </c>
      <c r="H25" s="169"/>
      <c r="I25" s="162"/>
      <c r="J25" s="162"/>
      <c r="K25" s="162"/>
      <c r="L25" s="162"/>
      <c r="M25" s="162"/>
      <c r="N25" s="162"/>
      <c r="O25" s="162"/>
      <c r="P25" s="162"/>
      <c r="Q25" s="163"/>
    </row>
    <row r="26" spans="1:17" ht="26.25" hidden="1" x14ac:dyDescent="0.25">
      <c r="A26" s="155">
        <v>5017</v>
      </c>
      <c r="B26" s="154">
        <v>714000</v>
      </c>
      <c r="C26" s="158" t="s">
        <v>40</v>
      </c>
      <c r="D26" s="158"/>
      <c r="E26" s="162">
        <f>SUM(E27:E31)</f>
        <v>0</v>
      </c>
      <c r="F26" s="162"/>
      <c r="G26" s="162">
        <f t="shared" si="2"/>
        <v>0</v>
      </c>
      <c r="H26" s="162"/>
      <c r="I26" s="162">
        <f t="shared" ref="I26:Q26" si="7">SUM(I27:I31)</f>
        <v>0</v>
      </c>
      <c r="J26" s="162">
        <f t="shared" si="7"/>
        <v>0</v>
      </c>
      <c r="K26" s="162"/>
      <c r="L26" s="162">
        <f t="shared" si="7"/>
        <v>0</v>
      </c>
      <c r="M26" s="162"/>
      <c r="N26" s="162">
        <f t="shared" si="7"/>
        <v>0</v>
      </c>
      <c r="O26" s="162">
        <f t="shared" si="7"/>
        <v>0</v>
      </c>
      <c r="P26" s="162"/>
      <c r="Q26" s="163">
        <f t="shared" si="7"/>
        <v>0</v>
      </c>
    </row>
    <row r="27" spans="1:17" hidden="1" x14ac:dyDescent="0.25">
      <c r="A27" s="164">
        <v>5018</v>
      </c>
      <c r="B27" s="165">
        <v>714100</v>
      </c>
      <c r="C27" s="166" t="s">
        <v>41</v>
      </c>
      <c r="D27" s="166"/>
      <c r="E27" s="169"/>
      <c r="F27" s="169"/>
      <c r="G27" s="169">
        <f t="shared" si="2"/>
        <v>0</v>
      </c>
      <c r="H27" s="169"/>
      <c r="I27" s="169"/>
      <c r="J27" s="169"/>
      <c r="K27" s="169"/>
      <c r="L27" s="169"/>
      <c r="M27" s="169"/>
      <c r="N27" s="169"/>
      <c r="O27" s="169"/>
      <c r="P27" s="169"/>
      <c r="Q27" s="170"/>
    </row>
    <row r="28" spans="1:17" hidden="1" x14ac:dyDescent="0.25">
      <c r="A28" s="164">
        <v>5019</v>
      </c>
      <c r="B28" s="165">
        <v>714300</v>
      </c>
      <c r="C28" s="166" t="s">
        <v>42</v>
      </c>
      <c r="D28" s="166"/>
      <c r="E28" s="169"/>
      <c r="F28" s="169"/>
      <c r="G28" s="169">
        <f t="shared" si="2"/>
        <v>0</v>
      </c>
      <c r="H28" s="169"/>
      <c r="I28" s="169"/>
      <c r="J28" s="169"/>
      <c r="K28" s="169"/>
      <c r="L28" s="169"/>
      <c r="M28" s="169"/>
      <c r="N28" s="169"/>
      <c r="O28" s="169"/>
      <c r="P28" s="169"/>
      <c r="Q28" s="170"/>
    </row>
    <row r="29" spans="1:17" hidden="1" x14ac:dyDescent="0.25">
      <c r="A29" s="164">
        <v>5020</v>
      </c>
      <c r="B29" s="165">
        <v>714400</v>
      </c>
      <c r="C29" s="166" t="s">
        <v>43</v>
      </c>
      <c r="D29" s="166"/>
      <c r="E29" s="169"/>
      <c r="F29" s="169"/>
      <c r="G29" s="169">
        <f t="shared" si="2"/>
        <v>0</v>
      </c>
      <c r="H29" s="169"/>
      <c r="I29" s="169"/>
      <c r="J29" s="169"/>
      <c r="K29" s="169"/>
      <c r="L29" s="169"/>
      <c r="M29" s="169"/>
      <c r="N29" s="169"/>
      <c r="O29" s="169"/>
      <c r="P29" s="169"/>
      <c r="Q29" s="170"/>
    </row>
    <row r="30" spans="1:17" ht="51.75" hidden="1" x14ac:dyDescent="0.25">
      <c r="A30" s="164">
        <v>5021</v>
      </c>
      <c r="B30" s="165">
        <v>714500</v>
      </c>
      <c r="C30" s="166" t="s">
        <v>44</v>
      </c>
      <c r="D30" s="166"/>
      <c r="E30" s="169"/>
      <c r="F30" s="169"/>
      <c r="G30" s="169">
        <f t="shared" si="2"/>
        <v>0</v>
      </c>
      <c r="H30" s="169"/>
      <c r="I30" s="169"/>
      <c r="J30" s="169"/>
      <c r="K30" s="169"/>
      <c r="L30" s="169"/>
      <c r="M30" s="169"/>
      <c r="N30" s="169"/>
      <c r="O30" s="169"/>
      <c r="P30" s="169"/>
      <c r="Q30" s="170"/>
    </row>
    <row r="31" spans="1:17" hidden="1" x14ac:dyDescent="0.25">
      <c r="A31" s="164">
        <v>5022</v>
      </c>
      <c r="B31" s="165">
        <v>714600</v>
      </c>
      <c r="C31" s="166" t="s">
        <v>45</v>
      </c>
      <c r="D31" s="166"/>
      <c r="E31" s="169"/>
      <c r="F31" s="169"/>
      <c r="G31" s="169">
        <f t="shared" si="2"/>
        <v>0</v>
      </c>
      <c r="H31" s="169"/>
      <c r="I31" s="169"/>
      <c r="J31" s="169"/>
      <c r="K31" s="169"/>
      <c r="L31" s="169"/>
      <c r="M31" s="169"/>
      <c r="N31" s="169"/>
      <c r="O31" s="169"/>
      <c r="P31" s="169"/>
      <c r="Q31" s="170"/>
    </row>
    <row r="32" spans="1:17" ht="39" hidden="1" x14ac:dyDescent="0.25">
      <c r="A32" s="155">
        <v>5023</v>
      </c>
      <c r="B32" s="154">
        <v>715000</v>
      </c>
      <c r="C32" s="158" t="s">
        <v>46</v>
      </c>
      <c r="D32" s="158"/>
      <c r="E32" s="162">
        <f>SUM(E33:E38)</f>
        <v>0</v>
      </c>
      <c r="F32" s="162"/>
      <c r="G32" s="162">
        <f t="shared" si="2"/>
        <v>0</v>
      </c>
      <c r="H32" s="162"/>
      <c r="I32" s="162">
        <f t="shared" ref="I32:Q32" si="8">SUM(I33:I38)</f>
        <v>0</v>
      </c>
      <c r="J32" s="162">
        <f t="shared" si="8"/>
        <v>0</v>
      </c>
      <c r="K32" s="162"/>
      <c r="L32" s="162">
        <f t="shared" si="8"/>
        <v>0</v>
      </c>
      <c r="M32" s="162"/>
      <c r="N32" s="162">
        <f t="shared" si="8"/>
        <v>0</v>
      </c>
      <c r="O32" s="162">
        <f t="shared" si="8"/>
        <v>0</v>
      </c>
      <c r="P32" s="162"/>
      <c r="Q32" s="163">
        <f t="shared" si="8"/>
        <v>0</v>
      </c>
    </row>
    <row r="33" spans="1:17" hidden="1" x14ac:dyDescent="0.25">
      <c r="A33" s="164">
        <v>5024</v>
      </c>
      <c r="B33" s="165">
        <v>715100</v>
      </c>
      <c r="C33" s="166" t="s">
        <v>47</v>
      </c>
      <c r="D33" s="166"/>
      <c r="E33" s="169"/>
      <c r="F33" s="169"/>
      <c r="G33" s="169">
        <f t="shared" si="2"/>
        <v>0</v>
      </c>
      <c r="H33" s="169"/>
      <c r="I33" s="169"/>
      <c r="J33" s="169"/>
      <c r="K33" s="169"/>
      <c r="L33" s="169"/>
      <c r="M33" s="169"/>
      <c r="N33" s="169"/>
      <c r="O33" s="169"/>
      <c r="P33" s="169"/>
      <c r="Q33" s="170"/>
    </row>
    <row r="34" spans="1:17" hidden="1" x14ac:dyDescent="0.25">
      <c r="A34" s="164">
        <v>5025</v>
      </c>
      <c r="B34" s="165">
        <v>715200</v>
      </c>
      <c r="C34" s="166" t="s">
        <v>48</v>
      </c>
      <c r="D34" s="166"/>
      <c r="E34" s="169"/>
      <c r="F34" s="169"/>
      <c r="G34" s="169">
        <f t="shared" si="2"/>
        <v>0</v>
      </c>
      <c r="H34" s="169"/>
      <c r="I34" s="169"/>
      <c r="J34" s="169"/>
      <c r="K34" s="169"/>
      <c r="L34" s="169"/>
      <c r="M34" s="169"/>
      <c r="N34" s="169"/>
      <c r="O34" s="169"/>
      <c r="P34" s="169"/>
      <c r="Q34" s="170"/>
    </row>
    <row r="35" spans="1:17" ht="26.25" hidden="1" x14ac:dyDescent="0.25">
      <c r="A35" s="164">
        <v>5026</v>
      </c>
      <c r="B35" s="165">
        <v>715300</v>
      </c>
      <c r="C35" s="166" t="s">
        <v>49</v>
      </c>
      <c r="D35" s="166"/>
      <c r="E35" s="169"/>
      <c r="F35" s="169"/>
      <c r="G35" s="169">
        <f t="shared" si="2"/>
        <v>0</v>
      </c>
      <c r="H35" s="169"/>
      <c r="I35" s="169"/>
      <c r="J35" s="169"/>
      <c r="K35" s="169"/>
      <c r="L35" s="169"/>
      <c r="M35" s="169"/>
      <c r="N35" s="169"/>
      <c r="O35" s="169"/>
      <c r="P35" s="169"/>
      <c r="Q35" s="170"/>
    </row>
    <row r="36" spans="1:17" ht="39" hidden="1" x14ac:dyDescent="0.25">
      <c r="A36" s="164">
        <v>5027</v>
      </c>
      <c r="B36" s="165">
        <v>715400</v>
      </c>
      <c r="C36" s="166" t="s">
        <v>50</v>
      </c>
      <c r="D36" s="166"/>
      <c r="E36" s="169"/>
      <c r="F36" s="169"/>
      <c r="G36" s="169">
        <f t="shared" si="2"/>
        <v>0</v>
      </c>
      <c r="H36" s="169"/>
      <c r="I36" s="169"/>
      <c r="J36" s="169"/>
      <c r="K36" s="169"/>
      <c r="L36" s="169"/>
      <c r="M36" s="169"/>
      <c r="N36" s="169"/>
      <c r="O36" s="169"/>
      <c r="P36" s="169"/>
      <c r="Q36" s="170"/>
    </row>
    <row r="37" spans="1:17" ht="26.25" hidden="1" x14ac:dyDescent="0.25">
      <c r="A37" s="164">
        <v>5028</v>
      </c>
      <c r="B37" s="165">
        <v>715500</v>
      </c>
      <c r="C37" s="166" t="s">
        <v>51</v>
      </c>
      <c r="D37" s="166"/>
      <c r="E37" s="169"/>
      <c r="F37" s="169"/>
      <c r="G37" s="169">
        <f t="shared" si="2"/>
        <v>0</v>
      </c>
      <c r="H37" s="169"/>
      <c r="I37" s="169"/>
      <c r="J37" s="169"/>
      <c r="K37" s="169"/>
      <c r="L37" s="169"/>
      <c r="M37" s="169"/>
      <c r="N37" s="169"/>
      <c r="O37" s="169"/>
      <c r="P37" s="169"/>
      <c r="Q37" s="170"/>
    </row>
    <row r="38" spans="1:17" ht="26.25" hidden="1" x14ac:dyDescent="0.25">
      <c r="A38" s="164">
        <v>5029</v>
      </c>
      <c r="B38" s="165">
        <v>715600</v>
      </c>
      <c r="C38" s="166" t="s">
        <v>52</v>
      </c>
      <c r="D38" s="166"/>
      <c r="E38" s="169"/>
      <c r="F38" s="169"/>
      <c r="G38" s="169">
        <f t="shared" si="2"/>
        <v>0</v>
      </c>
      <c r="H38" s="169"/>
      <c r="I38" s="169"/>
      <c r="J38" s="169"/>
      <c r="K38" s="169"/>
      <c r="L38" s="169"/>
      <c r="M38" s="169"/>
      <c r="N38" s="169"/>
      <c r="O38" s="169"/>
      <c r="P38" s="169"/>
      <c r="Q38" s="170"/>
    </row>
    <row r="39" spans="1:17" hidden="1" x14ac:dyDescent="0.25">
      <c r="A39" s="155">
        <v>5030</v>
      </c>
      <c r="B39" s="154">
        <v>716000</v>
      </c>
      <c r="C39" s="158" t="s">
        <v>53</v>
      </c>
      <c r="D39" s="158"/>
      <c r="E39" s="162">
        <f>E40+E41</f>
        <v>0</v>
      </c>
      <c r="F39" s="162"/>
      <c r="G39" s="162">
        <f t="shared" si="2"/>
        <v>0</v>
      </c>
      <c r="H39" s="162"/>
      <c r="I39" s="162">
        <f t="shared" ref="I39:Q39" si="9">I40+I41</f>
        <v>0</v>
      </c>
      <c r="J39" s="162">
        <f t="shared" si="9"/>
        <v>0</v>
      </c>
      <c r="K39" s="162"/>
      <c r="L39" s="162">
        <f t="shared" si="9"/>
        <v>0</v>
      </c>
      <c r="M39" s="162"/>
      <c r="N39" s="162">
        <f t="shared" si="9"/>
        <v>0</v>
      </c>
      <c r="O39" s="162">
        <f t="shared" si="9"/>
        <v>0</v>
      </c>
      <c r="P39" s="162"/>
      <c r="Q39" s="163">
        <f t="shared" si="9"/>
        <v>0</v>
      </c>
    </row>
    <row r="40" spans="1:17" ht="39" hidden="1" x14ac:dyDescent="0.25">
      <c r="A40" s="164">
        <v>5031</v>
      </c>
      <c r="B40" s="165">
        <v>716100</v>
      </c>
      <c r="C40" s="166" t="s">
        <v>54</v>
      </c>
      <c r="D40" s="166"/>
      <c r="E40" s="169"/>
      <c r="F40" s="169"/>
      <c r="G40" s="169">
        <f t="shared" si="2"/>
        <v>0</v>
      </c>
      <c r="H40" s="169"/>
      <c r="I40" s="169"/>
      <c r="J40" s="169"/>
      <c r="K40" s="169"/>
      <c r="L40" s="169"/>
      <c r="M40" s="169"/>
      <c r="N40" s="169"/>
      <c r="O40" s="169"/>
      <c r="P40" s="169"/>
      <c r="Q40" s="170"/>
    </row>
    <row r="41" spans="1:17" ht="39" hidden="1" x14ac:dyDescent="0.25">
      <c r="A41" s="164">
        <v>5032</v>
      </c>
      <c r="B41" s="165">
        <v>716200</v>
      </c>
      <c r="C41" s="166" t="s">
        <v>55</v>
      </c>
      <c r="D41" s="166"/>
      <c r="E41" s="169"/>
      <c r="F41" s="169"/>
      <c r="G41" s="169">
        <f t="shared" si="2"/>
        <v>0</v>
      </c>
      <c r="H41" s="169"/>
      <c r="I41" s="169"/>
      <c r="J41" s="169"/>
      <c r="K41" s="169"/>
      <c r="L41" s="169"/>
      <c r="M41" s="169"/>
      <c r="N41" s="169"/>
      <c r="O41" s="169"/>
      <c r="P41" s="169"/>
      <c r="Q41" s="170"/>
    </row>
    <row r="42" spans="1:17" hidden="1" x14ac:dyDescent="0.25">
      <c r="A42" s="155">
        <v>5033</v>
      </c>
      <c r="B42" s="154">
        <v>717000</v>
      </c>
      <c r="C42" s="158" t="s">
        <v>56</v>
      </c>
      <c r="D42" s="158"/>
      <c r="E42" s="162">
        <f>SUM(E47:E52)</f>
        <v>0</v>
      </c>
      <c r="F42" s="162"/>
      <c r="G42" s="162">
        <f t="shared" ref="G42:G83" si="10">SUM(I42:Q42)</f>
        <v>0</v>
      </c>
      <c r="H42" s="162"/>
      <c r="I42" s="162">
        <f t="shared" ref="I42:Q42" si="11">SUM(I47:I52)</f>
        <v>0</v>
      </c>
      <c r="J42" s="162">
        <f t="shared" si="11"/>
        <v>0</v>
      </c>
      <c r="K42" s="162"/>
      <c r="L42" s="162">
        <f t="shared" si="11"/>
        <v>0</v>
      </c>
      <c r="M42" s="162"/>
      <c r="N42" s="162">
        <f t="shared" si="11"/>
        <v>0</v>
      </c>
      <c r="O42" s="162">
        <f t="shared" si="11"/>
        <v>0</v>
      </c>
      <c r="P42" s="162"/>
      <c r="Q42" s="163">
        <f t="shared" si="11"/>
        <v>0</v>
      </c>
    </row>
    <row r="43" spans="1:17" hidden="1" x14ac:dyDescent="0.25">
      <c r="A43" s="605" t="s">
        <v>0</v>
      </c>
      <c r="B43" s="599" t="s">
        <v>1</v>
      </c>
      <c r="C43" s="598" t="s">
        <v>2</v>
      </c>
      <c r="D43" s="179"/>
      <c r="E43" s="608" t="s">
        <v>3</v>
      </c>
      <c r="F43" s="180"/>
      <c r="G43" s="608" t="s">
        <v>4</v>
      </c>
      <c r="H43" s="608"/>
      <c r="I43" s="608"/>
      <c r="J43" s="608"/>
      <c r="K43" s="608"/>
      <c r="L43" s="608"/>
      <c r="M43" s="608"/>
      <c r="N43" s="608"/>
      <c r="O43" s="608"/>
      <c r="P43" s="608"/>
      <c r="Q43" s="609"/>
    </row>
    <row r="44" spans="1:17" hidden="1" x14ac:dyDescent="0.25">
      <c r="A44" s="605"/>
      <c r="B44" s="599"/>
      <c r="C44" s="598"/>
      <c r="D44" s="179"/>
      <c r="E44" s="608"/>
      <c r="F44" s="180"/>
      <c r="G44" s="598" t="s">
        <v>5</v>
      </c>
      <c r="H44" s="179"/>
      <c r="I44" s="608" t="s">
        <v>6</v>
      </c>
      <c r="J44" s="608"/>
      <c r="K44" s="608"/>
      <c r="L44" s="608"/>
      <c r="M44" s="608"/>
      <c r="N44" s="608"/>
      <c r="O44" s="608" t="s">
        <v>7</v>
      </c>
      <c r="P44" s="180"/>
      <c r="Q44" s="609" t="s">
        <v>8</v>
      </c>
    </row>
    <row r="45" spans="1:17" ht="39" hidden="1" x14ac:dyDescent="0.25">
      <c r="A45" s="605"/>
      <c r="B45" s="599"/>
      <c r="C45" s="598"/>
      <c r="D45" s="179"/>
      <c r="E45" s="608"/>
      <c r="F45" s="180"/>
      <c r="G45" s="598"/>
      <c r="H45" s="179"/>
      <c r="I45" s="180" t="s">
        <v>9</v>
      </c>
      <c r="J45" s="180" t="s">
        <v>10</v>
      </c>
      <c r="K45" s="180"/>
      <c r="L45" s="180" t="s">
        <v>11</v>
      </c>
      <c r="M45" s="180"/>
      <c r="N45" s="180" t="s">
        <v>12</v>
      </c>
      <c r="O45" s="608"/>
      <c r="P45" s="180"/>
      <c r="Q45" s="609"/>
    </row>
    <row r="46" spans="1:17" ht="26.25" hidden="1" x14ac:dyDescent="0.25">
      <c r="A46" s="175" t="s">
        <v>18</v>
      </c>
      <c r="B46" s="176" t="s">
        <v>19</v>
      </c>
      <c r="C46" s="176" t="s">
        <v>20</v>
      </c>
      <c r="D46" s="176"/>
      <c r="E46" s="176" t="s">
        <v>21</v>
      </c>
      <c r="F46" s="176"/>
      <c r="G46" s="176" t="s">
        <v>22</v>
      </c>
      <c r="H46" s="176"/>
      <c r="I46" s="176" t="s">
        <v>23</v>
      </c>
      <c r="J46" s="176" t="s">
        <v>24</v>
      </c>
      <c r="K46" s="176"/>
      <c r="L46" s="176" t="s">
        <v>25</v>
      </c>
      <c r="M46" s="176"/>
      <c r="N46" s="176" t="s">
        <v>26</v>
      </c>
      <c r="O46" s="176" t="s">
        <v>27</v>
      </c>
      <c r="P46" s="176"/>
      <c r="Q46" s="181" t="s">
        <v>28</v>
      </c>
    </row>
    <row r="47" spans="1:17" hidden="1" x14ac:dyDescent="0.25">
      <c r="A47" s="164">
        <v>5034</v>
      </c>
      <c r="B47" s="165">
        <v>717100</v>
      </c>
      <c r="C47" s="166" t="s">
        <v>57</v>
      </c>
      <c r="D47" s="166"/>
      <c r="E47" s="169"/>
      <c r="F47" s="169"/>
      <c r="G47" s="169">
        <f t="shared" si="10"/>
        <v>0</v>
      </c>
      <c r="H47" s="169"/>
      <c r="I47" s="169"/>
      <c r="J47" s="169"/>
      <c r="K47" s="169"/>
      <c r="L47" s="169"/>
      <c r="M47" s="169"/>
      <c r="N47" s="169"/>
      <c r="O47" s="169"/>
      <c r="P47" s="169"/>
      <c r="Q47" s="170"/>
    </row>
    <row r="48" spans="1:17" hidden="1" x14ac:dyDescent="0.25">
      <c r="A48" s="164">
        <v>5035</v>
      </c>
      <c r="B48" s="165">
        <v>717200</v>
      </c>
      <c r="C48" s="166" t="s">
        <v>58</v>
      </c>
      <c r="D48" s="166"/>
      <c r="E48" s="169"/>
      <c r="F48" s="169"/>
      <c r="G48" s="169">
        <f t="shared" si="10"/>
        <v>0</v>
      </c>
      <c r="H48" s="169"/>
      <c r="I48" s="169"/>
      <c r="J48" s="169"/>
      <c r="K48" s="169"/>
      <c r="L48" s="169"/>
      <c r="M48" s="169"/>
      <c r="N48" s="169"/>
      <c r="O48" s="169"/>
      <c r="P48" s="169"/>
      <c r="Q48" s="170"/>
    </row>
    <row r="49" spans="1:17" hidden="1" x14ac:dyDescent="0.25">
      <c r="A49" s="164">
        <v>5036</v>
      </c>
      <c r="B49" s="165">
        <v>717300</v>
      </c>
      <c r="C49" s="166" t="s">
        <v>59</v>
      </c>
      <c r="D49" s="166"/>
      <c r="E49" s="169"/>
      <c r="F49" s="169"/>
      <c r="G49" s="169">
        <f t="shared" si="10"/>
        <v>0</v>
      </c>
      <c r="H49" s="169"/>
      <c r="I49" s="169"/>
      <c r="J49" s="169"/>
      <c r="K49" s="169"/>
      <c r="L49" s="169"/>
      <c r="M49" s="169"/>
      <c r="N49" s="169"/>
      <c r="O49" s="169"/>
      <c r="P49" s="169"/>
      <c r="Q49" s="170"/>
    </row>
    <row r="50" spans="1:17" ht="26.25" hidden="1" x14ac:dyDescent="0.25">
      <c r="A50" s="164">
        <v>5037</v>
      </c>
      <c r="B50" s="165">
        <v>717400</v>
      </c>
      <c r="C50" s="166" t="s">
        <v>60</v>
      </c>
      <c r="D50" s="166"/>
      <c r="E50" s="169"/>
      <c r="F50" s="169"/>
      <c r="G50" s="169">
        <f t="shared" si="10"/>
        <v>0</v>
      </c>
      <c r="H50" s="169"/>
      <c r="I50" s="169"/>
      <c r="J50" s="169"/>
      <c r="K50" s="169"/>
      <c r="L50" s="169"/>
      <c r="M50" s="169"/>
      <c r="N50" s="169"/>
      <c r="O50" s="169"/>
      <c r="P50" s="169"/>
      <c r="Q50" s="170"/>
    </row>
    <row r="51" spans="1:17" hidden="1" x14ac:dyDescent="0.25">
      <c r="A51" s="164">
        <v>5038</v>
      </c>
      <c r="B51" s="165">
        <v>717500</v>
      </c>
      <c r="C51" s="166" t="s">
        <v>61</v>
      </c>
      <c r="D51" s="166"/>
      <c r="E51" s="169"/>
      <c r="F51" s="169"/>
      <c r="G51" s="169">
        <f t="shared" si="10"/>
        <v>0</v>
      </c>
      <c r="H51" s="169"/>
      <c r="I51" s="169"/>
      <c r="J51" s="169"/>
      <c r="K51" s="169"/>
      <c r="L51" s="169"/>
      <c r="M51" s="169"/>
      <c r="N51" s="169"/>
      <c r="O51" s="169"/>
      <c r="P51" s="169"/>
      <c r="Q51" s="170"/>
    </row>
    <row r="52" spans="1:17" hidden="1" x14ac:dyDescent="0.25">
      <c r="A52" s="164">
        <v>5039</v>
      </c>
      <c r="B52" s="165">
        <v>717600</v>
      </c>
      <c r="C52" s="166" t="s">
        <v>62</v>
      </c>
      <c r="D52" s="166"/>
      <c r="E52" s="169"/>
      <c r="F52" s="169"/>
      <c r="G52" s="169">
        <f t="shared" si="10"/>
        <v>0</v>
      </c>
      <c r="H52" s="169"/>
      <c r="I52" s="169"/>
      <c r="J52" s="169"/>
      <c r="K52" s="169"/>
      <c r="L52" s="169"/>
      <c r="M52" s="169"/>
      <c r="N52" s="169"/>
      <c r="O52" s="169"/>
      <c r="P52" s="169"/>
      <c r="Q52" s="170"/>
    </row>
    <row r="53" spans="1:17" ht="77.25" hidden="1" x14ac:dyDescent="0.25">
      <c r="A53" s="155">
        <v>5040</v>
      </c>
      <c r="B53" s="154">
        <v>719000</v>
      </c>
      <c r="C53" s="158" t="s">
        <v>63</v>
      </c>
      <c r="D53" s="158"/>
      <c r="E53" s="162">
        <f>SUM(E54:E59)</f>
        <v>0</v>
      </c>
      <c r="F53" s="162"/>
      <c r="G53" s="162">
        <f t="shared" si="10"/>
        <v>0</v>
      </c>
      <c r="H53" s="162"/>
      <c r="I53" s="162">
        <f t="shared" ref="I53:Q53" si="12">SUM(I54:I59)</f>
        <v>0</v>
      </c>
      <c r="J53" s="162">
        <f t="shared" si="12"/>
        <v>0</v>
      </c>
      <c r="K53" s="162"/>
      <c r="L53" s="162">
        <f t="shared" si="12"/>
        <v>0</v>
      </c>
      <c r="M53" s="162"/>
      <c r="N53" s="162">
        <f t="shared" si="12"/>
        <v>0</v>
      </c>
      <c r="O53" s="162">
        <f t="shared" si="12"/>
        <v>0</v>
      </c>
      <c r="P53" s="162"/>
      <c r="Q53" s="163">
        <f t="shared" si="12"/>
        <v>0</v>
      </c>
    </row>
    <row r="54" spans="1:17" ht="39" hidden="1" x14ac:dyDescent="0.25">
      <c r="A54" s="164">
        <v>5041</v>
      </c>
      <c r="B54" s="165">
        <v>719100</v>
      </c>
      <c r="C54" s="166" t="s">
        <v>64</v>
      </c>
      <c r="D54" s="166"/>
      <c r="E54" s="169"/>
      <c r="F54" s="169"/>
      <c r="G54" s="169">
        <f t="shared" si="10"/>
        <v>0</v>
      </c>
      <c r="H54" s="169"/>
      <c r="I54" s="169"/>
      <c r="J54" s="169"/>
      <c r="K54" s="169"/>
      <c r="L54" s="169"/>
      <c r="M54" s="169"/>
      <c r="N54" s="169"/>
      <c r="O54" s="169"/>
      <c r="P54" s="169"/>
      <c r="Q54" s="170"/>
    </row>
    <row r="55" spans="1:17" ht="51.75" hidden="1" x14ac:dyDescent="0.25">
      <c r="A55" s="164">
        <v>5042</v>
      </c>
      <c r="B55" s="165">
        <v>719200</v>
      </c>
      <c r="C55" s="166" t="s">
        <v>65</v>
      </c>
      <c r="D55" s="166"/>
      <c r="E55" s="169"/>
      <c r="F55" s="169"/>
      <c r="G55" s="169">
        <f t="shared" si="10"/>
        <v>0</v>
      </c>
      <c r="H55" s="169"/>
      <c r="I55" s="169"/>
      <c r="J55" s="169"/>
      <c r="K55" s="169"/>
      <c r="L55" s="169"/>
      <c r="M55" s="169"/>
      <c r="N55" s="169"/>
      <c r="O55" s="169"/>
      <c r="P55" s="169"/>
      <c r="Q55" s="170"/>
    </row>
    <row r="56" spans="1:17" ht="39" hidden="1" x14ac:dyDescent="0.25">
      <c r="A56" s="164">
        <v>5043</v>
      </c>
      <c r="B56" s="165">
        <v>719300</v>
      </c>
      <c r="C56" s="166" t="s">
        <v>66</v>
      </c>
      <c r="D56" s="166"/>
      <c r="E56" s="169"/>
      <c r="F56" s="169"/>
      <c r="G56" s="169">
        <f t="shared" si="10"/>
        <v>0</v>
      </c>
      <c r="H56" s="169"/>
      <c r="I56" s="169"/>
      <c r="J56" s="169"/>
      <c r="K56" s="169"/>
      <c r="L56" s="169"/>
      <c r="M56" s="169"/>
      <c r="N56" s="169"/>
      <c r="O56" s="169"/>
      <c r="P56" s="169"/>
      <c r="Q56" s="170"/>
    </row>
    <row r="57" spans="1:17" ht="26.25" hidden="1" x14ac:dyDescent="0.25">
      <c r="A57" s="164">
        <v>5044</v>
      </c>
      <c r="B57" s="165">
        <v>719400</v>
      </c>
      <c r="C57" s="166" t="s">
        <v>67</v>
      </c>
      <c r="D57" s="166"/>
      <c r="E57" s="169"/>
      <c r="F57" s="169"/>
      <c r="G57" s="169">
        <f t="shared" si="10"/>
        <v>0</v>
      </c>
      <c r="H57" s="169"/>
      <c r="I57" s="169"/>
      <c r="J57" s="169"/>
      <c r="K57" s="169"/>
      <c r="L57" s="169"/>
      <c r="M57" s="169"/>
      <c r="N57" s="169"/>
      <c r="O57" s="169"/>
      <c r="P57" s="169"/>
      <c r="Q57" s="170"/>
    </row>
    <row r="58" spans="1:17" ht="39" hidden="1" x14ac:dyDescent="0.25">
      <c r="A58" s="164">
        <v>5045</v>
      </c>
      <c r="B58" s="165">
        <v>719500</v>
      </c>
      <c r="C58" s="166" t="s">
        <v>68</v>
      </c>
      <c r="D58" s="166"/>
      <c r="E58" s="169"/>
      <c r="F58" s="169"/>
      <c r="G58" s="169">
        <f t="shared" si="10"/>
        <v>0</v>
      </c>
      <c r="H58" s="169"/>
      <c r="I58" s="169"/>
      <c r="J58" s="169"/>
      <c r="K58" s="169"/>
      <c r="L58" s="169"/>
      <c r="M58" s="169"/>
      <c r="N58" s="169"/>
      <c r="O58" s="169"/>
      <c r="P58" s="169"/>
      <c r="Q58" s="170"/>
    </row>
    <row r="59" spans="1:17" ht="26.25" hidden="1" x14ac:dyDescent="0.25">
      <c r="A59" s="164">
        <v>5046</v>
      </c>
      <c r="B59" s="165">
        <v>719600</v>
      </c>
      <c r="C59" s="166" t="s">
        <v>69</v>
      </c>
      <c r="D59" s="166"/>
      <c r="E59" s="169"/>
      <c r="F59" s="169"/>
      <c r="G59" s="169">
        <f t="shared" si="10"/>
        <v>0</v>
      </c>
      <c r="H59" s="169"/>
      <c r="I59" s="169"/>
      <c r="J59" s="169"/>
      <c r="K59" s="169"/>
      <c r="L59" s="169"/>
      <c r="M59" s="169"/>
      <c r="N59" s="169"/>
      <c r="O59" s="169"/>
      <c r="P59" s="169"/>
      <c r="Q59" s="170"/>
    </row>
    <row r="60" spans="1:17" ht="26.25" hidden="1" x14ac:dyDescent="0.25">
      <c r="A60" s="155">
        <v>5047</v>
      </c>
      <c r="B60" s="154">
        <v>720000</v>
      </c>
      <c r="C60" s="158" t="s">
        <v>70</v>
      </c>
      <c r="D60" s="158"/>
      <c r="E60" s="159">
        <f>E61+E66</f>
        <v>0</v>
      </c>
      <c r="F60" s="159"/>
      <c r="G60" s="159">
        <f t="shared" si="10"/>
        <v>0</v>
      </c>
      <c r="H60" s="159"/>
      <c r="I60" s="159">
        <f t="shared" ref="I60:Q60" si="13">I61+I66</f>
        <v>0</v>
      </c>
      <c r="J60" s="159">
        <f t="shared" si="13"/>
        <v>0</v>
      </c>
      <c r="K60" s="159"/>
      <c r="L60" s="159">
        <f t="shared" si="13"/>
        <v>0</v>
      </c>
      <c r="M60" s="159"/>
      <c r="N60" s="159">
        <f t="shared" si="13"/>
        <v>0</v>
      </c>
      <c r="O60" s="159">
        <f t="shared" si="13"/>
        <v>0</v>
      </c>
      <c r="P60" s="159"/>
      <c r="Q60" s="160">
        <f t="shared" si="13"/>
        <v>0</v>
      </c>
    </row>
    <row r="61" spans="1:17" ht="26.25" hidden="1" x14ac:dyDescent="0.25">
      <c r="A61" s="155">
        <v>5048</v>
      </c>
      <c r="B61" s="154">
        <v>721000</v>
      </c>
      <c r="C61" s="158" t="s">
        <v>71</v>
      </c>
      <c r="D61" s="158"/>
      <c r="E61" s="159">
        <f>SUM(E62:E65)</f>
        <v>0</v>
      </c>
      <c r="F61" s="159"/>
      <c r="G61" s="159">
        <f t="shared" si="10"/>
        <v>0</v>
      </c>
      <c r="H61" s="159"/>
      <c r="I61" s="159">
        <f t="shared" ref="I61:Q61" si="14">SUM(I62:I65)</f>
        <v>0</v>
      </c>
      <c r="J61" s="159">
        <f t="shared" si="14"/>
        <v>0</v>
      </c>
      <c r="K61" s="159"/>
      <c r="L61" s="159">
        <f t="shared" si="14"/>
        <v>0</v>
      </c>
      <c r="M61" s="159"/>
      <c r="N61" s="159">
        <f t="shared" si="14"/>
        <v>0</v>
      </c>
      <c r="O61" s="159">
        <f t="shared" si="14"/>
        <v>0</v>
      </c>
      <c r="P61" s="159"/>
      <c r="Q61" s="160">
        <f t="shared" si="14"/>
        <v>0</v>
      </c>
    </row>
    <row r="62" spans="1:17" ht="26.25" hidden="1" x14ac:dyDescent="0.25">
      <c r="A62" s="164">
        <v>5049</v>
      </c>
      <c r="B62" s="165">
        <v>721100</v>
      </c>
      <c r="C62" s="166" t="s">
        <v>72</v>
      </c>
      <c r="D62" s="166"/>
      <c r="E62" s="182"/>
      <c r="F62" s="182"/>
      <c r="G62" s="183">
        <f t="shared" si="10"/>
        <v>0</v>
      </c>
      <c r="H62" s="183"/>
      <c r="I62" s="182"/>
      <c r="J62" s="182"/>
      <c r="K62" s="182"/>
      <c r="L62" s="182"/>
      <c r="M62" s="182"/>
      <c r="N62" s="182"/>
      <c r="O62" s="182"/>
      <c r="P62" s="182"/>
      <c r="Q62" s="184"/>
    </row>
    <row r="63" spans="1:17" ht="26.25" hidden="1" x14ac:dyDescent="0.25">
      <c r="A63" s="164">
        <v>5050</v>
      </c>
      <c r="B63" s="165">
        <v>721200</v>
      </c>
      <c r="C63" s="166" t="s">
        <v>73</v>
      </c>
      <c r="D63" s="166"/>
      <c r="E63" s="182"/>
      <c r="F63" s="182"/>
      <c r="G63" s="183">
        <f t="shared" si="10"/>
        <v>0</v>
      </c>
      <c r="H63" s="183"/>
      <c r="I63" s="182"/>
      <c r="J63" s="182"/>
      <c r="K63" s="182"/>
      <c r="L63" s="182"/>
      <c r="M63" s="182"/>
      <c r="N63" s="182"/>
      <c r="O63" s="182"/>
      <c r="P63" s="182"/>
      <c r="Q63" s="184"/>
    </row>
    <row r="64" spans="1:17" ht="51.75" hidden="1" x14ac:dyDescent="0.25">
      <c r="A64" s="164">
        <v>5051</v>
      </c>
      <c r="B64" s="165">
        <v>721300</v>
      </c>
      <c r="C64" s="166" t="s">
        <v>74</v>
      </c>
      <c r="D64" s="166"/>
      <c r="E64" s="182"/>
      <c r="F64" s="182"/>
      <c r="G64" s="183">
        <f t="shared" si="10"/>
        <v>0</v>
      </c>
      <c r="H64" s="183"/>
      <c r="I64" s="182"/>
      <c r="J64" s="182"/>
      <c r="K64" s="182"/>
      <c r="L64" s="182"/>
      <c r="M64" s="182"/>
      <c r="N64" s="182"/>
      <c r="O64" s="182"/>
      <c r="P64" s="182"/>
      <c r="Q64" s="184"/>
    </row>
    <row r="65" spans="1:17" ht="39" hidden="1" x14ac:dyDescent="0.25">
      <c r="A65" s="164">
        <v>5052</v>
      </c>
      <c r="B65" s="165">
        <v>721400</v>
      </c>
      <c r="C65" s="166" t="s">
        <v>75</v>
      </c>
      <c r="D65" s="166"/>
      <c r="E65" s="182"/>
      <c r="F65" s="182"/>
      <c r="G65" s="183">
        <f t="shared" si="10"/>
        <v>0</v>
      </c>
      <c r="H65" s="183"/>
      <c r="I65" s="182"/>
      <c r="J65" s="182"/>
      <c r="K65" s="182"/>
      <c r="L65" s="182"/>
      <c r="M65" s="182"/>
      <c r="N65" s="182"/>
      <c r="O65" s="182"/>
      <c r="P65" s="182"/>
      <c r="Q65" s="184"/>
    </row>
    <row r="66" spans="1:17" ht="26.25" hidden="1" x14ac:dyDescent="0.25">
      <c r="A66" s="155">
        <v>5053</v>
      </c>
      <c r="B66" s="154">
        <v>722000</v>
      </c>
      <c r="C66" s="158" t="s">
        <v>76</v>
      </c>
      <c r="D66" s="158"/>
      <c r="E66" s="159">
        <f>SUM(E67:E69)</f>
        <v>0</v>
      </c>
      <c r="F66" s="159"/>
      <c r="G66" s="159">
        <f t="shared" si="10"/>
        <v>0</v>
      </c>
      <c r="H66" s="159"/>
      <c r="I66" s="159">
        <f t="shared" ref="I66:Q66" si="15">SUM(I67:I69)</f>
        <v>0</v>
      </c>
      <c r="J66" s="159">
        <f t="shared" si="15"/>
        <v>0</v>
      </c>
      <c r="K66" s="159"/>
      <c r="L66" s="159">
        <f t="shared" si="15"/>
        <v>0</v>
      </c>
      <c r="M66" s="159"/>
      <c r="N66" s="159">
        <f t="shared" si="15"/>
        <v>0</v>
      </c>
      <c r="O66" s="159">
        <f t="shared" si="15"/>
        <v>0</v>
      </c>
      <c r="P66" s="159"/>
      <c r="Q66" s="160">
        <f t="shared" si="15"/>
        <v>0</v>
      </c>
    </row>
    <row r="67" spans="1:17" ht="26.25" hidden="1" x14ac:dyDescent="0.25">
      <c r="A67" s="164">
        <v>5054</v>
      </c>
      <c r="B67" s="165">
        <v>722100</v>
      </c>
      <c r="C67" s="166" t="s">
        <v>77</v>
      </c>
      <c r="D67" s="166"/>
      <c r="E67" s="182"/>
      <c r="F67" s="182"/>
      <c r="G67" s="183">
        <f t="shared" si="10"/>
        <v>0</v>
      </c>
      <c r="H67" s="183"/>
      <c r="I67" s="182"/>
      <c r="J67" s="182"/>
      <c r="K67" s="182"/>
      <c r="L67" s="182"/>
      <c r="M67" s="182"/>
      <c r="N67" s="182"/>
      <c r="O67" s="182"/>
      <c r="P67" s="182"/>
      <c r="Q67" s="184"/>
    </row>
    <row r="68" spans="1:17" ht="26.25" hidden="1" x14ac:dyDescent="0.25">
      <c r="A68" s="164">
        <v>5055</v>
      </c>
      <c r="B68" s="165">
        <v>722200</v>
      </c>
      <c r="C68" s="166" t="s">
        <v>78</v>
      </c>
      <c r="D68" s="166"/>
      <c r="E68" s="182"/>
      <c r="F68" s="182"/>
      <c r="G68" s="183">
        <f t="shared" si="10"/>
        <v>0</v>
      </c>
      <c r="H68" s="183"/>
      <c r="I68" s="182"/>
      <c r="J68" s="182"/>
      <c r="K68" s="182"/>
      <c r="L68" s="182"/>
      <c r="M68" s="182"/>
      <c r="N68" s="182"/>
      <c r="O68" s="182"/>
      <c r="P68" s="182"/>
      <c r="Q68" s="184"/>
    </row>
    <row r="69" spans="1:17" ht="26.25" hidden="1" x14ac:dyDescent="0.25">
      <c r="A69" s="164">
        <v>5056</v>
      </c>
      <c r="B69" s="165">
        <v>722300</v>
      </c>
      <c r="C69" s="166" t="s">
        <v>79</v>
      </c>
      <c r="D69" s="166"/>
      <c r="E69" s="182"/>
      <c r="F69" s="182"/>
      <c r="G69" s="183">
        <f t="shared" si="10"/>
        <v>0</v>
      </c>
      <c r="H69" s="183"/>
      <c r="I69" s="182"/>
      <c r="J69" s="182"/>
      <c r="K69" s="182"/>
      <c r="L69" s="182"/>
      <c r="M69" s="182"/>
      <c r="N69" s="182"/>
      <c r="O69" s="182"/>
      <c r="P69" s="182"/>
      <c r="Q69" s="184"/>
    </row>
    <row r="70" spans="1:17" hidden="1" x14ac:dyDescent="0.25">
      <c r="A70" s="605" t="s">
        <v>0</v>
      </c>
      <c r="B70" s="599" t="s">
        <v>1</v>
      </c>
      <c r="C70" s="598" t="s">
        <v>2</v>
      </c>
      <c r="D70" s="179"/>
      <c r="E70" s="600" t="s">
        <v>3</v>
      </c>
      <c r="F70" s="154"/>
      <c r="G70" s="600" t="s">
        <v>4</v>
      </c>
      <c r="H70" s="600"/>
      <c r="I70" s="600"/>
      <c r="J70" s="600"/>
      <c r="K70" s="600"/>
      <c r="L70" s="600"/>
      <c r="M70" s="600"/>
      <c r="N70" s="600"/>
      <c r="O70" s="600"/>
      <c r="P70" s="600"/>
      <c r="Q70" s="606"/>
    </row>
    <row r="71" spans="1:17" hidden="1" x14ac:dyDescent="0.25">
      <c r="A71" s="605"/>
      <c r="B71" s="599"/>
      <c r="C71" s="598"/>
      <c r="D71" s="179"/>
      <c r="E71" s="600"/>
      <c r="F71" s="154"/>
      <c r="G71" s="607" t="s">
        <v>5</v>
      </c>
      <c r="H71" s="173"/>
      <c r="I71" s="600" t="s">
        <v>6</v>
      </c>
      <c r="J71" s="600"/>
      <c r="K71" s="600"/>
      <c r="L71" s="600"/>
      <c r="M71" s="600"/>
      <c r="N71" s="600"/>
      <c r="O71" s="600" t="s">
        <v>7</v>
      </c>
      <c r="P71" s="154"/>
      <c r="Q71" s="606" t="s">
        <v>8</v>
      </c>
    </row>
    <row r="72" spans="1:17" ht="39" hidden="1" x14ac:dyDescent="0.25">
      <c r="A72" s="605"/>
      <c r="B72" s="599"/>
      <c r="C72" s="598"/>
      <c r="D72" s="179"/>
      <c r="E72" s="600"/>
      <c r="F72" s="154"/>
      <c r="G72" s="607"/>
      <c r="H72" s="173"/>
      <c r="I72" s="154" t="s">
        <v>9</v>
      </c>
      <c r="J72" s="154" t="s">
        <v>10</v>
      </c>
      <c r="K72" s="154"/>
      <c r="L72" s="154" t="s">
        <v>11</v>
      </c>
      <c r="M72" s="154"/>
      <c r="N72" s="154" t="s">
        <v>12</v>
      </c>
      <c r="O72" s="600"/>
      <c r="P72" s="154"/>
      <c r="Q72" s="606"/>
    </row>
    <row r="73" spans="1:17" ht="26.25" hidden="1" x14ac:dyDescent="0.25">
      <c r="A73" s="175" t="s">
        <v>18</v>
      </c>
      <c r="B73" s="176" t="s">
        <v>19</v>
      </c>
      <c r="C73" s="176" t="s">
        <v>20</v>
      </c>
      <c r="D73" s="176"/>
      <c r="E73" s="177" t="s">
        <v>21</v>
      </c>
      <c r="F73" s="177"/>
      <c r="G73" s="177" t="s">
        <v>22</v>
      </c>
      <c r="H73" s="177"/>
      <c r="I73" s="177" t="s">
        <v>23</v>
      </c>
      <c r="J73" s="177" t="s">
        <v>24</v>
      </c>
      <c r="K73" s="177"/>
      <c r="L73" s="177" t="s">
        <v>25</v>
      </c>
      <c r="M73" s="177"/>
      <c r="N73" s="177" t="s">
        <v>26</v>
      </c>
      <c r="O73" s="177" t="s">
        <v>27</v>
      </c>
      <c r="P73" s="177"/>
      <c r="Q73" s="178" t="s">
        <v>28</v>
      </c>
    </row>
    <row r="74" spans="1:17" ht="39" hidden="1" x14ac:dyDescent="0.25">
      <c r="A74" s="155">
        <v>5057</v>
      </c>
      <c r="B74" s="154">
        <v>730000</v>
      </c>
      <c r="C74" s="158" t="s">
        <v>80</v>
      </c>
      <c r="D74" s="158"/>
      <c r="E74" s="159">
        <f>E75+E78+E83</f>
        <v>0</v>
      </c>
      <c r="F74" s="159"/>
      <c r="G74" s="159">
        <f t="shared" si="10"/>
        <v>0</v>
      </c>
      <c r="H74" s="159"/>
      <c r="I74" s="159">
        <f t="shared" ref="I74:Q74" si="16">I75+I78+I83</f>
        <v>0</v>
      </c>
      <c r="J74" s="159">
        <f t="shared" si="16"/>
        <v>0</v>
      </c>
      <c r="K74" s="159"/>
      <c r="L74" s="159">
        <f t="shared" si="16"/>
        <v>0</v>
      </c>
      <c r="M74" s="159"/>
      <c r="N74" s="159">
        <f t="shared" si="16"/>
        <v>0</v>
      </c>
      <c r="O74" s="159">
        <f t="shared" si="16"/>
        <v>0</v>
      </c>
      <c r="P74" s="159"/>
      <c r="Q74" s="160">
        <f t="shared" si="16"/>
        <v>0</v>
      </c>
    </row>
    <row r="75" spans="1:17" ht="26.25" hidden="1" x14ac:dyDescent="0.25">
      <c r="A75" s="155">
        <v>5058</v>
      </c>
      <c r="B75" s="154">
        <v>731000</v>
      </c>
      <c r="C75" s="158" t="s">
        <v>81</v>
      </c>
      <c r="D75" s="158"/>
      <c r="E75" s="159">
        <f>E76+E77</f>
        <v>0</v>
      </c>
      <c r="F75" s="159"/>
      <c r="G75" s="159">
        <f t="shared" si="10"/>
        <v>0</v>
      </c>
      <c r="H75" s="159"/>
      <c r="I75" s="159">
        <f t="shared" ref="I75:Q75" si="17">I76+I77</f>
        <v>0</v>
      </c>
      <c r="J75" s="159">
        <f t="shared" si="17"/>
        <v>0</v>
      </c>
      <c r="K75" s="159"/>
      <c r="L75" s="159">
        <f t="shared" si="17"/>
        <v>0</v>
      </c>
      <c r="M75" s="159"/>
      <c r="N75" s="159">
        <f t="shared" si="17"/>
        <v>0</v>
      </c>
      <c r="O75" s="159">
        <f t="shared" si="17"/>
        <v>0</v>
      </c>
      <c r="P75" s="159"/>
      <c r="Q75" s="160">
        <f t="shared" si="17"/>
        <v>0</v>
      </c>
    </row>
    <row r="76" spans="1:17" ht="26.25" hidden="1" x14ac:dyDescent="0.25">
      <c r="A76" s="164">
        <v>5059</v>
      </c>
      <c r="B76" s="165">
        <v>731100</v>
      </c>
      <c r="C76" s="166" t="s">
        <v>82</v>
      </c>
      <c r="D76" s="166"/>
      <c r="E76" s="182"/>
      <c r="F76" s="182"/>
      <c r="G76" s="183">
        <f t="shared" si="10"/>
        <v>0</v>
      </c>
      <c r="H76" s="183"/>
      <c r="I76" s="182"/>
      <c r="J76" s="182"/>
      <c r="K76" s="182"/>
      <c r="L76" s="182"/>
      <c r="M76" s="182"/>
      <c r="N76" s="182"/>
      <c r="O76" s="182"/>
      <c r="P76" s="182"/>
      <c r="Q76" s="184"/>
    </row>
    <row r="77" spans="1:17" ht="26.25" hidden="1" x14ac:dyDescent="0.25">
      <c r="A77" s="164">
        <v>5060</v>
      </c>
      <c r="B77" s="165">
        <v>731200</v>
      </c>
      <c r="C77" s="166" t="s">
        <v>83</v>
      </c>
      <c r="D77" s="166"/>
      <c r="E77" s="182"/>
      <c r="F77" s="182"/>
      <c r="G77" s="183">
        <f t="shared" si="10"/>
        <v>0</v>
      </c>
      <c r="H77" s="183"/>
      <c r="I77" s="182"/>
      <c r="J77" s="182"/>
      <c r="K77" s="182"/>
      <c r="L77" s="182"/>
      <c r="M77" s="182"/>
      <c r="N77" s="182"/>
      <c r="O77" s="182"/>
      <c r="P77" s="182"/>
      <c r="Q77" s="184"/>
    </row>
    <row r="78" spans="1:17" ht="51.75" hidden="1" x14ac:dyDescent="0.25">
      <c r="A78" s="155">
        <v>5061</v>
      </c>
      <c r="B78" s="154">
        <v>732000</v>
      </c>
      <c r="C78" s="158" t="s">
        <v>84</v>
      </c>
      <c r="D78" s="158"/>
      <c r="E78" s="159">
        <f>E79+E80+E81+E82</f>
        <v>0</v>
      </c>
      <c r="F78" s="159"/>
      <c r="G78" s="159">
        <f t="shared" si="10"/>
        <v>0</v>
      </c>
      <c r="H78" s="159"/>
      <c r="I78" s="159">
        <f t="shared" ref="I78:Q78" si="18">I79+I80+I81+I82</f>
        <v>0</v>
      </c>
      <c r="J78" s="159">
        <f t="shared" si="18"/>
        <v>0</v>
      </c>
      <c r="K78" s="159"/>
      <c r="L78" s="159">
        <f t="shared" si="18"/>
        <v>0</v>
      </c>
      <c r="M78" s="159"/>
      <c r="N78" s="159">
        <f t="shared" si="18"/>
        <v>0</v>
      </c>
      <c r="O78" s="159">
        <f t="shared" si="18"/>
        <v>0</v>
      </c>
      <c r="P78" s="159"/>
      <c r="Q78" s="160">
        <f t="shared" si="18"/>
        <v>0</v>
      </c>
    </row>
    <row r="79" spans="1:17" ht="26.25" hidden="1" x14ac:dyDescent="0.25">
      <c r="A79" s="164">
        <v>5062</v>
      </c>
      <c r="B79" s="165">
        <v>732100</v>
      </c>
      <c r="C79" s="166" t="s">
        <v>85</v>
      </c>
      <c r="D79" s="166"/>
      <c r="E79" s="182"/>
      <c r="F79" s="182"/>
      <c r="G79" s="183">
        <f t="shared" si="10"/>
        <v>0</v>
      </c>
      <c r="H79" s="183"/>
      <c r="I79" s="182"/>
      <c r="J79" s="182"/>
      <c r="K79" s="182"/>
      <c r="L79" s="182"/>
      <c r="M79" s="182"/>
      <c r="N79" s="182"/>
      <c r="O79" s="182"/>
      <c r="P79" s="182"/>
      <c r="Q79" s="184"/>
    </row>
    <row r="80" spans="1:17" ht="26.25" hidden="1" x14ac:dyDescent="0.25">
      <c r="A80" s="164">
        <v>5063</v>
      </c>
      <c r="B80" s="165">
        <v>732200</v>
      </c>
      <c r="C80" s="166" t="s">
        <v>86</v>
      </c>
      <c r="D80" s="166"/>
      <c r="E80" s="182"/>
      <c r="F80" s="182"/>
      <c r="G80" s="183">
        <f t="shared" si="10"/>
        <v>0</v>
      </c>
      <c r="H80" s="183"/>
      <c r="I80" s="182"/>
      <c r="J80" s="182"/>
      <c r="K80" s="182"/>
      <c r="L80" s="182"/>
      <c r="M80" s="182"/>
      <c r="N80" s="182"/>
      <c r="O80" s="182"/>
      <c r="P80" s="182"/>
      <c r="Q80" s="184"/>
    </row>
    <row r="81" spans="1:17" hidden="1" x14ac:dyDescent="0.25">
      <c r="A81" s="164">
        <v>5064</v>
      </c>
      <c r="B81" s="165">
        <v>732300</v>
      </c>
      <c r="C81" s="166" t="s">
        <v>87</v>
      </c>
      <c r="D81" s="166"/>
      <c r="E81" s="182"/>
      <c r="F81" s="182"/>
      <c r="G81" s="183">
        <f t="shared" si="10"/>
        <v>0</v>
      </c>
      <c r="H81" s="183"/>
      <c r="I81" s="182"/>
      <c r="J81" s="182"/>
      <c r="K81" s="182"/>
      <c r="L81" s="182"/>
      <c r="M81" s="182"/>
      <c r="N81" s="182"/>
      <c r="O81" s="182"/>
      <c r="P81" s="182"/>
      <c r="Q81" s="184"/>
    </row>
    <row r="82" spans="1:17" hidden="1" x14ac:dyDescent="0.25">
      <c r="A82" s="164">
        <v>5065</v>
      </c>
      <c r="B82" s="165">
        <v>732400</v>
      </c>
      <c r="C82" s="166" t="s">
        <v>88</v>
      </c>
      <c r="D82" s="166"/>
      <c r="E82" s="182"/>
      <c r="F82" s="182"/>
      <c r="G82" s="183">
        <f t="shared" si="10"/>
        <v>0</v>
      </c>
      <c r="H82" s="183"/>
      <c r="I82" s="182"/>
      <c r="J82" s="182"/>
      <c r="K82" s="182"/>
      <c r="L82" s="182"/>
      <c r="M82" s="182"/>
      <c r="N82" s="182"/>
      <c r="O82" s="182"/>
      <c r="P82" s="182"/>
      <c r="Q82" s="184"/>
    </row>
    <row r="83" spans="1:17" ht="26.25" hidden="1" x14ac:dyDescent="0.25">
      <c r="A83" s="155">
        <v>5066</v>
      </c>
      <c r="B83" s="154">
        <v>733000</v>
      </c>
      <c r="C83" s="158" t="s">
        <v>89</v>
      </c>
      <c r="D83" s="158"/>
      <c r="E83" s="159">
        <f>E84+E85</f>
        <v>0</v>
      </c>
      <c r="F83" s="159"/>
      <c r="G83" s="159">
        <f t="shared" si="10"/>
        <v>0</v>
      </c>
      <c r="H83" s="159"/>
      <c r="I83" s="159">
        <f t="shared" ref="I83:Q83" si="19">I84+I85</f>
        <v>0</v>
      </c>
      <c r="J83" s="159">
        <f t="shared" si="19"/>
        <v>0</v>
      </c>
      <c r="K83" s="159"/>
      <c r="L83" s="159">
        <f t="shared" si="19"/>
        <v>0</v>
      </c>
      <c r="M83" s="159"/>
      <c r="N83" s="159">
        <f t="shared" si="19"/>
        <v>0</v>
      </c>
      <c r="O83" s="159">
        <f t="shared" si="19"/>
        <v>0</v>
      </c>
      <c r="P83" s="159"/>
      <c r="Q83" s="160">
        <f t="shared" si="19"/>
        <v>0</v>
      </c>
    </row>
    <row r="84" spans="1:17" ht="26.25" hidden="1" x14ac:dyDescent="0.25">
      <c r="A84" s="164">
        <v>5067</v>
      </c>
      <c r="B84" s="165">
        <v>733100</v>
      </c>
      <c r="C84" s="166" t="s">
        <v>90</v>
      </c>
      <c r="D84" s="166"/>
      <c r="E84" s="182"/>
      <c r="F84" s="182"/>
      <c r="G84" s="183">
        <f t="shared" ref="G84:G119" si="20">SUM(I84:Q84)</f>
        <v>0</v>
      </c>
      <c r="H84" s="183"/>
      <c r="I84" s="182"/>
      <c r="J84" s="182"/>
      <c r="K84" s="182"/>
      <c r="L84" s="182"/>
      <c r="M84" s="182"/>
      <c r="N84" s="182"/>
      <c r="O84" s="182"/>
      <c r="P84" s="182"/>
      <c r="Q84" s="184"/>
    </row>
    <row r="85" spans="1:17" ht="26.25" hidden="1" x14ac:dyDescent="0.25">
      <c r="A85" s="164">
        <v>5068</v>
      </c>
      <c r="B85" s="165">
        <v>733200</v>
      </c>
      <c r="C85" s="166" t="s">
        <v>91</v>
      </c>
      <c r="D85" s="166"/>
      <c r="E85" s="182"/>
      <c r="F85" s="182"/>
      <c r="G85" s="183">
        <f t="shared" si="20"/>
        <v>0</v>
      </c>
      <c r="H85" s="183"/>
      <c r="I85" s="182"/>
      <c r="J85" s="182"/>
      <c r="K85" s="182"/>
      <c r="L85" s="182"/>
      <c r="M85" s="182"/>
      <c r="N85" s="182"/>
      <c r="O85" s="182"/>
      <c r="P85" s="182"/>
      <c r="Q85" s="184"/>
    </row>
    <row r="86" spans="1:17" ht="26.25" x14ac:dyDescent="0.25">
      <c r="A86" s="155">
        <v>5069</v>
      </c>
      <c r="B86" s="154">
        <v>740000</v>
      </c>
      <c r="C86" s="158" t="s">
        <v>92</v>
      </c>
      <c r="D86" s="158"/>
      <c r="E86" s="159">
        <f>E87+E94+E99+E110+E113</f>
        <v>19095</v>
      </c>
      <c r="F86" s="159">
        <f>F87+F94+F99+F110+F113+F120</f>
        <v>14931</v>
      </c>
      <c r="G86" s="159">
        <f t="shared" ref="G86:Q86" si="21">G87+G94+G99+G110+G113</f>
        <v>14780</v>
      </c>
      <c r="H86" s="159">
        <f>H87+H94+H99+H110+H113</f>
        <v>1200</v>
      </c>
      <c r="I86" s="159">
        <f t="shared" si="21"/>
        <v>1165</v>
      </c>
      <c r="J86" s="159">
        <f t="shared" si="21"/>
        <v>0</v>
      </c>
      <c r="K86" s="159">
        <f t="shared" si="21"/>
        <v>0</v>
      </c>
      <c r="L86" s="159">
        <f t="shared" si="21"/>
        <v>0</v>
      </c>
      <c r="M86" s="159">
        <v>1131</v>
      </c>
      <c r="N86" s="159">
        <f t="shared" si="21"/>
        <v>1130</v>
      </c>
      <c r="O86" s="159">
        <f t="shared" si="21"/>
        <v>0</v>
      </c>
      <c r="P86" s="159">
        <f>P87+P94+P99+P110+P113+P120</f>
        <v>12600</v>
      </c>
      <c r="Q86" s="160">
        <f t="shared" si="21"/>
        <v>12485</v>
      </c>
    </row>
    <row r="87" spans="1:17" ht="26.25" x14ac:dyDescent="0.25">
      <c r="A87" s="155">
        <v>5070</v>
      </c>
      <c r="B87" s="154">
        <v>741000</v>
      </c>
      <c r="C87" s="158" t="s">
        <v>93</v>
      </c>
      <c r="D87" s="158"/>
      <c r="E87" s="159">
        <f>SUM(E88:E93)</f>
        <v>1130</v>
      </c>
      <c r="F87" s="159">
        <f t="shared" ref="F87:Q87" si="22">SUM(F88:F93)</f>
        <v>1131</v>
      </c>
      <c r="G87" s="159">
        <f>SUM(G88:G93)</f>
        <v>1130</v>
      </c>
      <c r="H87" s="159">
        <f t="shared" si="22"/>
        <v>0</v>
      </c>
      <c r="I87" s="159">
        <f t="shared" si="22"/>
        <v>0</v>
      </c>
      <c r="J87" s="159">
        <f t="shared" si="22"/>
        <v>0</v>
      </c>
      <c r="K87" s="159">
        <f t="shared" si="22"/>
        <v>0</v>
      </c>
      <c r="L87" s="159">
        <f t="shared" si="22"/>
        <v>0</v>
      </c>
      <c r="M87" s="159">
        <f t="shared" si="22"/>
        <v>1131</v>
      </c>
      <c r="N87" s="159">
        <f t="shared" si="22"/>
        <v>1130</v>
      </c>
      <c r="O87" s="159">
        <f t="shared" si="22"/>
        <v>0</v>
      </c>
      <c r="P87" s="159">
        <f t="shared" si="22"/>
        <v>0</v>
      </c>
      <c r="Q87" s="160">
        <f t="shared" si="22"/>
        <v>0</v>
      </c>
    </row>
    <row r="88" spans="1:17" hidden="1" x14ac:dyDescent="0.25">
      <c r="A88" s="164">
        <v>5071</v>
      </c>
      <c r="B88" s="165">
        <v>741100</v>
      </c>
      <c r="C88" s="166" t="s">
        <v>94</v>
      </c>
      <c r="D88" s="166"/>
      <c r="E88" s="182"/>
      <c r="F88" s="182"/>
      <c r="G88" s="183">
        <f t="shared" si="20"/>
        <v>0</v>
      </c>
      <c r="H88" s="183"/>
      <c r="I88" s="182"/>
      <c r="J88" s="182"/>
      <c r="K88" s="182"/>
      <c r="L88" s="182"/>
      <c r="M88" s="182"/>
      <c r="N88" s="182"/>
      <c r="O88" s="182"/>
      <c r="P88" s="182"/>
      <c r="Q88" s="184"/>
    </row>
    <row r="89" spans="1:17" hidden="1" x14ac:dyDescent="0.25">
      <c r="A89" s="164">
        <v>5072</v>
      </c>
      <c r="B89" s="165">
        <v>741200</v>
      </c>
      <c r="C89" s="166" t="s">
        <v>95</v>
      </c>
      <c r="D89" s="166"/>
      <c r="E89" s="182"/>
      <c r="F89" s="182"/>
      <c r="G89" s="183">
        <f t="shared" si="20"/>
        <v>0</v>
      </c>
      <c r="H89" s="183"/>
      <c r="I89" s="182"/>
      <c r="J89" s="182"/>
      <c r="K89" s="182"/>
      <c r="L89" s="182"/>
      <c r="M89" s="182"/>
      <c r="N89" s="182"/>
      <c r="O89" s="182"/>
      <c r="P89" s="182"/>
      <c r="Q89" s="184"/>
    </row>
    <row r="90" spans="1:17" ht="26.25" hidden="1" x14ac:dyDescent="0.25">
      <c r="A90" s="164">
        <v>5073</v>
      </c>
      <c r="B90" s="165">
        <v>741300</v>
      </c>
      <c r="C90" s="166" t="s">
        <v>96</v>
      </c>
      <c r="D90" s="166"/>
      <c r="E90" s="182"/>
      <c r="F90" s="182"/>
      <c r="G90" s="183">
        <f t="shared" si="20"/>
        <v>0</v>
      </c>
      <c r="H90" s="183"/>
      <c r="I90" s="182"/>
      <c r="J90" s="182"/>
      <c r="K90" s="182"/>
      <c r="L90" s="182"/>
      <c r="M90" s="182"/>
      <c r="N90" s="182"/>
      <c r="O90" s="182"/>
      <c r="P90" s="182"/>
      <c r="Q90" s="184"/>
    </row>
    <row r="91" spans="1:17" ht="26.25" x14ac:dyDescent="0.25">
      <c r="A91" s="164">
        <v>5074</v>
      </c>
      <c r="B91" s="165">
        <v>741400</v>
      </c>
      <c r="C91" s="166" t="s">
        <v>97</v>
      </c>
      <c r="D91" s="166"/>
      <c r="E91" s="161">
        <v>1130</v>
      </c>
      <c r="F91" s="185">
        <f>H91+K91+M91+P91</f>
        <v>1131</v>
      </c>
      <c r="G91" s="183">
        <f>SUM(I91:Q91)-K91-M91-P91</f>
        <v>1130</v>
      </c>
      <c r="H91" s="183"/>
      <c r="I91" s="185"/>
      <c r="J91" s="185"/>
      <c r="K91" s="185"/>
      <c r="L91" s="185"/>
      <c r="M91" s="185">
        <v>1131</v>
      </c>
      <c r="N91" s="185">
        <v>1130</v>
      </c>
      <c r="O91" s="185"/>
      <c r="P91" s="185"/>
      <c r="Q91" s="186"/>
    </row>
    <row r="92" spans="1:17" hidden="1" x14ac:dyDescent="0.25">
      <c r="A92" s="164">
        <v>5075</v>
      </c>
      <c r="B92" s="165">
        <v>741500</v>
      </c>
      <c r="C92" s="166" t="s">
        <v>98</v>
      </c>
      <c r="D92" s="166"/>
      <c r="E92" s="182"/>
      <c r="F92" s="161">
        <f t="shared" ref="F92:F138" si="23">H92+K92+M92+P92</f>
        <v>0</v>
      </c>
      <c r="G92" s="183">
        <f t="shared" si="20"/>
        <v>0</v>
      </c>
      <c r="H92" s="183"/>
      <c r="I92" s="182"/>
      <c r="J92" s="182"/>
      <c r="K92" s="182"/>
      <c r="L92" s="182"/>
      <c r="M92" s="182"/>
      <c r="N92" s="182"/>
      <c r="O92" s="182"/>
      <c r="P92" s="182"/>
      <c r="Q92" s="184"/>
    </row>
    <row r="93" spans="1:17" ht="26.25" hidden="1" x14ac:dyDescent="0.25">
      <c r="A93" s="164">
        <v>5076</v>
      </c>
      <c r="B93" s="165">
        <v>741600</v>
      </c>
      <c r="C93" s="166" t="s">
        <v>99</v>
      </c>
      <c r="D93" s="166"/>
      <c r="E93" s="182"/>
      <c r="F93" s="161">
        <f t="shared" si="23"/>
        <v>0</v>
      </c>
      <c r="G93" s="183">
        <f t="shared" si="20"/>
        <v>0</v>
      </c>
      <c r="H93" s="183"/>
      <c r="I93" s="182"/>
      <c r="J93" s="182"/>
      <c r="K93" s="182"/>
      <c r="L93" s="182"/>
      <c r="M93" s="182"/>
      <c r="N93" s="182"/>
      <c r="O93" s="182"/>
      <c r="P93" s="182"/>
      <c r="Q93" s="184"/>
    </row>
    <row r="94" spans="1:17" ht="39" x14ac:dyDescent="0.25">
      <c r="A94" s="155">
        <v>5077</v>
      </c>
      <c r="B94" s="154">
        <v>742000</v>
      </c>
      <c r="C94" s="158" t="s">
        <v>100</v>
      </c>
      <c r="D94" s="158"/>
      <c r="E94" s="159">
        <f>SUM(E95:E98)</f>
        <v>13865</v>
      </c>
      <c r="F94" s="161">
        <f>SUM(F95:F98)</f>
        <v>13700</v>
      </c>
      <c r="G94" s="159">
        <f t="shared" ref="G94:Q94" si="24">SUM(G95:G98)</f>
        <v>13236</v>
      </c>
      <c r="H94" s="159">
        <f t="shared" si="24"/>
        <v>1200</v>
      </c>
      <c r="I94" s="159">
        <f t="shared" si="24"/>
        <v>1165</v>
      </c>
      <c r="J94" s="159">
        <f t="shared" si="24"/>
        <v>0</v>
      </c>
      <c r="K94" s="159">
        <f t="shared" si="24"/>
        <v>0</v>
      </c>
      <c r="L94" s="159">
        <f t="shared" si="24"/>
        <v>0</v>
      </c>
      <c r="M94" s="159">
        <f t="shared" si="24"/>
        <v>0</v>
      </c>
      <c r="N94" s="159">
        <f t="shared" si="24"/>
        <v>0</v>
      </c>
      <c r="O94" s="159">
        <f t="shared" si="24"/>
        <v>0</v>
      </c>
      <c r="P94" s="159">
        <f t="shared" si="24"/>
        <v>12500</v>
      </c>
      <c r="Q94" s="160">
        <f t="shared" si="24"/>
        <v>12071</v>
      </c>
    </row>
    <row r="95" spans="1:17" ht="26.25" x14ac:dyDescent="0.25">
      <c r="A95" s="164">
        <v>5078</v>
      </c>
      <c r="B95" s="165">
        <v>742100</v>
      </c>
      <c r="C95" s="166" t="s">
        <v>508</v>
      </c>
      <c r="D95" s="166"/>
      <c r="E95" s="182">
        <v>5000</v>
      </c>
      <c r="F95" s="185">
        <f t="shared" si="23"/>
        <v>5000</v>
      </c>
      <c r="G95" s="183">
        <f>SUM(I95:Q95)-K95-M95-P95</f>
        <v>4891</v>
      </c>
      <c r="H95" s="183"/>
      <c r="I95" s="182"/>
      <c r="J95" s="182"/>
      <c r="K95" s="182"/>
      <c r="L95" s="182"/>
      <c r="M95" s="182"/>
      <c r="N95" s="182"/>
      <c r="O95" s="182"/>
      <c r="P95" s="182">
        <v>5000</v>
      </c>
      <c r="Q95" s="184">
        <v>4891</v>
      </c>
    </row>
    <row r="96" spans="1:17" hidden="1" x14ac:dyDescent="0.25">
      <c r="A96" s="164">
        <v>5079</v>
      </c>
      <c r="B96" s="165">
        <v>742200</v>
      </c>
      <c r="C96" s="166" t="s">
        <v>102</v>
      </c>
      <c r="D96" s="166"/>
      <c r="E96" s="182"/>
      <c r="F96" s="161">
        <f t="shared" si="23"/>
        <v>0</v>
      </c>
      <c r="G96" s="183">
        <f t="shared" ref="G96" si="25">SUM(I96:Q96)-H96-K96-M96-P96</f>
        <v>0</v>
      </c>
      <c r="H96" s="183"/>
      <c r="I96" s="182"/>
      <c r="J96" s="182"/>
      <c r="K96" s="182"/>
      <c r="L96" s="182"/>
      <c r="M96" s="182"/>
      <c r="N96" s="182"/>
      <c r="O96" s="182"/>
      <c r="P96" s="182"/>
      <c r="Q96" s="184"/>
    </row>
    <row r="97" spans="1:17" ht="39" x14ac:dyDescent="0.25">
      <c r="A97" s="164">
        <v>5080</v>
      </c>
      <c r="B97" s="165">
        <v>742300</v>
      </c>
      <c r="C97" s="166" t="s">
        <v>103</v>
      </c>
      <c r="D97" s="166"/>
      <c r="E97" s="182">
        <v>8865</v>
      </c>
      <c r="F97" s="185">
        <f t="shared" si="23"/>
        <v>8700</v>
      </c>
      <c r="G97" s="183">
        <f>SUM(I97:Q97)-K97-M97-P97</f>
        <v>8345</v>
      </c>
      <c r="H97" s="183">
        <v>1200</v>
      </c>
      <c r="I97" s="182">
        <v>1165</v>
      </c>
      <c r="J97" s="182"/>
      <c r="K97" s="182"/>
      <c r="L97" s="182"/>
      <c r="M97" s="182"/>
      <c r="N97" s="182"/>
      <c r="O97" s="182"/>
      <c r="P97" s="182">
        <v>7500</v>
      </c>
      <c r="Q97" s="184">
        <v>7180</v>
      </c>
    </row>
    <row r="98" spans="1:17" ht="26.25" hidden="1" x14ac:dyDescent="0.25">
      <c r="A98" s="164">
        <v>5081</v>
      </c>
      <c r="B98" s="165">
        <v>742400</v>
      </c>
      <c r="C98" s="166" t="s">
        <v>104</v>
      </c>
      <c r="D98" s="166"/>
      <c r="E98" s="182"/>
      <c r="F98" s="185">
        <f t="shared" si="23"/>
        <v>0</v>
      </c>
      <c r="G98" s="183">
        <f t="shared" si="20"/>
        <v>0</v>
      </c>
      <c r="H98" s="183"/>
      <c r="I98" s="182"/>
      <c r="J98" s="182"/>
      <c r="K98" s="182"/>
      <c r="L98" s="182"/>
      <c r="M98" s="182"/>
      <c r="N98" s="182"/>
      <c r="O98" s="182"/>
      <c r="P98" s="182"/>
      <c r="Q98" s="184"/>
    </row>
    <row r="99" spans="1:17" ht="39" hidden="1" x14ac:dyDescent="0.25">
      <c r="A99" s="155">
        <v>5082</v>
      </c>
      <c r="B99" s="154">
        <v>743000</v>
      </c>
      <c r="C99" s="158" t="s">
        <v>105</v>
      </c>
      <c r="D99" s="158"/>
      <c r="E99" s="159">
        <f>SUM(E104:E109)</f>
        <v>0</v>
      </c>
      <c r="F99" s="185">
        <f t="shared" si="23"/>
        <v>0</v>
      </c>
      <c r="G99" s="159">
        <f t="shared" si="20"/>
        <v>0</v>
      </c>
      <c r="H99" s="159"/>
      <c r="I99" s="159">
        <f t="shared" ref="I99:Q99" si="26">SUM(I104:I109)</f>
        <v>0</v>
      </c>
      <c r="J99" s="159">
        <f t="shared" si="26"/>
        <v>0</v>
      </c>
      <c r="K99" s="159"/>
      <c r="L99" s="159">
        <f t="shared" si="26"/>
        <v>0</v>
      </c>
      <c r="M99" s="159"/>
      <c r="N99" s="159">
        <f t="shared" si="26"/>
        <v>0</v>
      </c>
      <c r="O99" s="159">
        <f t="shared" si="26"/>
        <v>0</v>
      </c>
      <c r="P99" s="159"/>
      <c r="Q99" s="160">
        <f t="shared" si="26"/>
        <v>0</v>
      </c>
    </row>
    <row r="100" spans="1:17" hidden="1" x14ac:dyDescent="0.25">
      <c r="A100" s="605" t="s">
        <v>0</v>
      </c>
      <c r="B100" s="599" t="s">
        <v>1</v>
      </c>
      <c r="C100" s="598" t="s">
        <v>2</v>
      </c>
      <c r="D100" s="179"/>
      <c r="E100" s="600" t="s">
        <v>3</v>
      </c>
      <c r="F100" s="185">
        <f t="shared" si="23"/>
        <v>0</v>
      </c>
      <c r="G100" s="600" t="s">
        <v>4</v>
      </c>
      <c r="H100" s="600"/>
      <c r="I100" s="600"/>
      <c r="J100" s="600"/>
      <c r="K100" s="600"/>
      <c r="L100" s="600"/>
      <c r="M100" s="600"/>
      <c r="N100" s="600"/>
      <c r="O100" s="600"/>
      <c r="P100" s="600"/>
      <c r="Q100" s="606"/>
    </row>
    <row r="101" spans="1:17" hidden="1" x14ac:dyDescent="0.25">
      <c r="A101" s="605"/>
      <c r="B101" s="599"/>
      <c r="C101" s="598"/>
      <c r="D101" s="179"/>
      <c r="E101" s="600"/>
      <c r="F101" s="185">
        <f t="shared" si="23"/>
        <v>0</v>
      </c>
      <c r="G101" s="607" t="s">
        <v>5</v>
      </c>
      <c r="H101" s="173"/>
      <c r="I101" s="600" t="s">
        <v>6</v>
      </c>
      <c r="J101" s="600"/>
      <c r="K101" s="600"/>
      <c r="L101" s="600"/>
      <c r="M101" s="600"/>
      <c r="N101" s="600"/>
      <c r="O101" s="600" t="s">
        <v>7</v>
      </c>
      <c r="P101" s="154"/>
      <c r="Q101" s="606" t="s">
        <v>8</v>
      </c>
    </row>
    <row r="102" spans="1:17" ht="39" hidden="1" x14ac:dyDescent="0.25">
      <c r="A102" s="605"/>
      <c r="B102" s="599"/>
      <c r="C102" s="598"/>
      <c r="D102" s="179"/>
      <c r="E102" s="600"/>
      <c r="F102" s="185">
        <f t="shared" si="23"/>
        <v>0</v>
      </c>
      <c r="G102" s="607"/>
      <c r="H102" s="173"/>
      <c r="I102" s="154" t="s">
        <v>9</v>
      </c>
      <c r="J102" s="154" t="s">
        <v>10</v>
      </c>
      <c r="K102" s="154"/>
      <c r="L102" s="154" t="s">
        <v>11</v>
      </c>
      <c r="M102" s="154"/>
      <c r="N102" s="154" t="s">
        <v>12</v>
      </c>
      <c r="O102" s="600"/>
      <c r="P102" s="154"/>
      <c r="Q102" s="606"/>
    </row>
    <row r="103" spans="1:17" ht="26.25" hidden="1" x14ac:dyDescent="0.25">
      <c r="A103" s="175" t="s">
        <v>18</v>
      </c>
      <c r="B103" s="176" t="s">
        <v>19</v>
      </c>
      <c r="C103" s="176" t="s">
        <v>20</v>
      </c>
      <c r="D103" s="176"/>
      <c r="E103" s="177" t="s">
        <v>21</v>
      </c>
      <c r="F103" s="185">
        <f t="shared" si="23"/>
        <v>0</v>
      </c>
      <c r="G103" s="177" t="s">
        <v>22</v>
      </c>
      <c r="H103" s="177"/>
      <c r="I103" s="177" t="s">
        <v>23</v>
      </c>
      <c r="J103" s="177" t="s">
        <v>24</v>
      </c>
      <c r="K103" s="177"/>
      <c r="L103" s="177" t="s">
        <v>25</v>
      </c>
      <c r="M103" s="177"/>
      <c r="N103" s="177" t="s">
        <v>26</v>
      </c>
      <c r="O103" s="177" t="s">
        <v>27</v>
      </c>
      <c r="P103" s="177"/>
      <c r="Q103" s="178" t="s">
        <v>28</v>
      </c>
    </row>
    <row r="104" spans="1:17" ht="26.25" hidden="1" x14ac:dyDescent="0.25">
      <c r="A104" s="164">
        <v>5083</v>
      </c>
      <c r="B104" s="165">
        <v>743100</v>
      </c>
      <c r="C104" s="166" t="s">
        <v>106</v>
      </c>
      <c r="D104" s="166"/>
      <c r="E104" s="182"/>
      <c r="F104" s="185">
        <f t="shared" si="23"/>
        <v>0</v>
      </c>
      <c r="G104" s="183">
        <f t="shared" si="20"/>
        <v>0</v>
      </c>
      <c r="H104" s="183"/>
      <c r="I104" s="182"/>
      <c r="J104" s="182"/>
      <c r="K104" s="182"/>
      <c r="L104" s="182"/>
      <c r="M104" s="182"/>
      <c r="N104" s="182"/>
      <c r="O104" s="182"/>
      <c r="P104" s="182"/>
      <c r="Q104" s="184"/>
    </row>
    <row r="105" spans="1:17" ht="26.25" hidden="1" x14ac:dyDescent="0.25">
      <c r="A105" s="164">
        <v>5084</v>
      </c>
      <c r="B105" s="165">
        <v>743200</v>
      </c>
      <c r="C105" s="166" t="s">
        <v>107</v>
      </c>
      <c r="D105" s="166"/>
      <c r="E105" s="182"/>
      <c r="F105" s="185">
        <f t="shared" si="23"/>
        <v>0</v>
      </c>
      <c r="G105" s="183">
        <f t="shared" si="20"/>
        <v>0</v>
      </c>
      <c r="H105" s="183"/>
      <c r="I105" s="182"/>
      <c r="J105" s="182"/>
      <c r="K105" s="182"/>
      <c r="L105" s="182"/>
      <c r="M105" s="182"/>
      <c r="N105" s="182"/>
      <c r="O105" s="182"/>
      <c r="P105" s="182"/>
      <c r="Q105" s="184"/>
    </row>
    <row r="106" spans="1:17" ht="26.25" hidden="1" x14ac:dyDescent="0.25">
      <c r="A106" s="164">
        <v>5085</v>
      </c>
      <c r="B106" s="165">
        <v>743300</v>
      </c>
      <c r="C106" s="166" t="s">
        <v>108</v>
      </c>
      <c r="D106" s="166"/>
      <c r="E106" s="182"/>
      <c r="F106" s="185">
        <f t="shared" si="23"/>
        <v>0</v>
      </c>
      <c r="G106" s="183">
        <f t="shared" si="20"/>
        <v>0</v>
      </c>
      <c r="H106" s="183"/>
      <c r="I106" s="182"/>
      <c r="J106" s="182"/>
      <c r="K106" s="182"/>
      <c r="L106" s="182"/>
      <c r="M106" s="182"/>
      <c r="N106" s="182"/>
      <c r="O106" s="182"/>
      <c r="P106" s="182"/>
      <c r="Q106" s="184"/>
    </row>
    <row r="107" spans="1:17" hidden="1" x14ac:dyDescent="0.25">
      <c r="A107" s="164">
        <v>5086</v>
      </c>
      <c r="B107" s="165">
        <v>743400</v>
      </c>
      <c r="C107" s="166" t="s">
        <v>109</v>
      </c>
      <c r="D107" s="166"/>
      <c r="E107" s="182"/>
      <c r="F107" s="185">
        <f t="shared" si="23"/>
        <v>0</v>
      </c>
      <c r="G107" s="183">
        <f t="shared" si="20"/>
        <v>0</v>
      </c>
      <c r="H107" s="183"/>
      <c r="I107" s="182"/>
      <c r="J107" s="182"/>
      <c r="K107" s="182"/>
      <c r="L107" s="182"/>
      <c r="M107" s="182"/>
      <c r="N107" s="182"/>
      <c r="O107" s="182"/>
      <c r="P107" s="182"/>
      <c r="Q107" s="184"/>
    </row>
    <row r="108" spans="1:17" ht="26.25" hidden="1" x14ac:dyDescent="0.25">
      <c r="A108" s="164">
        <v>5087</v>
      </c>
      <c r="B108" s="165">
        <v>743500</v>
      </c>
      <c r="C108" s="166" t="s">
        <v>110</v>
      </c>
      <c r="D108" s="166"/>
      <c r="E108" s="182"/>
      <c r="F108" s="185">
        <f t="shared" si="23"/>
        <v>0</v>
      </c>
      <c r="G108" s="183">
        <f t="shared" si="20"/>
        <v>0</v>
      </c>
      <c r="H108" s="183"/>
      <c r="I108" s="182"/>
      <c r="J108" s="182"/>
      <c r="K108" s="182"/>
      <c r="L108" s="182"/>
      <c r="M108" s="182"/>
      <c r="N108" s="182"/>
      <c r="O108" s="182"/>
      <c r="P108" s="182"/>
      <c r="Q108" s="184"/>
    </row>
    <row r="109" spans="1:17" ht="39" hidden="1" x14ac:dyDescent="0.25">
      <c r="A109" s="164">
        <v>5088</v>
      </c>
      <c r="B109" s="165">
        <v>743900</v>
      </c>
      <c r="C109" s="166" t="s">
        <v>111</v>
      </c>
      <c r="D109" s="166"/>
      <c r="E109" s="182"/>
      <c r="F109" s="185">
        <f t="shared" si="23"/>
        <v>0</v>
      </c>
      <c r="G109" s="183">
        <f t="shared" si="20"/>
        <v>0</v>
      </c>
      <c r="H109" s="183"/>
      <c r="I109" s="182"/>
      <c r="J109" s="182"/>
      <c r="K109" s="182"/>
      <c r="L109" s="182"/>
      <c r="M109" s="182"/>
      <c r="N109" s="182"/>
      <c r="O109" s="182"/>
      <c r="P109" s="182"/>
      <c r="Q109" s="184"/>
    </row>
    <row r="110" spans="1:17" ht="39" hidden="1" x14ac:dyDescent="0.25">
      <c r="A110" s="155">
        <v>5089</v>
      </c>
      <c r="B110" s="154">
        <v>744000</v>
      </c>
      <c r="C110" s="158" t="s">
        <v>112</v>
      </c>
      <c r="D110" s="158"/>
      <c r="E110" s="159">
        <f>E111+E112</f>
        <v>4100</v>
      </c>
      <c r="F110" s="185">
        <f t="shared" si="23"/>
        <v>0</v>
      </c>
      <c r="G110" s="159">
        <f t="shared" ref="G110:Q110" si="27">G111+G112</f>
        <v>414</v>
      </c>
      <c r="H110" s="159">
        <f t="shared" si="27"/>
        <v>0</v>
      </c>
      <c r="I110" s="159">
        <f t="shared" si="27"/>
        <v>0</v>
      </c>
      <c r="J110" s="159">
        <f t="shared" si="27"/>
        <v>0</v>
      </c>
      <c r="K110" s="159">
        <f t="shared" si="27"/>
        <v>0</v>
      </c>
      <c r="L110" s="159">
        <f t="shared" si="27"/>
        <v>0</v>
      </c>
      <c r="M110" s="159">
        <f t="shared" si="27"/>
        <v>0</v>
      </c>
      <c r="N110" s="159">
        <f t="shared" si="27"/>
        <v>0</v>
      </c>
      <c r="O110" s="159">
        <f t="shared" si="27"/>
        <v>0</v>
      </c>
      <c r="P110" s="159">
        <f t="shared" si="27"/>
        <v>0</v>
      </c>
      <c r="Q110" s="160">
        <f t="shared" si="27"/>
        <v>414</v>
      </c>
    </row>
    <row r="111" spans="1:17" ht="26.25" hidden="1" x14ac:dyDescent="0.25">
      <c r="A111" s="164">
        <v>5090</v>
      </c>
      <c r="B111" s="165">
        <v>744100</v>
      </c>
      <c r="C111" s="166" t="s">
        <v>113</v>
      </c>
      <c r="D111" s="166"/>
      <c r="E111" s="182">
        <v>4100</v>
      </c>
      <c r="F111" s="185">
        <f t="shared" si="23"/>
        <v>0</v>
      </c>
      <c r="G111" s="183">
        <f t="shared" si="20"/>
        <v>414</v>
      </c>
      <c r="H111" s="183"/>
      <c r="I111" s="182"/>
      <c r="J111" s="182"/>
      <c r="K111" s="182"/>
      <c r="L111" s="182"/>
      <c r="M111" s="182"/>
      <c r="N111" s="182"/>
      <c r="O111" s="182"/>
      <c r="P111" s="182"/>
      <c r="Q111" s="184">
        <v>414</v>
      </c>
    </row>
    <row r="112" spans="1:17" ht="39" hidden="1" x14ac:dyDescent="0.25">
      <c r="A112" s="164">
        <v>5091</v>
      </c>
      <c r="B112" s="165">
        <v>744200</v>
      </c>
      <c r="C112" s="166" t="s">
        <v>114</v>
      </c>
      <c r="D112" s="166"/>
      <c r="E112" s="182"/>
      <c r="F112" s="185">
        <f t="shared" si="23"/>
        <v>0</v>
      </c>
      <c r="G112" s="183">
        <f t="shared" si="20"/>
        <v>0</v>
      </c>
      <c r="H112" s="183"/>
      <c r="I112" s="182"/>
      <c r="J112" s="182"/>
      <c r="K112" s="182"/>
      <c r="L112" s="182"/>
      <c r="M112" s="182"/>
      <c r="N112" s="182"/>
      <c r="O112" s="182"/>
      <c r="P112" s="182"/>
      <c r="Q112" s="184"/>
    </row>
    <row r="113" spans="1:22" ht="26.25" hidden="1" x14ac:dyDescent="0.25">
      <c r="A113" s="155">
        <v>5092</v>
      </c>
      <c r="B113" s="154">
        <v>745000</v>
      </c>
      <c r="C113" s="158" t="s">
        <v>115</v>
      </c>
      <c r="D113" s="158"/>
      <c r="E113" s="159">
        <f>E114</f>
        <v>0</v>
      </c>
      <c r="F113" s="185">
        <f t="shared" si="23"/>
        <v>0</v>
      </c>
      <c r="G113" s="159">
        <f t="shared" si="20"/>
        <v>0</v>
      </c>
      <c r="H113" s="159"/>
      <c r="I113" s="159">
        <f t="shared" ref="I113:Q113" si="28">I114</f>
        <v>0</v>
      </c>
      <c r="J113" s="159">
        <f t="shared" si="28"/>
        <v>0</v>
      </c>
      <c r="K113" s="159"/>
      <c r="L113" s="159">
        <f t="shared" si="28"/>
        <v>0</v>
      </c>
      <c r="M113" s="159"/>
      <c r="N113" s="159">
        <f t="shared" si="28"/>
        <v>0</v>
      </c>
      <c r="O113" s="159">
        <f t="shared" si="28"/>
        <v>0</v>
      </c>
      <c r="P113" s="159"/>
      <c r="Q113" s="160">
        <f t="shared" si="28"/>
        <v>0</v>
      </c>
    </row>
    <row r="114" spans="1:22" hidden="1" x14ac:dyDescent="0.25">
      <c r="A114" s="164">
        <v>5093</v>
      </c>
      <c r="B114" s="165">
        <v>745100</v>
      </c>
      <c r="C114" s="166" t="s">
        <v>116</v>
      </c>
      <c r="D114" s="166"/>
      <c r="E114" s="182"/>
      <c r="F114" s="185">
        <f t="shared" si="23"/>
        <v>0</v>
      </c>
      <c r="G114" s="183">
        <f t="shared" si="20"/>
        <v>0</v>
      </c>
      <c r="H114" s="183"/>
      <c r="I114" s="182"/>
      <c r="J114" s="182"/>
      <c r="K114" s="182"/>
      <c r="L114" s="182"/>
      <c r="M114" s="182"/>
      <c r="N114" s="182"/>
      <c r="O114" s="182"/>
      <c r="P114" s="182"/>
      <c r="Q114" s="184"/>
    </row>
    <row r="115" spans="1:22" ht="39" hidden="1" x14ac:dyDescent="0.25">
      <c r="A115" s="155">
        <v>5094</v>
      </c>
      <c r="B115" s="154">
        <v>770000</v>
      </c>
      <c r="C115" s="158" t="s">
        <v>117</v>
      </c>
      <c r="D115" s="158"/>
      <c r="E115" s="159">
        <f>E116+E118</f>
        <v>0</v>
      </c>
      <c r="F115" s="185">
        <f t="shared" si="23"/>
        <v>0</v>
      </c>
      <c r="G115" s="159">
        <f t="shared" si="20"/>
        <v>0</v>
      </c>
      <c r="H115" s="159"/>
      <c r="I115" s="159">
        <f t="shared" ref="I115:Q115" si="29">I116+I118</f>
        <v>0</v>
      </c>
      <c r="J115" s="159">
        <f t="shared" si="29"/>
        <v>0</v>
      </c>
      <c r="K115" s="159"/>
      <c r="L115" s="159">
        <f t="shared" si="29"/>
        <v>0</v>
      </c>
      <c r="M115" s="159"/>
      <c r="N115" s="159">
        <f t="shared" si="29"/>
        <v>0</v>
      </c>
      <c r="O115" s="159">
        <f t="shared" si="29"/>
        <v>0</v>
      </c>
      <c r="P115" s="159"/>
      <c r="Q115" s="160">
        <f t="shared" si="29"/>
        <v>0</v>
      </c>
    </row>
    <row r="116" spans="1:22" ht="39" hidden="1" x14ac:dyDescent="0.25">
      <c r="A116" s="155">
        <v>5095</v>
      </c>
      <c r="B116" s="154">
        <v>771000</v>
      </c>
      <c r="C116" s="158" t="s">
        <v>118</v>
      </c>
      <c r="D116" s="158"/>
      <c r="E116" s="159">
        <f>E117</f>
        <v>0</v>
      </c>
      <c r="F116" s="185">
        <f t="shared" si="23"/>
        <v>0</v>
      </c>
      <c r="G116" s="159">
        <f t="shared" si="20"/>
        <v>0</v>
      </c>
      <c r="H116" s="159"/>
      <c r="I116" s="159">
        <f t="shared" ref="I116:Q116" si="30">I117</f>
        <v>0</v>
      </c>
      <c r="J116" s="159">
        <f t="shared" si="30"/>
        <v>0</v>
      </c>
      <c r="K116" s="159"/>
      <c r="L116" s="159">
        <f t="shared" si="30"/>
        <v>0</v>
      </c>
      <c r="M116" s="159"/>
      <c r="N116" s="159">
        <f t="shared" si="30"/>
        <v>0</v>
      </c>
      <c r="O116" s="159">
        <f t="shared" si="30"/>
        <v>0</v>
      </c>
      <c r="P116" s="159"/>
      <c r="Q116" s="160">
        <f t="shared" si="30"/>
        <v>0</v>
      </c>
    </row>
    <row r="117" spans="1:22" ht="26.25" hidden="1" x14ac:dyDescent="0.25">
      <c r="A117" s="164">
        <v>5096</v>
      </c>
      <c r="B117" s="165">
        <v>771100</v>
      </c>
      <c r="C117" s="166" t="s">
        <v>119</v>
      </c>
      <c r="D117" s="166"/>
      <c r="E117" s="182"/>
      <c r="F117" s="185">
        <f t="shared" si="23"/>
        <v>0</v>
      </c>
      <c r="G117" s="183">
        <f t="shared" si="20"/>
        <v>0</v>
      </c>
      <c r="H117" s="183"/>
      <c r="I117" s="182"/>
      <c r="J117" s="182"/>
      <c r="K117" s="182"/>
      <c r="L117" s="182"/>
      <c r="M117" s="182"/>
      <c r="N117" s="182"/>
      <c r="O117" s="182"/>
      <c r="P117" s="182"/>
      <c r="Q117" s="184"/>
    </row>
    <row r="118" spans="1:22" ht="51.75" hidden="1" x14ac:dyDescent="0.25">
      <c r="A118" s="155">
        <v>5097</v>
      </c>
      <c r="B118" s="154">
        <v>772000</v>
      </c>
      <c r="C118" s="158" t="s">
        <v>120</v>
      </c>
      <c r="D118" s="158"/>
      <c r="E118" s="159">
        <f>E119</f>
        <v>0</v>
      </c>
      <c r="F118" s="185">
        <f t="shared" si="23"/>
        <v>0</v>
      </c>
      <c r="G118" s="159">
        <f t="shared" si="20"/>
        <v>0</v>
      </c>
      <c r="H118" s="159"/>
      <c r="I118" s="159">
        <f t="shared" ref="I118:Q118" si="31">I119</f>
        <v>0</v>
      </c>
      <c r="J118" s="159">
        <f t="shared" si="31"/>
        <v>0</v>
      </c>
      <c r="K118" s="159"/>
      <c r="L118" s="159">
        <f t="shared" si="31"/>
        <v>0</v>
      </c>
      <c r="M118" s="159"/>
      <c r="N118" s="159">
        <f t="shared" si="31"/>
        <v>0</v>
      </c>
      <c r="O118" s="159">
        <f t="shared" si="31"/>
        <v>0</v>
      </c>
      <c r="P118" s="159"/>
      <c r="Q118" s="160">
        <f t="shared" si="31"/>
        <v>0</v>
      </c>
    </row>
    <row r="119" spans="1:22" ht="39" hidden="1" x14ac:dyDescent="0.25">
      <c r="A119" s="164">
        <v>5098</v>
      </c>
      <c r="B119" s="165">
        <v>772100</v>
      </c>
      <c r="C119" s="166" t="s">
        <v>121</v>
      </c>
      <c r="D119" s="166"/>
      <c r="E119" s="182"/>
      <c r="F119" s="185">
        <f t="shared" si="23"/>
        <v>0</v>
      </c>
      <c r="G119" s="183">
        <f t="shared" si="20"/>
        <v>0</v>
      </c>
      <c r="H119" s="183"/>
      <c r="I119" s="182"/>
      <c r="J119" s="182"/>
      <c r="K119" s="182"/>
      <c r="L119" s="182"/>
      <c r="M119" s="182"/>
      <c r="N119" s="182"/>
      <c r="O119" s="182"/>
      <c r="P119" s="182"/>
      <c r="Q119" s="184"/>
    </row>
    <row r="120" spans="1:22" ht="39" x14ac:dyDescent="0.25">
      <c r="A120" s="155">
        <v>5089</v>
      </c>
      <c r="B120" s="154">
        <v>744000</v>
      </c>
      <c r="C120" s="158" t="s">
        <v>112</v>
      </c>
      <c r="D120" s="158"/>
      <c r="E120" s="159">
        <f>E121+E122</f>
        <v>1447862</v>
      </c>
      <c r="F120" s="187">
        <f t="shared" si="23"/>
        <v>100</v>
      </c>
      <c r="G120" s="159">
        <f t="shared" ref="G120:L120" si="32">G121+G122</f>
        <v>2848638</v>
      </c>
      <c r="H120" s="159">
        <f t="shared" si="32"/>
        <v>0</v>
      </c>
      <c r="I120" s="159">
        <f t="shared" si="32"/>
        <v>0</v>
      </c>
      <c r="J120" s="159">
        <f t="shared" si="32"/>
        <v>0</v>
      </c>
      <c r="K120" s="159">
        <f t="shared" si="32"/>
        <v>0</v>
      </c>
      <c r="L120" s="159">
        <f t="shared" si="32"/>
        <v>0</v>
      </c>
      <c r="M120" s="159"/>
      <c r="P120" s="159">
        <f>P121</f>
        <v>100</v>
      </c>
    </row>
    <row r="121" spans="1:22" ht="26.25" x14ac:dyDescent="0.25">
      <c r="A121" s="164">
        <v>5090</v>
      </c>
      <c r="B121" s="165">
        <v>744100</v>
      </c>
      <c r="C121" s="166" t="s">
        <v>113</v>
      </c>
      <c r="D121" s="166"/>
      <c r="E121" s="182">
        <v>4100</v>
      </c>
      <c r="F121" s="185">
        <f t="shared" si="23"/>
        <v>100</v>
      </c>
      <c r="G121" s="182"/>
      <c r="H121" s="182"/>
      <c r="I121" s="182"/>
      <c r="J121" s="182"/>
      <c r="K121" s="182"/>
      <c r="L121" s="182"/>
      <c r="M121" s="182"/>
      <c r="P121" s="188">
        <v>100</v>
      </c>
    </row>
    <row r="122" spans="1:22" ht="39" x14ac:dyDescent="0.25">
      <c r="A122" s="155">
        <v>5099</v>
      </c>
      <c r="B122" s="154">
        <v>780000</v>
      </c>
      <c r="C122" s="158" t="s">
        <v>122</v>
      </c>
      <c r="D122" s="158"/>
      <c r="E122" s="159">
        <f>E123</f>
        <v>1443762</v>
      </c>
      <c r="F122" s="161">
        <f t="shared" si="23"/>
        <v>1451576</v>
      </c>
      <c r="G122" s="159">
        <f t="shared" ref="G122:Q122" si="33">G123</f>
        <v>2848638</v>
      </c>
      <c r="H122" s="159">
        <f t="shared" si="33"/>
        <v>0</v>
      </c>
      <c r="I122" s="159">
        <f t="shared" si="33"/>
        <v>0</v>
      </c>
      <c r="J122" s="159">
        <f t="shared" si="33"/>
        <v>0</v>
      </c>
      <c r="K122" s="159">
        <f t="shared" si="33"/>
        <v>0</v>
      </c>
      <c r="L122" s="159">
        <f t="shared" si="33"/>
        <v>0</v>
      </c>
      <c r="M122" s="159">
        <f t="shared" si="33"/>
        <v>1451576</v>
      </c>
      <c r="N122" s="159">
        <f t="shared" si="33"/>
        <v>1397062</v>
      </c>
      <c r="O122" s="159">
        <f t="shared" si="33"/>
        <v>0</v>
      </c>
      <c r="P122" s="159">
        <f t="shared" si="33"/>
        <v>0</v>
      </c>
      <c r="Q122" s="160">
        <f t="shared" si="33"/>
        <v>0</v>
      </c>
    </row>
    <row r="123" spans="1:22" ht="39" x14ac:dyDescent="0.25">
      <c r="A123" s="155">
        <v>5100</v>
      </c>
      <c r="B123" s="154">
        <v>781000</v>
      </c>
      <c r="C123" s="158" t="s">
        <v>123</v>
      </c>
      <c r="D123" s="158"/>
      <c r="E123" s="159">
        <f>E124+E125</f>
        <v>1443762</v>
      </c>
      <c r="F123" s="161">
        <f t="shared" si="23"/>
        <v>1451576</v>
      </c>
      <c r="G123" s="159">
        <f t="shared" ref="G123:Q123" si="34">G124+G125</f>
        <v>2848638</v>
      </c>
      <c r="H123" s="159">
        <f t="shared" si="34"/>
        <v>0</v>
      </c>
      <c r="I123" s="159">
        <f t="shared" si="34"/>
        <v>0</v>
      </c>
      <c r="J123" s="159">
        <f t="shared" si="34"/>
        <v>0</v>
      </c>
      <c r="K123" s="159">
        <f t="shared" si="34"/>
        <v>0</v>
      </c>
      <c r="L123" s="159">
        <f t="shared" si="34"/>
        <v>0</v>
      </c>
      <c r="M123" s="159">
        <f t="shared" si="34"/>
        <v>1451576</v>
      </c>
      <c r="N123" s="159">
        <f t="shared" si="34"/>
        <v>1397062</v>
      </c>
      <c r="O123" s="159">
        <f t="shared" si="34"/>
        <v>0</v>
      </c>
      <c r="P123" s="159">
        <f t="shared" si="34"/>
        <v>0</v>
      </c>
      <c r="Q123" s="160">
        <f t="shared" si="34"/>
        <v>0</v>
      </c>
    </row>
    <row r="124" spans="1:22" ht="28.5" x14ac:dyDescent="0.4">
      <c r="A124" s="164">
        <v>5101</v>
      </c>
      <c r="B124" s="165">
        <v>781100</v>
      </c>
      <c r="C124" s="166" t="s">
        <v>124</v>
      </c>
      <c r="D124" s="166"/>
      <c r="E124" s="182">
        <v>1443762</v>
      </c>
      <c r="F124" s="161">
        <f t="shared" si="23"/>
        <v>1451576</v>
      </c>
      <c r="G124" s="183">
        <f>SUM(I124:Q124)</f>
        <v>2848638</v>
      </c>
      <c r="H124" s="183"/>
      <c r="I124" s="182"/>
      <c r="J124" s="182"/>
      <c r="K124" s="182"/>
      <c r="L124" s="182"/>
      <c r="M124" s="182">
        <f>1377997+1583+12500+4800+200+7710+600+37400+315+8072+399</f>
        <v>1451576</v>
      </c>
      <c r="N124" s="182">
        <v>1397062</v>
      </c>
      <c r="O124" s="182"/>
      <c r="P124" s="182"/>
      <c r="Q124" s="184"/>
      <c r="V124" s="189" t="s">
        <v>538</v>
      </c>
    </row>
    <row r="125" spans="1:22" ht="26.25" hidden="1" x14ac:dyDescent="0.25">
      <c r="A125" s="164">
        <v>5102</v>
      </c>
      <c r="B125" s="165">
        <v>781300</v>
      </c>
      <c r="C125" s="166" t="s">
        <v>125</v>
      </c>
      <c r="D125" s="166"/>
      <c r="E125" s="182"/>
      <c r="F125" s="161">
        <f t="shared" si="23"/>
        <v>0</v>
      </c>
      <c r="G125" s="183">
        <f t="shared" ref="G125:G161" si="35">SUM(I125:Q125)</f>
        <v>0</v>
      </c>
      <c r="H125" s="183"/>
      <c r="I125" s="182"/>
      <c r="J125" s="182"/>
      <c r="K125" s="182"/>
      <c r="L125" s="182"/>
      <c r="M125" s="182"/>
      <c r="N125" s="182"/>
      <c r="O125" s="182"/>
      <c r="P125" s="182"/>
      <c r="Q125" s="184"/>
    </row>
    <row r="126" spans="1:22" x14ac:dyDescent="0.25">
      <c r="A126" s="155">
        <v>5103</v>
      </c>
      <c r="B126" s="154">
        <v>790000</v>
      </c>
      <c r="C126" s="158" t="s">
        <v>126</v>
      </c>
      <c r="D126" s="158"/>
      <c r="E126" s="159">
        <f>E127</f>
        <v>37481</v>
      </c>
      <c r="F126" s="161">
        <f t="shared" si="23"/>
        <v>24280</v>
      </c>
      <c r="G126" s="159">
        <f t="shared" ref="G126:Q126" si="36">G127</f>
        <v>18078</v>
      </c>
      <c r="H126" s="159">
        <f>H127</f>
        <v>23280</v>
      </c>
      <c r="I126" s="159">
        <f t="shared" si="36"/>
        <v>17573</v>
      </c>
      <c r="J126" s="159">
        <f t="shared" si="36"/>
        <v>0</v>
      </c>
      <c r="K126" s="159">
        <f t="shared" si="36"/>
        <v>1000</v>
      </c>
      <c r="L126" s="159">
        <f t="shared" si="36"/>
        <v>505</v>
      </c>
      <c r="M126" s="159">
        <f t="shared" si="36"/>
        <v>0</v>
      </c>
      <c r="N126" s="159">
        <f t="shared" si="36"/>
        <v>0</v>
      </c>
      <c r="O126" s="159">
        <f t="shared" si="36"/>
        <v>0</v>
      </c>
      <c r="P126" s="159">
        <f t="shared" si="36"/>
        <v>0</v>
      </c>
      <c r="Q126" s="160">
        <f t="shared" si="36"/>
        <v>0</v>
      </c>
    </row>
    <row r="127" spans="1:22" x14ac:dyDescent="0.25">
      <c r="A127" s="155">
        <v>5104</v>
      </c>
      <c r="B127" s="154">
        <v>791000</v>
      </c>
      <c r="C127" s="158" t="s">
        <v>127</v>
      </c>
      <c r="D127" s="158"/>
      <c r="E127" s="159">
        <f>E132</f>
        <v>37481</v>
      </c>
      <c r="F127" s="161">
        <f t="shared" si="23"/>
        <v>24280</v>
      </c>
      <c r="G127" s="159">
        <f t="shared" ref="G127:Q127" si="37">G132</f>
        <v>18078</v>
      </c>
      <c r="H127" s="159">
        <f t="shared" si="37"/>
        <v>23280</v>
      </c>
      <c r="I127" s="159">
        <f t="shared" si="37"/>
        <v>17573</v>
      </c>
      <c r="J127" s="159">
        <f t="shared" si="37"/>
        <v>0</v>
      </c>
      <c r="K127" s="159">
        <f t="shared" si="37"/>
        <v>1000</v>
      </c>
      <c r="L127" s="159">
        <f t="shared" si="37"/>
        <v>505</v>
      </c>
      <c r="M127" s="159">
        <f t="shared" si="37"/>
        <v>0</v>
      </c>
      <c r="N127" s="159">
        <f t="shared" si="37"/>
        <v>0</v>
      </c>
      <c r="O127" s="159">
        <f t="shared" si="37"/>
        <v>0</v>
      </c>
      <c r="P127" s="159">
        <f t="shared" si="37"/>
        <v>0</v>
      </c>
      <c r="Q127" s="160">
        <f t="shared" si="37"/>
        <v>0</v>
      </c>
    </row>
    <row r="128" spans="1:22" hidden="1" x14ac:dyDescent="0.25">
      <c r="A128" s="605" t="s">
        <v>0</v>
      </c>
      <c r="B128" s="599" t="s">
        <v>1</v>
      </c>
      <c r="C128" s="598" t="s">
        <v>2</v>
      </c>
      <c r="D128" s="179"/>
      <c r="E128" s="600" t="s">
        <v>3</v>
      </c>
      <c r="F128" s="161">
        <f t="shared" si="23"/>
        <v>0</v>
      </c>
      <c r="G128" s="600" t="s">
        <v>4</v>
      </c>
      <c r="H128" s="600"/>
      <c r="I128" s="600"/>
      <c r="J128" s="600"/>
      <c r="K128" s="600"/>
      <c r="L128" s="600"/>
      <c r="M128" s="600"/>
      <c r="N128" s="600"/>
      <c r="O128" s="600"/>
      <c r="P128" s="600"/>
      <c r="Q128" s="606"/>
    </row>
    <row r="129" spans="1:22" hidden="1" x14ac:dyDescent="0.25">
      <c r="A129" s="605"/>
      <c r="B129" s="599"/>
      <c r="C129" s="598"/>
      <c r="D129" s="179"/>
      <c r="E129" s="600"/>
      <c r="F129" s="161">
        <f t="shared" si="23"/>
        <v>0</v>
      </c>
      <c r="G129" s="607" t="s">
        <v>5</v>
      </c>
      <c r="H129" s="173"/>
      <c r="I129" s="600" t="s">
        <v>6</v>
      </c>
      <c r="J129" s="600"/>
      <c r="K129" s="600"/>
      <c r="L129" s="600"/>
      <c r="M129" s="600"/>
      <c r="N129" s="600"/>
      <c r="O129" s="600" t="s">
        <v>7</v>
      </c>
      <c r="P129" s="154"/>
      <c r="Q129" s="606" t="s">
        <v>8</v>
      </c>
    </row>
    <row r="130" spans="1:22" ht="39" hidden="1" x14ac:dyDescent="0.25">
      <c r="A130" s="605"/>
      <c r="B130" s="599"/>
      <c r="C130" s="598"/>
      <c r="D130" s="179"/>
      <c r="E130" s="600"/>
      <c r="F130" s="161">
        <f t="shared" si="23"/>
        <v>0</v>
      </c>
      <c r="G130" s="607"/>
      <c r="H130" s="173"/>
      <c r="I130" s="154" t="s">
        <v>9</v>
      </c>
      <c r="J130" s="154" t="s">
        <v>10</v>
      </c>
      <c r="K130" s="154"/>
      <c r="L130" s="154" t="s">
        <v>11</v>
      </c>
      <c r="M130" s="154"/>
      <c r="N130" s="154" t="s">
        <v>12</v>
      </c>
      <c r="O130" s="600"/>
      <c r="P130" s="154"/>
      <c r="Q130" s="606"/>
    </row>
    <row r="131" spans="1:22" ht="26.25" hidden="1" x14ac:dyDescent="0.25">
      <c r="A131" s="175" t="s">
        <v>18</v>
      </c>
      <c r="B131" s="176" t="s">
        <v>19</v>
      </c>
      <c r="C131" s="176" t="s">
        <v>20</v>
      </c>
      <c r="D131" s="176"/>
      <c r="E131" s="177" t="s">
        <v>21</v>
      </c>
      <c r="F131" s="161">
        <f t="shared" si="23"/>
        <v>0</v>
      </c>
      <c r="G131" s="177" t="s">
        <v>22</v>
      </c>
      <c r="H131" s="177"/>
      <c r="I131" s="177" t="s">
        <v>23</v>
      </c>
      <c r="J131" s="177" t="s">
        <v>24</v>
      </c>
      <c r="K131" s="177"/>
      <c r="L131" s="177" t="s">
        <v>25</v>
      </c>
      <c r="M131" s="177"/>
      <c r="N131" s="177" t="s">
        <v>26</v>
      </c>
      <c r="O131" s="177" t="s">
        <v>27</v>
      </c>
      <c r="P131" s="177"/>
      <c r="Q131" s="178" t="s">
        <v>28</v>
      </c>
    </row>
    <row r="132" spans="1:22" ht="26.25" x14ac:dyDescent="0.4">
      <c r="A132" s="164">
        <v>5105</v>
      </c>
      <c r="B132" s="165">
        <v>791100</v>
      </c>
      <c r="C132" s="166" t="s">
        <v>128</v>
      </c>
      <c r="D132" s="166"/>
      <c r="E132" s="182">
        <v>37481</v>
      </c>
      <c r="F132" s="185">
        <f t="shared" si="23"/>
        <v>24280</v>
      </c>
      <c r="G132" s="190">
        <f>SUM(I132:Q132)-K132-M132-P132</f>
        <v>18078</v>
      </c>
      <c r="H132" s="190">
        <f>20000+42-42+3280</f>
        <v>23280</v>
      </c>
      <c r="I132" s="182">
        <v>17573</v>
      </c>
      <c r="J132" s="182"/>
      <c r="K132" s="182">
        <v>1000</v>
      </c>
      <c r="L132" s="182">
        <v>505</v>
      </c>
      <c r="M132" s="182"/>
      <c r="N132" s="182"/>
      <c r="O132" s="182"/>
      <c r="P132" s="182"/>
      <c r="Q132" s="184"/>
      <c r="V132" s="189" t="s">
        <v>538</v>
      </c>
    </row>
    <row r="133" spans="1:22" ht="39" x14ac:dyDescent="0.25">
      <c r="A133" s="155">
        <v>5106</v>
      </c>
      <c r="B133" s="154">
        <v>800000</v>
      </c>
      <c r="C133" s="158" t="s">
        <v>129</v>
      </c>
      <c r="D133" s="158"/>
      <c r="E133" s="159">
        <f>E134+E141+E148+E151</f>
        <v>200</v>
      </c>
      <c r="F133" s="161">
        <f t="shared" si="23"/>
        <v>200</v>
      </c>
      <c r="G133" s="159">
        <f t="shared" ref="G133:Q133" si="38">G134+G141+G148+G151</f>
        <v>184</v>
      </c>
      <c r="H133" s="159">
        <f t="shared" si="38"/>
        <v>0</v>
      </c>
      <c r="I133" s="159">
        <f t="shared" si="38"/>
        <v>0</v>
      </c>
      <c r="J133" s="159">
        <f t="shared" si="38"/>
        <v>0</v>
      </c>
      <c r="K133" s="159">
        <f t="shared" si="38"/>
        <v>0</v>
      </c>
      <c r="L133" s="159">
        <f t="shared" si="38"/>
        <v>0</v>
      </c>
      <c r="M133" s="159">
        <f t="shared" si="38"/>
        <v>0</v>
      </c>
      <c r="N133" s="159">
        <f t="shared" si="38"/>
        <v>0</v>
      </c>
      <c r="O133" s="159">
        <f t="shared" si="38"/>
        <v>0</v>
      </c>
      <c r="P133" s="159">
        <f t="shared" si="38"/>
        <v>200</v>
      </c>
      <c r="Q133" s="160">
        <f t="shared" si="38"/>
        <v>184</v>
      </c>
    </row>
    <row r="134" spans="1:22" ht="39" x14ac:dyDescent="0.25">
      <c r="A134" s="155">
        <v>5107</v>
      </c>
      <c r="B134" s="154">
        <v>810000</v>
      </c>
      <c r="C134" s="158" t="s">
        <v>130</v>
      </c>
      <c r="D134" s="158"/>
      <c r="E134" s="159">
        <f>E135+E137+E139</f>
        <v>200</v>
      </c>
      <c r="F134" s="161">
        <f t="shared" si="23"/>
        <v>200</v>
      </c>
      <c r="G134" s="159">
        <f t="shared" ref="G134:Q134" si="39">G135+G137+G139</f>
        <v>184</v>
      </c>
      <c r="H134" s="159">
        <f t="shared" si="39"/>
        <v>0</v>
      </c>
      <c r="I134" s="159">
        <f t="shared" si="39"/>
        <v>0</v>
      </c>
      <c r="J134" s="159">
        <f t="shared" si="39"/>
        <v>0</v>
      </c>
      <c r="K134" s="159">
        <f t="shared" si="39"/>
        <v>0</v>
      </c>
      <c r="L134" s="159">
        <f t="shared" si="39"/>
        <v>0</v>
      </c>
      <c r="M134" s="159">
        <f t="shared" si="39"/>
        <v>0</v>
      </c>
      <c r="N134" s="159">
        <f t="shared" si="39"/>
        <v>0</v>
      </c>
      <c r="O134" s="159">
        <f t="shared" si="39"/>
        <v>0</v>
      </c>
      <c r="P134" s="159">
        <f t="shared" si="39"/>
        <v>200</v>
      </c>
      <c r="Q134" s="160">
        <f t="shared" si="39"/>
        <v>184</v>
      </c>
    </row>
    <row r="135" spans="1:22" ht="26.25" hidden="1" x14ac:dyDescent="0.25">
      <c r="A135" s="155">
        <v>5108</v>
      </c>
      <c r="B135" s="154">
        <v>811000</v>
      </c>
      <c r="C135" s="158" t="s">
        <v>131</v>
      </c>
      <c r="D135" s="158"/>
      <c r="E135" s="159">
        <f>E136</f>
        <v>0</v>
      </c>
      <c r="F135" s="161">
        <f t="shared" si="23"/>
        <v>0</v>
      </c>
      <c r="G135" s="159">
        <f t="shared" si="35"/>
        <v>0</v>
      </c>
      <c r="H135" s="159"/>
      <c r="I135" s="159">
        <f t="shared" ref="I135:Q135" si="40">I136</f>
        <v>0</v>
      </c>
      <c r="J135" s="159">
        <f t="shared" si="40"/>
        <v>0</v>
      </c>
      <c r="K135" s="159"/>
      <c r="L135" s="159">
        <f t="shared" si="40"/>
        <v>0</v>
      </c>
      <c r="M135" s="159"/>
      <c r="N135" s="159">
        <f t="shared" si="40"/>
        <v>0</v>
      </c>
      <c r="O135" s="159">
        <f t="shared" si="40"/>
        <v>0</v>
      </c>
      <c r="P135" s="159"/>
      <c r="Q135" s="160">
        <f t="shared" si="40"/>
        <v>0</v>
      </c>
    </row>
    <row r="136" spans="1:22" ht="26.25" hidden="1" x14ac:dyDescent="0.25">
      <c r="A136" s="164">
        <v>5109</v>
      </c>
      <c r="B136" s="165">
        <v>811100</v>
      </c>
      <c r="C136" s="166" t="s">
        <v>132</v>
      </c>
      <c r="D136" s="166"/>
      <c r="E136" s="182"/>
      <c r="F136" s="161">
        <f t="shared" si="23"/>
        <v>0</v>
      </c>
      <c r="G136" s="183">
        <f t="shared" si="35"/>
        <v>0</v>
      </c>
      <c r="H136" s="183"/>
      <c r="I136" s="182"/>
      <c r="J136" s="182"/>
      <c r="K136" s="182"/>
      <c r="L136" s="182"/>
      <c r="M136" s="182"/>
      <c r="N136" s="182"/>
      <c r="O136" s="182"/>
      <c r="P136" s="182"/>
      <c r="Q136" s="184"/>
    </row>
    <row r="137" spans="1:22" ht="26.25" x14ac:dyDescent="0.25">
      <c r="A137" s="155">
        <v>5110</v>
      </c>
      <c r="B137" s="154">
        <v>812000</v>
      </c>
      <c r="C137" s="158" t="s">
        <v>133</v>
      </c>
      <c r="D137" s="158"/>
      <c r="E137" s="159">
        <f>E138</f>
        <v>200</v>
      </c>
      <c r="F137" s="161">
        <f t="shared" si="23"/>
        <v>200</v>
      </c>
      <c r="G137" s="159">
        <f t="shared" ref="G137:Q137" si="41">G138</f>
        <v>184</v>
      </c>
      <c r="H137" s="159">
        <f t="shared" si="41"/>
        <v>0</v>
      </c>
      <c r="I137" s="159">
        <f t="shared" si="41"/>
        <v>0</v>
      </c>
      <c r="J137" s="159">
        <f t="shared" si="41"/>
        <v>0</v>
      </c>
      <c r="K137" s="159">
        <f t="shared" si="41"/>
        <v>0</v>
      </c>
      <c r="L137" s="159">
        <f t="shared" si="41"/>
        <v>0</v>
      </c>
      <c r="M137" s="159">
        <f t="shared" si="41"/>
        <v>0</v>
      </c>
      <c r="N137" s="159">
        <f t="shared" si="41"/>
        <v>0</v>
      </c>
      <c r="O137" s="159">
        <f t="shared" si="41"/>
        <v>0</v>
      </c>
      <c r="P137" s="159">
        <f t="shared" si="41"/>
        <v>200</v>
      </c>
      <c r="Q137" s="160">
        <f t="shared" si="41"/>
        <v>184</v>
      </c>
    </row>
    <row r="138" spans="1:22" ht="26.25" x14ac:dyDescent="0.25">
      <c r="A138" s="164">
        <v>5111</v>
      </c>
      <c r="B138" s="165">
        <v>812100</v>
      </c>
      <c r="C138" s="166" t="s">
        <v>134</v>
      </c>
      <c r="D138" s="166"/>
      <c r="E138" s="182">
        <v>200</v>
      </c>
      <c r="F138" s="185">
        <f t="shared" si="23"/>
        <v>200</v>
      </c>
      <c r="G138" s="183">
        <f>SUM(I138:Q138)-K138-M138-P138</f>
        <v>184</v>
      </c>
      <c r="H138" s="183"/>
      <c r="I138" s="182"/>
      <c r="J138" s="182"/>
      <c r="K138" s="182"/>
      <c r="L138" s="182"/>
      <c r="M138" s="182"/>
      <c r="N138" s="182"/>
      <c r="O138" s="182"/>
      <c r="P138" s="182">
        <v>200</v>
      </c>
      <c r="Q138" s="184">
        <v>184</v>
      </c>
    </row>
    <row r="139" spans="1:22" ht="39" hidden="1" x14ac:dyDescent="0.25">
      <c r="A139" s="155">
        <v>5112</v>
      </c>
      <c r="B139" s="154">
        <v>813000</v>
      </c>
      <c r="C139" s="158" t="s">
        <v>135</v>
      </c>
      <c r="D139" s="158"/>
      <c r="E139" s="159">
        <f>E140</f>
        <v>0</v>
      </c>
      <c r="F139" s="159"/>
      <c r="G139" s="159">
        <f t="shared" si="35"/>
        <v>0</v>
      </c>
      <c r="H139" s="159"/>
      <c r="I139" s="159">
        <f t="shared" ref="I139:Q139" si="42">I140</f>
        <v>0</v>
      </c>
      <c r="J139" s="159">
        <f t="shared" si="42"/>
        <v>0</v>
      </c>
      <c r="K139" s="159"/>
      <c r="L139" s="159">
        <f t="shared" si="42"/>
        <v>0</v>
      </c>
      <c r="M139" s="159"/>
      <c r="N139" s="159">
        <f t="shared" si="42"/>
        <v>0</v>
      </c>
      <c r="O139" s="159">
        <f t="shared" si="42"/>
        <v>0</v>
      </c>
      <c r="P139" s="159"/>
      <c r="Q139" s="160">
        <f t="shared" si="42"/>
        <v>0</v>
      </c>
    </row>
    <row r="140" spans="1:22" ht="26.25" hidden="1" x14ac:dyDescent="0.25">
      <c r="A140" s="164">
        <v>5113</v>
      </c>
      <c r="B140" s="165">
        <v>813100</v>
      </c>
      <c r="C140" s="166" t="s">
        <v>136</v>
      </c>
      <c r="D140" s="166"/>
      <c r="E140" s="182"/>
      <c r="F140" s="182"/>
      <c r="G140" s="183">
        <f t="shared" si="35"/>
        <v>0</v>
      </c>
      <c r="H140" s="183"/>
      <c r="I140" s="182"/>
      <c r="J140" s="182"/>
      <c r="K140" s="182"/>
      <c r="L140" s="182"/>
      <c r="M140" s="182"/>
      <c r="N140" s="182"/>
      <c r="O140" s="182"/>
      <c r="P140" s="182"/>
      <c r="Q140" s="184"/>
    </row>
    <row r="141" spans="1:22" ht="26.25" hidden="1" x14ac:dyDescent="0.25">
      <c r="A141" s="155">
        <v>5114</v>
      </c>
      <c r="B141" s="154">
        <v>820000</v>
      </c>
      <c r="C141" s="158" t="s">
        <v>137</v>
      </c>
      <c r="D141" s="158"/>
      <c r="E141" s="159">
        <f>E142+E144+E146</f>
        <v>0</v>
      </c>
      <c r="F141" s="159"/>
      <c r="G141" s="159">
        <f t="shared" si="35"/>
        <v>0</v>
      </c>
      <c r="H141" s="159"/>
      <c r="I141" s="159">
        <f t="shared" ref="I141:Q141" si="43">I142+I144+I146</f>
        <v>0</v>
      </c>
      <c r="J141" s="159">
        <f t="shared" si="43"/>
        <v>0</v>
      </c>
      <c r="K141" s="159"/>
      <c r="L141" s="159">
        <f t="shared" si="43"/>
        <v>0</v>
      </c>
      <c r="M141" s="159"/>
      <c r="N141" s="159">
        <f t="shared" si="43"/>
        <v>0</v>
      </c>
      <c r="O141" s="159">
        <f t="shared" si="43"/>
        <v>0</v>
      </c>
      <c r="P141" s="159"/>
      <c r="Q141" s="160">
        <f t="shared" si="43"/>
        <v>0</v>
      </c>
    </row>
    <row r="142" spans="1:22" ht="26.25" hidden="1" x14ac:dyDescent="0.25">
      <c r="A142" s="155">
        <v>5115</v>
      </c>
      <c r="B142" s="154">
        <v>821000</v>
      </c>
      <c r="C142" s="158" t="s">
        <v>138</v>
      </c>
      <c r="D142" s="158"/>
      <c r="E142" s="159">
        <f>E143</f>
        <v>0</v>
      </c>
      <c r="F142" s="159"/>
      <c r="G142" s="159">
        <f t="shared" si="35"/>
        <v>0</v>
      </c>
      <c r="H142" s="159"/>
      <c r="I142" s="159">
        <f t="shared" ref="I142:Q142" si="44">I143</f>
        <v>0</v>
      </c>
      <c r="J142" s="159">
        <f t="shared" si="44"/>
        <v>0</v>
      </c>
      <c r="K142" s="159"/>
      <c r="L142" s="159">
        <f t="shared" si="44"/>
        <v>0</v>
      </c>
      <c r="M142" s="159"/>
      <c r="N142" s="159">
        <f t="shared" si="44"/>
        <v>0</v>
      </c>
      <c r="O142" s="159">
        <f t="shared" si="44"/>
        <v>0</v>
      </c>
      <c r="P142" s="159"/>
      <c r="Q142" s="160">
        <f t="shared" si="44"/>
        <v>0</v>
      </c>
    </row>
    <row r="143" spans="1:22" ht="26.25" hidden="1" x14ac:dyDescent="0.25">
      <c r="A143" s="164">
        <v>5116</v>
      </c>
      <c r="B143" s="165">
        <v>821100</v>
      </c>
      <c r="C143" s="166" t="s">
        <v>139</v>
      </c>
      <c r="D143" s="166"/>
      <c r="E143" s="182"/>
      <c r="F143" s="182"/>
      <c r="G143" s="183">
        <f t="shared" si="35"/>
        <v>0</v>
      </c>
      <c r="H143" s="183"/>
      <c r="I143" s="182"/>
      <c r="J143" s="182"/>
      <c r="K143" s="182"/>
      <c r="L143" s="182"/>
      <c r="M143" s="182"/>
      <c r="N143" s="182"/>
      <c r="O143" s="182"/>
      <c r="P143" s="182"/>
      <c r="Q143" s="184"/>
    </row>
    <row r="144" spans="1:22" ht="39" hidden="1" x14ac:dyDescent="0.25">
      <c r="A144" s="155">
        <v>5117</v>
      </c>
      <c r="B144" s="154">
        <v>822000</v>
      </c>
      <c r="C144" s="158" t="s">
        <v>140</v>
      </c>
      <c r="D144" s="158"/>
      <c r="E144" s="159">
        <f>E145</f>
        <v>0</v>
      </c>
      <c r="F144" s="159"/>
      <c r="G144" s="159">
        <f t="shared" si="35"/>
        <v>0</v>
      </c>
      <c r="H144" s="159"/>
      <c r="I144" s="159">
        <f t="shared" ref="I144:Q144" si="45">I145</f>
        <v>0</v>
      </c>
      <c r="J144" s="159">
        <f t="shared" si="45"/>
        <v>0</v>
      </c>
      <c r="K144" s="159"/>
      <c r="L144" s="159">
        <f t="shared" si="45"/>
        <v>0</v>
      </c>
      <c r="M144" s="159"/>
      <c r="N144" s="159">
        <f t="shared" si="45"/>
        <v>0</v>
      </c>
      <c r="O144" s="159">
        <f t="shared" si="45"/>
        <v>0</v>
      </c>
      <c r="P144" s="159"/>
      <c r="Q144" s="160">
        <f t="shared" si="45"/>
        <v>0</v>
      </c>
    </row>
    <row r="145" spans="1:17" ht="26.25" hidden="1" x14ac:dyDescent="0.25">
      <c r="A145" s="164">
        <v>5118</v>
      </c>
      <c r="B145" s="165">
        <v>822100</v>
      </c>
      <c r="C145" s="166" t="s">
        <v>141</v>
      </c>
      <c r="D145" s="166"/>
      <c r="E145" s="182"/>
      <c r="F145" s="182"/>
      <c r="G145" s="183">
        <f t="shared" si="35"/>
        <v>0</v>
      </c>
      <c r="H145" s="183"/>
      <c r="I145" s="182"/>
      <c r="J145" s="182"/>
      <c r="K145" s="182"/>
      <c r="L145" s="182"/>
      <c r="M145" s="182"/>
      <c r="N145" s="182"/>
      <c r="O145" s="182"/>
      <c r="P145" s="182"/>
      <c r="Q145" s="184"/>
    </row>
    <row r="146" spans="1:17" ht="39" hidden="1" x14ac:dyDescent="0.25">
      <c r="A146" s="155">
        <v>5119</v>
      </c>
      <c r="B146" s="154">
        <v>823000</v>
      </c>
      <c r="C146" s="158" t="s">
        <v>142</v>
      </c>
      <c r="D146" s="158"/>
      <c r="E146" s="159">
        <f>E147</f>
        <v>0</v>
      </c>
      <c r="F146" s="159"/>
      <c r="G146" s="159">
        <f t="shared" si="35"/>
        <v>0</v>
      </c>
      <c r="H146" s="159"/>
      <c r="I146" s="159">
        <f t="shared" ref="I146:Q146" si="46">I147</f>
        <v>0</v>
      </c>
      <c r="J146" s="159">
        <f t="shared" si="46"/>
        <v>0</v>
      </c>
      <c r="K146" s="159"/>
      <c r="L146" s="159">
        <f t="shared" si="46"/>
        <v>0</v>
      </c>
      <c r="M146" s="159"/>
      <c r="N146" s="159">
        <f t="shared" si="46"/>
        <v>0</v>
      </c>
      <c r="O146" s="159">
        <f t="shared" si="46"/>
        <v>0</v>
      </c>
      <c r="P146" s="159"/>
      <c r="Q146" s="160">
        <f t="shared" si="46"/>
        <v>0</v>
      </c>
    </row>
    <row r="147" spans="1:17" ht="26.25" hidden="1" x14ac:dyDescent="0.25">
      <c r="A147" s="164">
        <v>5120</v>
      </c>
      <c r="B147" s="165">
        <v>823100</v>
      </c>
      <c r="C147" s="166" t="s">
        <v>143</v>
      </c>
      <c r="D147" s="166"/>
      <c r="E147" s="182"/>
      <c r="F147" s="182"/>
      <c r="G147" s="183">
        <f t="shared" si="35"/>
        <v>0</v>
      </c>
      <c r="H147" s="183"/>
      <c r="I147" s="182"/>
      <c r="J147" s="182"/>
      <c r="K147" s="182"/>
      <c r="L147" s="182"/>
      <c r="M147" s="182"/>
      <c r="N147" s="182"/>
      <c r="O147" s="182"/>
      <c r="P147" s="182"/>
      <c r="Q147" s="184"/>
    </row>
    <row r="148" spans="1:17" ht="26.25" hidden="1" x14ac:dyDescent="0.25">
      <c r="A148" s="155">
        <v>5121</v>
      </c>
      <c r="B148" s="154">
        <v>830000</v>
      </c>
      <c r="C148" s="158" t="s">
        <v>144</v>
      </c>
      <c r="D148" s="158"/>
      <c r="E148" s="159">
        <f>E149</f>
        <v>0</v>
      </c>
      <c r="F148" s="159"/>
      <c r="G148" s="159">
        <f t="shared" si="35"/>
        <v>0</v>
      </c>
      <c r="H148" s="159"/>
      <c r="I148" s="159">
        <f t="shared" ref="I148:Q149" si="47">I149</f>
        <v>0</v>
      </c>
      <c r="J148" s="159">
        <f t="shared" si="47"/>
        <v>0</v>
      </c>
      <c r="K148" s="159"/>
      <c r="L148" s="159">
        <f t="shared" si="47"/>
        <v>0</v>
      </c>
      <c r="M148" s="159"/>
      <c r="N148" s="159">
        <f t="shared" si="47"/>
        <v>0</v>
      </c>
      <c r="O148" s="159">
        <f t="shared" si="47"/>
        <v>0</v>
      </c>
      <c r="P148" s="159"/>
      <c r="Q148" s="160">
        <f t="shared" si="47"/>
        <v>0</v>
      </c>
    </row>
    <row r="149" spans="1:17" ht="26.25" hidden="1" x14ac:dyDescent="0.25">
      <c r="A149" s="155">
        <v>5122</v>
      </c>
      <c r="B149" s="154">
        <v>831000</v>
      </c>
      <c r="C149" s="158" t="s">
        <v>145</v>
      </c>
      <c r="D149" s="158"/>
      <c r="E149" s="159">
        <f>E150</f>
        <v>0</v>
      </c>
      <c r="F149" s="159"/>
      <c r="G149" s="159">
        <f t="shared" si="35"/>
        <v>0</v>
      </c>
      <c r="H149" s="159"/>
      <c r="I149" s="159">
        <f t="shared" si="47"/>
        <v>0</v>
      </c>
      <c r="J149" s="159">
        <f t="shared" si="47"/>
        <v>0</v>
      </c>
      <c r="K149" s="159"/>
      <c r="L149" s="159">
        <f t="shared" si="47"/>
        <v>0</v>
      </c>
      <c r="M149" s="159"/>
      <c r="N149" s="159">
        <f t="shared" si="47"/>
        <v>0</v>
      </c>
      <c r="O149" s="159">
        <f t="shared" si="47"/>
        <v>0</v>
      </c>
      <c r="P149" s="159"/>
      <c r="Q149" s="160">
        <f t="shared" si="47"/>
        <v>0</v>
      </c>
    </row>
    <row r="150" spans="1:17" ht="26.25" hidden="1" x14ac:dyDescent="0.25">
      <c r="A150" s="164">
        <v>5123</v>
      </c>
      <c r="B150" s="165">
        <v>831100</v>
      </c>
      <c r="C150" s="166" t="s">
        <v>146</v>
      </c>
      <c r="D150" s="166"/>
      <c r="E150" s="182"/>
      <c r="F150" s="182"/>
      <c r="G150" s="183">
        <f t="shared" si="35"/>
        <v>0</v>
      </c>
      <c r="H150" s="183"/>
      <c r="I150" s="182"/>
      <c r="J150" s="182"/>
      <c r="K150" s="182"/>
      <c r="L150" s="182"/>
      <c r="M150" s="182"/>
      <c r="N150" s="182"/>
      <c r="O150" s="182"/>
      <c r="P150" s="182"/>
      <c r="Q150" s="184"/>
    </row>
    <row r="151" spans="1:17" ht="39" hidden="1" x14ac:dyDescent="0.25">
      <c r="A151" s="155">
        <v>5124</v>
      </c>
      <c r="B151" s="154">
        <v>840000</v>
      </c>
      <c r="C151" s="158" t="s">
        <v>147</v>
      </c>
      <c r="D151" s="158"/>
      <c r="E151" s="159">
        <f>E152+E154+E160</f>
        <v>0</v>
      </c>
      <c r="F151" s="159"/>
      <c r="G151" s="159">
        <f t="shared" si="35"/>
        <v>0</v>
      </c>
      <c r="H151" s="159"/>
      <c r="I151" s="159">
        <f t="shared" ref="I151:Q151" si="48">I152+I154+I160</f>
        <v>0</v>
      </c>
      <c r="J151" s="159">
        <f t="shared" si="48"/>
        <v>0</v>
      </c>
      <c r="K151" s="159"/>
      <c r="L151" s="159">
        <f t="shared" si="48"/>
        <v>0</v>
      </c>
      <c r="M151" s="159"/>
      <c r="N151" s="159">
        <f t="shared" si="48"/>
        <v>0</v>
      </c>
      <c r="O151" s="159">
        <f t="shared" si="48"/>
        <v>0</v>
      </c>
      <c r="P151" s="159"/>
      <c r="Q151" s="160">
        <f t="shared" si="48"/>
        <v>0</v>
      </c>
    </row>
    <row r="152" spans="1:17" ht="26.25" hidden="1" x14ac:dyDescent="0.25">
      <c r="A152" s="155">
        <v>5125</v>
      </c>
      <c r="B152" s="154">
        <v>841000</v>
      </c>
      <c r="C152" s="158" t="s">
        <v>148</v>
      </c>
      <c r="D152" s="158"/>
      <c r="E152" s="159">
        <f>E153</f>
        <v>0</v>
      </c>
      <c r="F152" s="159"/>
      <c r="G152" s="159">
        <f t="shared" si="35"/>
        <v>0</v>
      </c>
      <c r="H152" s="159"/>
      <c r="I152" s="159">
        <f t="shared" ref="I152:Q152" si="49">I153</f>
        <v>0</v>
      </c>
      <c r="J152" s="159">
        <f t="shared" si="49"/>
        <v>0</v>
      </c>
      <c r="K152" s="159"/>
      <c r="L152" s="159">
        <f t="shared" si="49"/>
        <v>0</v>
      </c>
      <c r="M152" s="159"/>
      <c r="N152" s="159">
        <f t="shared" si="49"/>
        <v>0</v>
      </c>
      <c r="O152" s="159">
        <f t="shared" si="49"/>
        <v>0</v>
      </c>
      <c r="P152" s="159"/>
      <c r="Q152" s="160">
        <f t="shared" si="49"/>
        <v>0</v>
      </c>
    </row>
    <row r="153" spans="1:17" hidden="1" x14ac:dyDescent="0.25">
      <c r="A153" s="164">
        <v>5126</v>
      </c>
      <c r="B153" s="165">
        <v>841100</v>
      </c>
      <c r="C153" s="166" t="s">
        <v>149</v>
      </c>
      <c r="D153" s="166"/>
      <c r="E153" s="182"/>
      <c r="F153" s="182"/>
      <c r="G153" s="183">
        <f t="shared" si="35"/>
        <v>0</v>
      </c>
      <c r="H153" s="183"/>
      <c r="I153" s="182"/>
      <c r="J153" s="182"/>
      <c r="K153" s="182"/>
      <c r="L153" s="182"/>
      <c r="M153" s="182"/>
      <c r="N153" s="182"/>
      <c r="O153" s="182"/>
      <c r="P153" s="182"/>
      <c r="Q153" s="184"/>
    </row>
    <row r="154" spans="1:17" ht="26.25" hidden="1" x14ac:dyDescent="0.25">
      <c r="A154" s="155">
        <v>5127</v>
      </c>
      <c r="B154" s="154">
        <v>842000</v>
      </c>
      <c r="C154" s="158" t="s">
        <v>150</v>
      </c>
      <c r="D154" s="158"/>
      <c r="E154" s="159">
        <f>E159</f>
        <v>0</v>
      </c>
      <c r="F154" s="159"/>
      <c r="G154" s="159">
        <f t="shared" si="35"/>
        <v>0</v>
      </c>
      <c r="H154" s="159"/>
      <c r="I154" s="159">
        <f t="shared" ref="I154:Q154" si="50">I159</f>
        <v>0</v>
      </c>
      <c r="J154" s="159">
        <f t="shared" si="50"/>
        <v>0</v>
      </c>
      <c r="K154" s="159"/>
      <c r="L154" s="159">
        <f t="shared" si="50"/>
        <v>0</v>
      </c>
      <c r="M154" s="159"/>
      <c r="N154" s="159">
        <f t="shared" si="50"/>
        <v>0</v>
      </c>
      <c r="O154" s="159">
        <f t="shared" si="50"/>
        <v>0</v>
      </c>
      <c r="P154" s="159"/>
      <c r="Q154" s="160">
        <f t="shared" si="50"/>
        <v>0</v>
      </c>
    </row>
    <row r="155" spans="1:17" hidden="1" x14ac:dyDescent="0.25">
      <c r="A155" s="605" t="s">
        <v>0</v>
      </c>
      <c r="B155" s="599" t="s">
        <v>1</v>
      </c>
      <c r="C155" s="598" t="s">
        <v>2</v>
      </c>
      <c r="D155" s="179"/>
      <c r="E155" s="600" t="s">
        <v>3</v>
      </c>
      <c r="F155" s="154"/>
      <c r="G155" s="600" t="s">
        <v>4</v>
      </c>
      <c r="H155" s="600"/>
      <c r="I155" s="600"/>
      <c r="J155" s="600"/>
      <c r="K155" s="600"/>
      <c r="L155" s="600"/>
      <c r="M155" s="600"/>
      <c r="N155" s="600"/>
      <c r="O155" s="600"/>
      <c r="P155" s="600"/>
      <c r="Q155" s="606"/>
    </row>
    <row r="156" spans="1:17" hidden="1" x14ac:dyDescent="0.25">
      <c r="A156" s="605"/>
      <c r="B156" s="599"/>
      <c r="C156" s="598"/>
      <c r="D156" s="179"/>
      <c r="E156" s="600"/>
      <c r="F156" s="154"/>
      <c r="G156" s="607" t="s">
        <v>5</v>
      </c>
      <c r="H156" s="173"/>
      <c r="I156" s="600" t="s">
        <v>6</v>
      </c>
      <c r="J156" s="600"/>
      <c r="K156" s="600"/>
      <c r="L156" s="600"/>
      <c r="M156" s="600"/>
      <c r="N156" s="600"/>
      <c r="O156" s="600" t="s">
        <v>7</v>
      </c>
      <c r="P156" s="154"/>
      <c r="Q156" s="606" t="s">
        <v>8</v>
      </c>
    </row>
    <row r="157" spans="1:17" ht="39" hidden="1" x14ac:dyDescent="0.25">
      <c r="A157" s="605"/>
      <c r="B157" s="599"/>
      <c r="C157" s="598"/>
      <c r="D157" s="179"/>
      <c r="E157" s="600"/>
      <c r="F157" s="154"/>
      <c r="G157" s="607"/>
      <c r="H157" s="173"/>
      <c r="I157" s="154" t="s">
        <v>9</v>
      </c>
      <c r="J157" s="154" t="s">
        <v>10</v>
      </c>
      <c r="K157" s="154"/>
      <c r="L157" s="154" t="s">
        <v>11</v>
      </c>
      <c r="M157" s="154"/>
      <c r="N157" s="154" t="s">
        <v>12</v>
      </c>
      <c r="O157" s="600"/>
      <c r="P157" s="154"/>
      <c r="Q157" s="606"/>
    </row>
    <row r="158" spans="1:17" ht="26.25" hidden="1" x14ac:dyDescent="0.25">
      <c r="A158" s="175" t="s">
        <v>18</v>
      </c>
      <c r="B158" s="176" t="s">
        <v>19</v>
      </c>
      <c r="C158" s="176" t="s">
        <v>20</v>
      </c>
      <c r="D158" s="176"/>
      <c r="E158" s="177" t="s">
        <v>21</v>
      </c>
      <c r="F158" s="177"/>
      <c r="G158" s="177" t="s">
        <v>22</v>
      </c>
      <c r="H158" s="177"/>
      <c r="I158" s="177" t="s">
        <v>23</v>
      </c>
      <c r="J158" s="177" t="s">
        <v>24</v>
      </c>
      <c r="K158" s="177"/>
      <c r="L158" s="177" t="s">
        <v>25</v>
      </c>
      <c r="M158" s="177"/>
      <c r="N158" s="177" t="s">
        <v>26</v>
      </c>
      <c r="O158" s="177" t="s">
        <v>27</v>
      </c>
      <c r="P158" s="177"/>
      <c r="Q158" s="178" t="s">
        <v>28</v>
      </c>
    </row>
    <row r="159" spans="1:17" ht="26.25" hidden="1" x14ac:dyDescent="0.25">
      <c r="A159" s="164">
        <v>5128</v>
      </c>
      <c r="B159" s="165">
        <v>842100</v>
      </c>
      <c r="C159" s="166" t="s">
        <v>151</v>
      </c>
      <c r="D159" s="166"/>
      <c r="E159" s="182"/>
      <c r="F159" s="182"/>
      <c r="G159" s="183">
        <f t="shared" si="35"/>
        <v>0</v>
      </c>
      <c r="H159" s="183"/>
      <c r="I159" s="182"/>
      <c r="J159" s="182"/>
      <c r="K159" s="182"/>
      <c r="L159" s="182"/>
      <c r="M159" s="182"/>
      <c r="N159" s="182"/>
      <c r="O159" s="182"/>
      <c r="P159" s="182"/>
      <c r="Q159" s="184"/>
    </row>
    <row r="160" spans="1:17" ht="26.25" hidden="1" x14ac:dyDescent="0.25">
      <c r="A160" s="155">
        <v>5129</v>
      </c>
      <c r="B160" s="154">
        <v>843000</v>
      </c>
      <c r="C160" s="158" t="s">
        <v>152</v>
      </c>
      <c r="D160" s="158"/>
      <c r="E160" s="159">
        <f>E161</f>
        <v>0</v>
      </c>
      <c r="F160" s="159"/>
      <c r="G160" s="159">
        <f t="shared" si="35"/>
        <v>0</v>
      </c>
      <c r="H160" s="159"/>
      <c r="I160" s="159">
        <f t="shared" ref="I160:Q160" si="51">I161</f>
        <v>0</v>
      </c>
      <c r="J160" s="159">
        <f t="shared" si="51"/>
        <v>0</v>
      </c>
      <c r="K160" s="159"/>
      <c r="L160" s="159">
        <f t="shared" si="51"/>
        <v>0</v>
      </c>
      <c r="M160" s="159"/>
      <c r="N160" s="159">
        <f t="shared" si="51"/>
        <v>0</v>
      </c>
      <c r="O160" s="159">
        <f t="shared" si="51"/>
        <v>0</v>
      </c>
      <c r="P160" s="159"/>
      <c r="Q160" s="160">
        <f t="shared" si="51"/>
        <v>0</v>
      </c>
    </row>
    <row r="161" spans="1:17" hidden="1" x14ac:dyDescent="0.25">
      <c r="A161" s="164">
        <v>5130</v>
      </c>
      <c r="B161" s="165">
        <v>843100</v>
      </c>
      <c r="C161" s="166" t="s">
        <v>153</v>
      </c>
      <c r="D161" s="166"/>
      <c r="E161" s="182"/>
      <c r="F161" s="182"/>
      <c r="G161" s="183">
        <f t="shared" si="35"/>
        <v>0</v>
      </c>
      <c r="H161" s="183"/>
      <c r="I161" s="182"/>
      <c r="J161" s="182"/>
      <c r="K161" s="182"/>
      <c r="L161" s="182"/>
      <c r="M161" s="182"/>
      <c r="N161" s="182"/>
      <c r="O161" s="182"/>
      <c r="P161" s="182"/>
      <c r="Q161" s="184"/>
    </row>
    <row r="162" spans="1:17" ht="51.75" hidden="1" x14ac:dyDescent="0.25">
      <c r="A162" s="155">
        <v>5131</v>
      </c>
      <c r="B162" s="154">
        <v>900000</v>
      </c>
      <c r="C162" s="158" t="s">
        <v>154</v>
      </c>
      <c r="D162" s="158"/>
      <c r="E162" s="159">
        <f>E163+E186</f>
        <v>0</v>
      </c>
      <c r="F162" s="159"/>
      <c r="G162" s="159">
        <f t="shared" ref="G162:G197" si="52">SUM(I162:Q162)</f>
        <v>0</v>
      </c>
      <c r="H162" s="159"/>
      <c r="I162" s="159">
        <f t="shared" ref="I162:Q162" si="53">I163+I186</f>
        <v>0</v>
      </c>
      <c r="J162" s="159">
        <f t="shared" si="53"/>
        <v>0</v>
      </c>
      <c r="K162" s="159"/>
      <c r="L162" s="159">
        <f t="shared" si="53"/>
        <v>0</v>
      </c>
      <c r="M162" s="159"/>
      <c r="N162" s="159">
        <f t="shared" si="53"/>
        <v>0</v>
      </c>
      <c r="O162" s="159">
        <f t="shared" si="53"/>
        <v>0</v>
      </c>
      <c r="P162" s="159"/>
      <c r="Q162" s="160">
        <f t="shared" si="53"/>
        <v>0</v>
      </c>
    </row>
    <row r="163" spans="1:17" ht="26.25" hidden="1" x14ac:dyDescent="0.25">
      <c r="A163" s="155">
        <v>5132</v>
      </c>
      <c r="B163" s="154">
        <v>910000</v>
      </c>
      <c r="C163" s="158" t="s">
        <v>155</v>
      </c>
      <c r="D163" s="158"/>
      <c r="E163" s="159">
        <f>E164+E174</f>
        <v>0</v>
      </c>
      <c r="F163" s="159"/>
      <c r="G163" s="159">
        <f t="shared" si="52"/>
        <v>0</v>
      </c>
      <c r="H163" s="159"/>
      <c r="I163" s="159">
        <f t="shared" ref="I163:Q163" si="54">I164+I174</f>
        <v>0</v>
      </c>
      <c r="J163" s="159">
        <f t="shared" si="54"/>
        <v>0</v>
      </c>
      <c r="K163" s="159"/>
      <c r="L163" s="159">
        <f t="shared" si="54"/>
        <v>0</v>
      </c>
      <c r="M163" s="159"/>
      <c r="N163" s="159">
        <f t="shared" si="54"/>
        <v>0</v>
      </c>
      <c r="O163" s="159">
        <f t="shared" si="54"/>
        <v>0</v>
      </c>
      <c r="P163" s="159"/>
      <c r="Q163" s="160">
        <f t="shared" si="54"/>
        <v>0</v>
      </c>
    </row>
    <row r="164" spans="1:17" ht="39" hidden="1" x14ac:dyDescent="0.25">
      <c r="A164" s="155">
        <v>5133</v>
      </c>
      <c r="B164" s="154">
        <v>911000</v>
      </c>
      <c r="C164" s="158" t="s">
        <v>156</v>
      </c>
      <c r="D164" s="158"/>
      <c r="E164" s="159">
        <f>SUM(E165:E173)</f>
        <v>0</v>
      </c>
      <c r="F164" s="159"/>
      <c r="G164" s="159">
        <f t="shared" si="52"/>
        <v>0</v>
      </c>
      <c r="H164" s="159"/>
      <c r="I164" s="159">
        <f t="shared" ref="I164:Q164" si="55">SUM(I165:I173)</f>
        <v>0</v>
      </c>
      <c r="J164" s="159">
        <f t="shared" si="55"/>
        <v>0</v>
      </c>
      <c r="K164" s="159"/>
      <c r="L164" s="159">
        <f t="shared" si="55"/>
        <v>0</v>
      </c>
      <c r="M164" s="159"/>
      <c r="N164" s="159">
        <f t="shared" si="55"/>
        <v>0</v>
      </c>
      <c r="O164" s="159">
        <f t="shared" si="55"/>
        <v>0</v>
      </c>
      <c r="P164" s="159"/>
      <c r="Q164" s="160">
        <f t="shared" si="55"/>
        <v>0</v>
      </c>
    </row>
    <row r="165" spans="1:17" ht="39" hidden="1" x14ac:dyDescent="0.25">
      <c r="A165" s="164">
        <v>5134</v>
      </c>
      <c r="B165" s="165">
        <v>911100</v>
      </c>
      <c r="C165" s="166" t="s">
        <v>157</v>
      </c>
      <c r="D165" s="166"/>
      <c r="E165" s="182"/>
      <c r="F165" s="182"/>
      <c r="G165" s="183">
        <f t="shared" si="52"/>
        <v>0</v>
      </c>
      <c r="H165" s="183"/>
      <c r="I165" s="182"/>
      <c r="J165" s="182"/>
      <c r="K165" s="182"/>
      <c r="L165" s="182"/>
      <c r="M165" s="182"/>
      <c r="N165" s="182"/>
      <c r="O165" s="182"/>
      <c r="P165" s="182"/>
      <c r="Q165" s="184"/>
    </row>
    <row r="166" spans="1:17" ht="26.25" hidden="1" x14ac:dyDescent="0.25">
      <c r="A166" s="164">
        <v>5135</v>
      </c>
      <c r="B166" s="165">
        <v>911200</v>
      </c>
      <c r="C166" s="166" t="s">
        <v>158</v>
      </c>
      <c r="D166" s="166"/>
      <c r="E166" s="182"/>
      <c r="F166" s="182"/>
      <c r="G166" s="183">
        <f t="shared" si="52"/>
        <v>0</v>
      </c>
      <c r="H166" s="183"/>
      <c r="I166" s="182"/>
      <c r="J166" s="182"/>
      <c r="K166" s="182"/>
      <c r="L166" s="182"/>
      <c r="M166" s="182"/>
      <c r="N166" s="182"/>
      <c r="O166" s="182"/>
      <c r="P166" s="182"/>
      <c r="Q166" s="184"/>
    </row>
    <row r="167" spans="1:17" ht="39" hidden="1" x14ac:dyDescent="0.25">
      <c r="A167" s="164">
        <v>5136</v>
      </c>
      <c r="B167" s="165">
        <v>911300</v>
      </c>
      <c r="C167" s="166" t="s">
        <v>159</v>
      </c>
      <c r="D167" s="166"/>
      <c r="E167" s="182"/>
      <c r="F167" s="182"/>
      <c r="G167" s="183">
        <f t="shared" si="52"/>
        <v>0</v>
      </c>
      <c r="H167" s="183"/>
      <c r="I167" s="182"/>
      <c r="J167" s="182"/>
      <c r="K167" s="182"/>
      <c r="L167" s="182"/>
      <c r="M167" s="182"/>
      <c r="N167" s="182"/>
      <c r="O167" s="182"/>
      <c r="P167" s="182"/>
      <c r="Q167" s="184"/>
    </row>
    <row r="168" spans="1:17" ht="26.25" hidden="1" x14ac:dyDescent="0.25">
      <c r="A168" s="164">
        <v>5137</v>
      </c>
      <c r="B168" s="165">
        <v>911400</v>
      </c>
      <c r="C168" s="166" t="s">
        <v>160</v>
      </c>
      <c r="D168" s="166"/>
      <c r="E168" s="182"/>
      <c r="F168" s="182"/>
      <c r="G168" s="183">
        <f t="shared" si="52"/>
        <v>0</v>
      </c>
      <c r="H168" s="183"/>
      <c r="I168" s="182"/>
      <c r="J168" s="182"/>
      <c r="K168" s="182"/>
      <c r="L168" s="182"/>
      <c r="M168" s="182"/>
      <c r="N168" s="182"/>
      <c r="O168" s="182"/>
      <c r="P168" s="182"/>
      <c r="Q168" s="184"/>
    </row>
    <row r="169" spans="1:17" ht="26.25" hidden="1" x14ac:dyDescent="0.25">
      <c r="A169" s="164">
        <v>5138</v>
      </c>
      <c r="B169" s="165">
        <v>911500</v>
      </c>
      <c r="C169" s="166" t="s">
        <v>161</v>
      </c>
      <c r="D169" s="166"/>
      <c r="E169" s="182"/>
      <c r="F169" s="182"/>
      <c r="G169" s="183">
        <f t="shared" si="52"/>
        <v>0</v>
      </c>
      <c r="H169" s="183"/>
      <c r="I169" s="182"/>
      <c r="J169" s="182"/>
      <c r="K169" s="182"/>
      <c r="L169" s="182"/>
      <c r="M169" s="182"/>
      <c r="N169" s="182"/>
      <c r="O169" s="182"/>
      <c r="P169" s="182"/>
      <c r="Q169" s="184"/>
    </row>
    <row r="170" spans="1:17" ht="26.25" hidden="1" x14ac:dyDescent="0.25">
      <c r="A170" s="164">
        <v>5139</v>
      </c>
      <c r="B170" s="165">
        <v>911600</v>
      </c>
      <c r="C170" s="166" t="s">
        <v>162</v>
      </c>
      <c r="D170" s="166"/>
      <c r="E170" s="182"/>
      <c r="F170" s="182"/>
      <c r="G170" s="183">
        <f t="shared" si="52"/>
        <v>0</v>
      </c>
      <c r="H170" s="183"/>
      <c r="I170" s="182"/>
      <c r="J170" s="182"/>
      <c r="K170" s="182"/>
      <c r="L170" s="182"/>
      <c r="M170" s="182"/>
      <c r="N170" s="182"/>
      <c r="O170" s="182"/>
      <c r="P170" s="182"/>
      <c r="Q170" s="184"/>
    </row>
    <row r="171" spans="1:17" ht="26.25" hidden="1" x14ac:dyDescent="0.25">
      <c r="A171" s="164">
        <v>5140</v>
      </c>
      <c r="B171" s="165">
        <v>911700</v>
      </c>
      <c r="C171" s="166" t="s">
        <v>163</v>
      </c>
      <c r="D171" s="166"/>
      <c r="E171" s="182"/>
      <c r="F171" s="182"/>
      <c r="G171" s="183">
        <f t="shared" si="52"/>
        <v>0</v>
      </c>
      <c r="H171" s="183"/>
      <c r="I171" s="182"/>
      <c r="J171" s="182"/>
      <c r="K171" s="182"/>
      <c r="L171" s="182"/>
      <c r="M171" s="182"/>
      <c r="N171" s="182"/>
      <c r="O171" s="182"/>
      <c r="P171" s="182"/>
      <c r="Q171" s="184"/>
    </row>
    <row r="172" spans="1:17" hidden="1" x14ac:dyDescent="0.25">
      <c r="A172" s="164">
        <v>5141</v>
      </c>
      <c r="B172" s="165">
        <v>911800</v>
      </c>
      <c r="C172" s="166" t="s">
        <v>164</v>
      </c>
      <c r="D172" s="166"/>
      <c r="E172" s="182"/>
      <c r="F172" s="182"/>
      <c r="G172" s="183">
        <f t="shared" si="52"/>
        <v>0</v>
      </c>
      <c r="H172" s="183"/>
      <c r="I172" s="182"/>
      <c r="J172" s="182"/>
      <c r="K172" s="182"/>
      <c r="L172" s="182"/>
      <c r="M172" s="182"/>
      <c r="N172" s="182"/>
      <c r="O172" s="182"/>
      <c r="P172" s="182"/>
      <c r="Q172" s="184"/>
    </row>
    <row r="173" spans="1:17" hidden="1" x14ac:dyDescent="0.25">
      <c r="A173" s="164">
        <v>5142</v>
      </c>
      <c r="B173" s="165">
        <v>911900</v>
      </c>
      <c r="C173" s="166" t="s">
        <v>165</v>
      </c>
      <c r="D173" s="166"/>
      <c r="E173" s="182"/>
      <c r="F173" s="182"/>
      <c r="G173" s="183">
        <f t="shared" si="52"/>
        <v>0</v>
      </c>
      <c r="H173" s="183"/>
      <c r="I173" s="182"/>
      <c r="J173" s="182"/>
      <c r="K173" s="182"/>
      <c r="L173" s="182"/>
      <c r="M173" s="182"/>
      <c r="N173" s="182"/>
      <c r="O173" s="182"/>
      <c r="P173" s="182"/>
      <c r="Q173" s="184"/>
    </row>
    <row r="174" spans="1:17" ht="39" hidden="1" x14ac:dyDescent="0.25">
      <c r="A174" s="155">
        <v>5143</v>
      </c>
      <c r="B174" s="154">
        <v>912000</v>
      </c>
      <c r="C174" s="158" t="s">
        <v>166</v>
      </c>
      <c r="D174" s="158"/>
      <c r="E174" s="159">
        <f>SUM(E175:E185)</f>
        <v>0</v>
      </c>
      <c r="F174" s="159"/>
      <c r="G174" s="159">
        <f t="shared" si="52"/>
        <v>0</v>
      </c>
      <c r="H174" s="159"/>
      <c r="I174" s="159">
        <f t="shared" ref="I174:Q174" si="56">SUM(I175:I185)</f>
        <v>0</v>
      </c>
      <c r="J174" s="159">
        <f t="shared" si="56"/>
        <v>0</v>
      </c>
      <c r="K174" s="159"/>
      <c r="L174" s="159">
        <f t="shared" si="56"/>
        <v>0</v>
      </c>
      <c r="M174" s="159"/>
      <c r="N174" s="159">
        <f t="shared" si="56"/>
        <v>0</v>
      </c>
      <c r="O174" s="159">
        <f t="shared" si="56"/>
        <v>0</v>
      </c>
      <c r="P174" s="159"/>
      <c r="Q174" s="160">
        <f t="shared" si="56"/>
        <v>0</v>
      </c>
    </row>
    <row r="175" spans="1:17" ht="51.75" hidden="1" x14ac:dyDescent="0.25">
      <c r="A175" s="164">
        <v>5144</v>
      </c>
      <c r="B175" s="165">
        <v>912100</v>
      </c>
      <c r="C175" s="166" t="s">
        <v>167</v>
      </c>
      <c r="D175" s="166"/>
      <c r="E175" s="182"/>
      <c r="F175" s="182"/>
      <c r="G175" s="183">
        <f t="shared" si="52"/>
        <v>0</v>
      </c>
      <c r="H175" s="183"/>
      <c r="I175" s="182"/>
      <c r="J175" s="182"/>
      <c r="K175" s="182"/>
      <c r="L175" s="182"/>
      <c r="M175" s="182"/>
      <c r="N175" s="182"/>
      <c r="O175" s="182"/>
      <c r="P175" s="182"/>
      <c r="Q175" s="184"/>
    </row>
    <row r="176" spans="1:17" ht="26.25" hidden="1" x14ac:dyDescent="0.25">
      <c r="A176" s="164">
        <v>5145</v>
      </c>
      <c r="B176" s="165">
        <v>912200</v>
      </c>
      <c r="C176" s="166" t="s">
        <v>168</v>
      </c>
      <c r="D176" s="166"/>
      <c r="E176" s="182"/>
      <c r="F176" s="182"/>
      <c r="G176" s="183">
        <f t="shared" si="52"/>
        <v>0</v>
      </c>
      <c r="H176" s="183"/>
      <c r="I176" s="182"/>
      <c r="J176" s="182"/>
      <c r="K176" s="182"/>
      <c r="L176" s="182"/>
      <c r="M176" s="182"/>
      <c r="N176" s="182"/>
      <c r="O176" s="182"/>
      <c r="P176" s="182"/>
      <c r="Q176" s="184"/>
    </row>
    <row r="177" spans="1:17" ht="26.25" hidden="1" x14ac:dyDescent="0.25">
      <c r="A177" s="164">
        <v>5146</v>
      </c>
      <c r="B177" s="165">
        <v>912300</v>
      </c>
      <c r="C177" s="166" t="s">
        <v>169</v>
      </c>
      <c r="D177" s="166"/>
      <c r="E177" s="182"/>
      <c r="F177" s="182"/>
      <c r="G177" s="183">
        <f t="shared" si="52"/>
        <v>0</v>
      </c>
      <c r="H177" s="183"/>
      <c r="I177" s="182"/>
      <c r="J177" s="182"/>
      <c r="K177" s="182"/>
      <c r="L177" s="182"/>
      <c r="M177" s="182"/>
      <c r="N177" s="182"/>
      <c r="O177" s="182"/>
      <c r="P177" s="182"/>
      <c r="Q177" s="184"/>
    </row>
    <row r="178" spans="1:17" ht="26.25" hidden="1" x14ac:dyDescent="0.25">
      <c r="A178" s="164">
        <v>5147</v>
      </c>
      <c r="B178" s="165">
        <v>912400</v>
      </c>
      <c r="C178" s="166" t="s">
        <v>170</v>
      </c>
      <c r="D178" s="166"/>
      <c r="E178" s="182"/>
      <c r="F178" s="182"/>
      <c r="G178" s="183">
        <f t="shared" si="52"/>
        <v>0</v>
      </c>
      <c r="H178" s="183"/>
      <c r="I178" s="182"/>
      <c r="J178" s="182"/>
      <c r="K178" s="182"/>
      <c r="L178" s="182"/>
      <c r="M178" s="182"/>
      <c r="N178" s="182"/>
      <c r="O178" s="182"/>
      <c r="P178" s="182"/>
      <c r="Q178" s="184"/>
    </row>
    <row r="179" spans="1:17" ht="26.25" hidden="1" x14ac:dyDescent="0.25">
      <c r="A179" s="164">
        <v>5148</v>
      </c>
      <c r="B179" s="165">
        <v>912500</v>
      </c>
      <c r="C179" s="166" t="s">
        <v>171</v>
      </c>
      <c r="D179" s="166"/>
      <c r="E179" s="182"/>
      <c r="F179" s="182"/>
      <c r="G179" s="183">
        <f t="shared" si="52"/>
        <v>0</v>
      </c>
      <c r="H179" s="183"/>
      <c r="I179" s="182"/>
      <c r="J179" s="182"/>
      <c r="K179" s="182"/>
      <c r="L179" s="182"/>
      <c r="M179" s="182"/>
      <c r="N179" s="182"/>
      <c r="O179" s="182"/>
      <c r="P179" s="182"/>
      <c r="Q179" s="184"/>
    </row>
    <row r="180" spans="1:17" ht="26.25" hidden="1" x14ac:dyDescent="0.25">
      <c r="A180" s="164">
        <v>5149</v>
      </c>
      <c r="B180" s="165">
        <v>912600</v>
      </c>
      <c r="C180" s="166" t="s">
        <v>172</v>
      </c>
      <c r="D180" s="166"/>
      <c r="E180" s="182"/>
      <c r="F180" s="182"/>
      <c r="G180" s="183">
        <f t="shared" si="52"/>
        <v>0</v>
      </c>
      <c r="H180" s="183"/>
      <c r="I180" s="182"/>
      <c r="J180" s="182"/>
      <c r="K180" s="182"/>
      <c r="L180" s="182"/>
      <c r="M180" s="182"/>
      <c r="N180" s="182"/>
      <c r="O180" s="182"/>
      <c r="P180" s="182"/>
      <c r="Q180" s="184"/>
    </row>
    <row r="181" spans="1:17" hidden="1" x14ac:dyDescent="0.25">
      <c r="A181" s="605" t="s">
        <v>0</v>
      </c>
      <c r="B181" s="599" t="s">
        <v>1</v>
      </c>
      <c r="C181" s="598" t="s">
        <v>2</v>
      </c>
      <c r="D181" s="179"/>
      <c r="E181" s="600" t="s">
        <v>3</v>
      </c>
      <c r="F181" s="154"/>
      <c r="G181" s="600" t="s">
        <v>4</v>
      </c>
      <c r="H181" s="600"/>
      <c r="I181" s="600"/>
      <c r="J181" s="600"/>
      <c r="K181" s="600"/>
      <c r="L181" s="600"/>
      <c r="M181" s="600"/>
      <c r="N181" s="600"/>
      <c r="O181" s="600"/>
      <c r="P181" s="600"/>
      <c r="Q181" s="606"/>
    </row>
    <row r="182" spans="1:17" hidden="1" x14ac:dyDescent="0.25">
      <c r="A182" s="605"/>
      <c r="B182" s="599"/>
      <c r="C182" s="598"/>
      <c r="D182" s="179"/>
      <c r="E182" s="600"/>
      <c r="F182" s="154"/>
      <c r="G182" s="607" t="s">
        <v>5</v>
      </c>
      <c r="H182" s="173"/>
      <c r="I182" s="600" t="s">
        <v>6</v>
      </c>
      <c r="J182" s="600"/>
      <c r="K182" s="600"/>
      <c r="L182" s="600"/>
      <c r="M182" s="600"/>
      <c r="N182" s="600"/>
      <c r="O182" s="600" t="s">
        <v>7</v>
      </c>
      <c r="P182" s="154"/>
      <c r="Q182" s="606" t="s">
        <v>8</v>
      </c>
    </row>
    <row r="183" spans="1:17" ht="39" hidden="1" x14ac:dyDescent="0.25">
      <c r="A183" s="605"/>
      <c r="B183" s="599"/>
      <c r="C183" s="598"/>
      <c r="D183" s="179"/>
      <c r="E183" s="600"/>
      <c r="F183" s="154"/>
      <c r="G183" s="607"/>
      <c r="H183" s="173"/>
      <c r="I183" s="154" t="s">
        <v>9</v>
      </c>
      <c r="J183" s="154" t="s">
        <v>10</v>
      </c>
      <c r="K183" s="154"/>
      <c r="L183" s="154" t="s">
        <v>11</v>
      </c>
      <c r="M183" s="154"/>
      <c r="N183" s="154" t="s">
        <v>12</v>
      </c>
      <c r="O183" s="600"/>
      <c r="P183" s="154"/>
      <c r="Q183" s="606"/>
    </row>
    <row r="184" spans="1:17" ht="26.25" hidden="1" x14ac:dyDescent="0.25">
      <c r="A184" s="175" t="s">
        <v>18</v>
      </c>
      <c r="B184" s="176" t="s">
        <v>19</v>
      </c>
      <c r="C184" s="176" t="s">
        <v>20</v>
      </c>
      <c r="D184" s="176"/>
      <c r="E184" s="177" t="s">
        <v>21</v>
      </c>
      <c r="F184" s="177"/>
      <c r="G184" s="177" t="s">
        <v>22</v>
      </c>
      <c r="H184" s="177"/>
      <c r="I184" s="177" t="s">
        <v>23</v>
      </c>
      <c r="J184" s="177" t="s">
        <v>24</v>
      </c>
      <c r="K184" s="177"/>
      <c r="L184" s="177" t="s">
        <v>25</v>
      </c>
      <c r="M184" s="177"/>
      <c r="N184" s="177" t="s">
        <v>26</v>
      </c>
      <c r="O184" s="177" t="s">
        <v>27</v>
      </c>
      <c r="P184" s="177"/>
      <c r="Q184" s="178" t="s">
        <v>28</v>
      </c>
    </row>
    <row r="185" spans="1:17" hidden="1" x14ac:dyDescent="0.25">
      <c r="A185" s="164">
        <v>5150</v>
      </c>
      <c r="B185" s="165">
        <v>912900</v>
      </c>
      <c r="C185" s="166" t="s">
        <v>173</v>
      </c>
      <c r="D185" s="166"/>
      <c r="E185" s="182"/>
      <c r="F185" s="182"/>
      <c r="G185" s="183">
        <f t="shared" si="52"/>
        <v>0</v>
      </c>
      <c r="H185" s="183"/>
      <c r="I185" s="182"/>
      <c r="J185" s="182"/>
      <c r="K185" s="182"/>
      <c r="L185" s="182"/>
      <c r="M185" s="182"/>
      <c r="N185" s="182"/>
      <c r="O185" s="182"/>
      <c r="P185" s="182"/>
      <c r="Q185" s="184"/>
    </row>
    <row r="186" spans="1:17" ht="39" hidden="1" x14ac:dyDescent="0.25">
      <c r="A186" s="155">
        <v>5151</v>
      </c>
      <c r="B186" s="154">
        <v>920000</v>
      </c>
      <c r="C186" s="158" t="s">
        <v>174</v>
      </c>
      <c r="D186" s="158"/>
      <c r="E186" s="159">
        <f>E187+E197</f>
        <v>0</v>
      </c>
      <c r="F186" s="159"/>
      <c r="G186" s="159">
        <f t="shared" si="52"/>
        <v>0</v>
      </c>
      <c r="H186" s="159"/>
      <c r="I186" s="159">
        <f t="shared" ref="I186:Q186" si="57">I187+I197</f>
        <v>0</v>
      </c>
      <c r="J186" s="159">
        <f t="shared" si="57"/>
        <v>0</v>
      </c>
      <c r="K186" s="159"/>
      <c r="L186" s="159">
        <f t="shared" si="57"/>
        <v>0</v>
      </c>
      <c r="M186" s="159"/>
      <c r="N186" s="159">
        <f t="shared" si="57"/>
        <v>0</v>
      </c>
      <c r="O186" s="159">
        <f t="shared" si="57"/>
        <v>0</v>
      </c>
      <c r="P186" s="159"/>
      <c r="Q186" s="160">
        <f t="shared" si="57"/>
        <v>0</v>
      </c>
    </row>
    <row r="187" spans="1:17" ht="39" hidden="1" x14ac:dyDescent="0.25">
      <c r="A187" s="155">
        <v>5152</v>
      </c>
      <c r="B187" s="154">
        <v>921000</v>
      </c>
      <c r="C187" s="158" t="s">
        <v>175</v>
      </c>
      <c r="D187" s="158"/>
      <c r="E187" s="159">
        <f>SUM(E188:E196)</f>
        <v>0</v>
      </c>
      <c r="F187" s="159"/>
      <c r="G187" s="159">
        <f t="shared" si="52"/>
        <v>0</v>
      </c>
      <c r="H187" s="159"/>
      <c r="I187" s="159">
        <f t="shared" ref="I187:Q187" si="58">SUM(I188:I196)</f>
        <v>0</v>
      </c>
      <c r="J187" s="159">
        <f t="shared" si="58"/>
        <v>0</v>
      </c>
      <c r="K187" s="159"/>
      <c r="L187" s="159">
        <f t="shared" si="58"/>
        <v>0</v>
      </c>
      <c r="M187" s="159"/>
      <c r="N187" s="159">
        <f t="shared" si="58"/>
        <v>0</v>
      </c>
      <c r="O187" s="159">
        <f t="shared" si="58"/>
        <v>0</v>
      </c>
      <c r="P187" s="159"/>
      <c r="Q187" s="160">
        <f t="shared" si="58"/>
        <v>0</v>
      </c>
    </row>
    <row r="188" spans="1:17" ht="39" hidden="1" x14ac:dyDescent="0.25">
      <c r="A188" s="164">
        <v>5153</v>
      </c>
      <c r="B188" s="165">
        <v>921100</v>
      </c>
      <c r="C188" s="166" t="s">
        <v>176</v>
      </c>
      <c r="D188" s="166"/>
      <c r="E188" s="182"/>
      <c r="F188" s="182"/>
      <c r="G188" s="183">
        <f t="shared" si="52"/>
        <v>0</v>
      </c>
      <c r="H188" s="183"/>
      <c r="I188" s="182"/>
      <c r="J188" s="182"/>
      <c r="K188" s="182"/>
      <c r="L188" s="182"/>
      <c r="M188" s="182"/>
      <c r="N188" s="182"/>
      <c r="O188" s="182"/>
      <c r="P188" s="182"/>
      <c r="Q188" s="184"/>
    </row>
    <row r="189" spans="1:17" ht="26.25" hidden="1" x14ac:dyDescent="0.25">
      <c r="A189" s="164">
        <v>5154</v>
      </c>
      <c r="B189" s="165">
        <v>921200</v>
      </c>
      <c r="C189" s="166" t="s">
        <v>177</v>
      </c>
      <c r="D189" s="166"/>
      <c r="E189" s="182"/>
      <c r="F189" s="182"/>
      <c r="G189" s="183">
        <f t="shared" si="52"/>
        <v>0</v>
      </c>
      <c r="H189" s="183"/>
      <c r="I189" s="182"/>
      <c r="J189" s="182"/>
      <c r="K189" s="182"/>
      <c r="L189" s="182"/>
      <c r="M189" s="182"/>
      <c r="N189" s="182"/>
      <c r="O189" s="182"/>
      <c r="P189" s="182"/>
      <c r="Q189" s="184"/>
    </row>
    <row r="190" spans="1:17" ht="39" hidden="1" x14ac:dyDescent="0.25">
      <c r="A190" s="164">
        <v>5155</v>
      </c>
      <c r="B190" s="165">
        <v>921300</v>
      </c>
      <c r="C190" s="166" t="s">
        <v>178</v>
      </c>
      <c r="D190" s="166"/>
      <c r="E190" s="182"/>
      <c r="F190" s="182"/>
      <c r="G190" s="183">
        <f t="shared" si="52"/>
        <v>0</v>
      </c>
      <c r="H190" s="183"/>
      <c r="I190" s="182"/>
      <c r="J190" s="182"/>
      <c r="K190" s="182"/>
      <c r="L190" s="182"/>
      <c r="M190" s="182"/>
      <c r="N190" s="182"/>
      <c r="O190" s="182"/>
      <c r="P190" s="182"/>
      <c r="Q190" s="184"/>
    </row>
    <row r="191" spans="1:17" ht="26.25" hidden="1" x14ac:dyDescent="0.25">
      <c r="A191" s="164">
        <v>5156</v>
      </c>
      <c r="B191" s="165">
        <v>921400</v>
      </c>
      <c r="C191" s="166" t="s">
        <v>179</v>
      </c>
      <c r="D191" s="166"/>
      <c r="E191" s="182"/>
      <c r="F191" s="182"/>
      <c r="G191" s="183">
        <f t="shared" si="52"/>
        <v>0</v>
      </c>
      <c r="H191" s="183"/>
      <c r="I191" s="182"/>
      <c r="J191" s="182"/>
      <c r="K191" s="182"/>
      <c r="L191" s="182"/>
      <c r="M191" s="182"/>
      <c r="N191" s="182"/>
      <c r="O191" s="182"/>
      <c r="P191" s="182"/>
      <c r="Q191" s="184"/>
    </row>
    <row r="192" spans="1:17" ht="39" hidden="1" x14ac:dyDescent="0.25">
      <c r="A192" s="164">
        <v>5157</v>
      </c>
      <c r="B192" s="165">
        <v>921500</v>
      </c>
      <c r="C192" s="166" t="s">
        <v>180</v>
      </c>
      <c r="D192" s="166"/>
      <c r="E192" s="182"/>
      <c r="F192" s="182"/>
      <c r="G192" s="183">
        <f t="shared" si="52"/>
        <v>0</v>
      </c>
      <c r="H192" s="183"/>
      <c r="I192" s="182"/>
      <c r="J192" s="182"/>
      <c r="K192" s="182"/>
      <c r="L192" s="182"/>
      <c r="M192" s="182"/>
      <c r="N192" s="182"/>
      <c r="O192" s="182"/>
      <c r="P192" s="182"/>
      <c r="Q192" s="184"/>
    </row>
    <row r="193" spans="1:17" ht="39" hidden="1" x14ac:dyDescent="0.25">
      <c r="A193" s="164">
        <v>5158</v>
      </c>
      <c r="B193" s="165">
        <v>921600</v>
      </c>
      <c r="C193" s="166" t="s">
        <v>181</v>
      </c>
      <c r="D193" s="166"/>
      <c r="E193" s="182"/>
      <c r="F193" s="182"/>
      <c r="G193" s="183">
        <f t="shared" si="52"/>
        <v>0</v>
      </c>
      <c r="H193" s="183"/>
      <c r="I193" s="182"/>
      <c r="J193" s="182"/>
      <c r="K193" s="182"/>
      <c r="L193" s="182"/>
      <c r="M193" s="182"/>
      <c r="N193" s="182"/>
      <c r="O193" s="182"/>
      <c r="P193" s="182"/>
      <c r="Q193" s="184"/>
    </row>
    <row r="194" spans="1:17" ht="39" hidden="1" x14ac:dyDescent="0.25">
      <c r="A194" s="164">
        <v>5159</v>
      </c>
      <c r="B194" s="165">
        <v>921700</v>
      </c>
      <c r="C194" s="166" t="s">
        <v>182</v>
      </c>
      <c r="D194" s="166"/>
      <c r="E194" s="182"/>
      <c r="F194" s="182"/>
      <c r="G194" s="183">
        <f t="shared" si="52"/>
        <v>0</v>
      </c>
      <c r="H194" s="183"/>
      <c r="I194" s="182"/>
      <c r="J194" s="182"/>
      <c r="K194" s="182"/>
      <c r="L194" s="182"/>
      <c r="M194" s="182"/>
      <c r="N194" s="182"/>
      <c r="O194" s="182"/>
      <c r="P194" s="182"/>
      <c r="Q194" s="184"/>
    </row>
    <row r="195" spans="1:17" ht="39" hidden="1" x14ac:dyDescent="0.25">
      <c r="A195" s="164">
        <v>5160</v>
      </c>
      <c r="B195" s="165">
        <v>921800</v>
      </c>
      <c r="C195" s="166" t="s">
        <v>183</v>
      </c>
      <c r="D195" s="166"/>
      <c r="E195" s="182"/>
      <c r="F195" s="182"/>
      <c r="G195" s="183">
        <f t="shared" si="52"/>
        <v>0</v>
      </c>
      <c r="H195" s="183"/>
      <c r="I195" s="182"/>
      <c r="J195" s="182"/>
      <c r="K195" s="182"/>
      <c r="L195" s="182"/>
      <c r="M195" s="182"/>
      <c r="N195" s="182"/>
      <c r="O195" s="182"/>
      <c r="P195" s="182"/>
      <c r="Q195" s="184"/>
    </row>
    <row r="196" spans="1:17" ht="26.25" hidden="1" x14ac:dyDescent="0.25">
      <c r="A196" s="164">
        <v>5161</v>
      </c>
      <c r="B196" s="165">
        <v>921900</v>
      </c>
      <c r="C196" s="166" t="s">
        <v>184</v>
      </c>
      <c r="D196" s="166"/>
      <c r="E196" s="182"/>
      <c r="F196" s="182"/>
      <c r="G196" s="183">
        <f t="shared" si="52"/>
        <v>0</v>
      </c>
      <c r="H196" s="183"/>
      <c r="I196" s="182"/>
      <c r="J196" s="182"/>
      <c r="K196" s="182"/>
      <c r="L196" s="182"/>
      <c r="M196" s="182"/>
      <c r="N196" s="182"/>
      <c r="O196" s="182"/>
      <c r="P196" s="182"/>
      <c r="Q196" s="184"/>
    </row>
    <row r="197" spans="1:17" ht="39" hidden="1" x14ac:dyDescent="0.25">
      <c r="A197" s="155">
        <v>5162</v>
      </c>
      <c r="B197" s="154">
        <v>922000</v>
      </c>
      <c r="C197" s="158" t="s">
        <v>185</v>
      </c>
      <c r="D197" s="158"/>
      <c r="E197" s="159">
        <f>SUM(E198:E209)</f>
        <v>0</v>
      </c>
      <c r="F197" s="159"/>
      <c r="G197" s="159">
        <f t="shared" si="52"/>
        <v>0</v>
      </c>
      <c r="H197" s="159"/>
      <c r="I197" s="159">
        <f t="shared" ref="I197:Q197" si="59">SUM(I198:I209)</f>
        <v>0</v>
      </c>
      <c r="J197" s="159">
        <f t="shared" si="59"/>
        <v>0</v>
      </c>
      <c r="K197" s="159"/>
      <c r="L197" s="159">
        <f t="shared" si="59"/>
        <v>0</v>
      </c>
      <c r="M197" s="159"/>
      <c r="N197" s="159">
        <f t="shared" si="59"/>
        <v>0</v>
      </c>
      <c r="O197" s="159">
        <f t="shared" si="59"/>
        <v>0</v>
      </c>
      <c r="P197" s="159"/>
      <c r="Q197" s="160">
        <f t="shared" si="59"/>
        <v>0</v>
      </c>
    </row>
    <row r="198" spans="1:17" ht="39" hidden="1" x14ac:dyDescent="0.25">
      <c r="A198" s="164">
        <v>5163</v>
      </c>
      <c r="B198" s="165">
        <v>922100</v>
      </c>
      <c r="C198" s="166" t="s">
        <v>186</v>
      </c>
      <c r="D198" s="166"/>
      <c r="E198" s="182"/>
      <c r="F198" s="182"/>
      <c r="G198" s="183">
        <f t="shared" ref="G198:G209" si="60">SUM(I198:Q198)</f>
        <v>0</v>
      </c>
      <c r="H198" s="183"/>
      <c r="I198" s="182"/>
      <c r="J198" s="182"/>
      <c r="K198" s="182"/>
      <c r="L198" s="182"/>
      <c r="M198" s="182"/>
      <c r="N198" s="182"/>
      <c r="O198" s="182"/>
      <c r="P198" s="182"/>
      <c r="Q198" s="184"/>
    </row>
    <row r="199" spans="1:17" ht="26.25" hidden="1" x14ac:dyDescent="0.25">
      <c r="A199" s="164">
        <v>5164</v>
      </c>
      <c r="B199" s="165">
        <v>922200</v>
      </c>
      <c r="C199" s="166" t="s">
        <v>187</v>
      </c>
      <c r="D199" s="166"/>
      <c r="E199" s="182"/>
      <c r="F199" s="182"/>
      <c r="G199" s="183">
        <f t="shared" si="60"/>
        <v>0</v>
      </c>
      <c r="H199" s="183"/>
      <c r="I199" s="182"/>
      <c r="J199" s="182"/>
      <c r="K199" s="182"/>
      <c r="L199" s="182"/>
      <c r="M199" s="182"/>
      <c r="N199" s="182"/>
      <c r="O199" s="182"/>
      <c r="P199" s="182"/>
      <c r="Q199" s="184"/>
    </row>
    <row r="200" spans="1:17" ht="39" hidden="1" x14ac:dyDescent="0.25">
      <c r="A200" s="164">
        <v>5165</v>
      </c>
      <c r="B200" s="165">
        <v>922300</v>
      </c>
      <c r="C200" s="166" t="s">
        <v>188</v>
      </c>
      <c r="D200" s="166"/>
      <c r="E200" s="182"/>
      <c r="F200" s="182"/>
      <c r="G200" s="183">
        <f t="shared" si="60"/>
        <v>0</v>
      </c>
      <c r="H200" s="183"/>
      <c r="I200" s="182"/>
      <c r="J200" s="182"/>
      <c r="K200" s="182"/>
      <c r="L200" s="182"/>
      <c r="M200" s="182"/>
      <c r="N200" s="182"/>
      <c r="O200" s="182"/>
      <c r="P200" s="182"/>
      <c r="Q200" s="184"/>
    </row>
    <row r="201" spans="1:17" ht="39" hidden="1" x14ac:dyDescent="0.25">
      <c r="A201" s="164">
        <v>5166</v>
      </c>
      <c r="B201" s="165">
        <v>922400</v>
      </c>
      <c r="C201" s="166" t="s">
        <v>189</v>
      </c>
      <c r="D201" s="166"/>
      <c r="E201" s="182"/>
      <c r="F201" s="182"/>
      <c r="G201" s="183">
        <f t="shared" si="60"/>
        <v>0</v>
      </c>
      <c r="H201" s="183"/>
      <c r="I201" s="182"/>
      <c r="J201" s="182"/>
      <c r="K201" s="182"/>
      <c r="L201" s="182"/>
      <c r="M201" s="182"/>
      <c r="N201" s="182"/>
      <c r="O201" s="182"/>
      <c r="P201" s="182"/>
      <c r="Q201" s="184"/>
    </row>
    <row r="202" spans="1:17" ht="39" hidden="1" x14ac:dyDescent="0.25">
      <c r="A202" s="164">
        <v>5167</v>
      </c>
      <c r="B202" s="165">
        <v>922500</v>
      </c>
      <c r="C202" s="166" t="s">
        <v>190</v>
      </c>
      <c r="D202" s="166"/>
      <c r="E202" s="182"/>
      <c r="F202" s="182"/>
      <c r="G202" s="183">
        <f t="shared" si="60"/>
        <v>0</v>
      </c>
      <c r="H202" s="183"/>
      <c r="I202" s="182"/>
      <c r="J202" s="182"/>
      <c r="K202" s="182"/>
      <c r="L202" s="182"/>
      <c r="M202" s="182"/>
      <c r="N202" s="182"/>
      <c r="O202" s="182"/>
      <c r="P202" s="182"/>
      <c r="Q202" s="184"/>
    </row>
    <row r="203" spans="1:17" hidden="1" x14ac:dyDescent="0.25">
      <c r="A203" s="605" t="s">
        <v>0</v>
      </c>
      <c r="B203" s="599" t="s">
        <v>1</v>
      </c>
      <c r="C203" s="598" t="s">
        <v>2</v>
      </c>
      <c r="D203" s="179"/>
      <c r="E203" s="600" t="s">
        <v>3</v>
      </c>
      <c r="F203" s="154"/>
      <c r="G203" s="600" t="s">
        <v>4</v>
      </c>
      <c r="H203" s="600"/>
      <c r="I203" s="600"/>
      <c r="J203" s="600"/>
      <c r="K203" s="600"/>
      <c r="L203" s="600"/>
      <c r="M203" s="600"/>
      <c r="N203" s="600"/>
      <c r="O203" s="600"/>
      <c r="P203" s="600"/>
      <c r="Q203" s="606"/>
    </row>
    <row r="204" spans="1:17" hidden="1" x14ac:dyDescent="0.25">
      <c r="A204" s="605"/>
      <c r="B204" s="599"/>
      <c r="C204" s="598"/>
      <c r="D204" s="179"/>
      <c r="E204" s="600"/>
      <c r="F204" s="154"/>
      <c r="G204" s="607" t="s">
        <v>5</v>
      </c>
      <c r="H204" s="173"/>
      <c r="I204" s="600" t="s">
        <v>6</v>
      </c>
      <c r="J204" s="600"/>
      <c r="K204" s="600"/>
      <c r="L204" s="600"/>
      <c r="M204" s="600"/>
      <c r="N204" s="600"/>
      <c r="O204" s="600" t="s">
        <v>7</v>
      </c>
      <c r="P204" s="154"/>
      <c r="Q204" s="606" t="s">
        <v>8</v>
      </c>
    </row>
    <row r="205" spans="1:17" ht="39" hidden="1" x14ac:dyDescent="0.25">
      <c r="A205" s="605"/>
      <c r="B205" s="599"/>
      <c r="C205" s="598"/>
      <c r="D205" s="179"/>
      <c r="E205" s="600"/>
      <c r="F205" s="154"/>
      <c r="G205" s="607"/>
      <c r="H205" s="173"/>
      <c r="I205" s="154" t="s">
        <v>9</v>
      </c>
      <c r="J205" s="154" t="s">
        <v>10</v>
      </c>
      <c r="K205" s="154"/>
      <c r="L205" s="154" t="s">
        <v>11</v>
      </c>
      <c r="M205" s="154"/>
      <c r="N205" s="154" t="s">
        <v>12</v>
      </c>
      <c r="O205" s="600"/>
      <c r="P205" s="154"/>
      <c r="Q205" s="606"/>
    </row>
    <row r="206" spans="1:17" ht="26.25" hidden="1" x14ac:dyDescent="0.25">
      <c r="A206" s="175" t="s">
        <v>18</v>
      </c>
      <c r="B206" s="176" t="s">
        <v>19</v>
      </c>
      <c r="C206" s="176" t="s">
        <v>20</v>
      </c>
      <c r="D206" s="176"/>
      <c r="E206" s="177" t="s">
        <v>21</v>
      </c>
      <c r="F206" s="177"/>
      <c r="G206" s="177" t="s">
        <v>22</v>
      </c>
      <c r="H206" s="177"/>
      <c r="I206" s="177" t="s">
        <v>23</v>
      </c>
      <c r="J206" s="177" t="s">
        <v>24</v>
      </c>
      <c r="K206" s="177"/>
      <c r="L206" s="177" t="s">
        <v>25</v>
      </c>
      <c r="M206" s="177"/>
      <c r="N206" s="177" t="s">
        <v>26</v>
      </c>
      <c r="O206" s="177" t="s">
        <v>27</v>
      </c>
      <c r="P206" s="177"/>
      <c r="Q206" s="178" t="s">
        <v>28</v>
      </c>
    </row>
    <row r="207" spans="1:17" ht="39" hidden="1" x14ac:dyDescent="0.25">
      <c r="A207" s="164">
        <v>5168</v>
      </c>
      <c r="B207" s="165">
        <v>922600</v>
      </c>
      <c r="C207" s="166" t="s">
        <v>191</v>
      </c>
      <c r="D207" s="166"/>
      <c r="E207" s="182"/>
      <c r="F207" s="182"/>
      <c r="G207" s="183">
        <f t="shared" si="60"/>
        <v>0</v>
      </c>
      <c r="H207" s="183"/>
      <c r="I207" s="182"/>
      <c r="J207" s="182"/>
      <c r="K207" s="182"/>
      <c r="L207" s="182"/>
      <c r="M207" s="182"/>
      <c r="N207" s="182"/>
      <c r="O207" s="182"/>
      <c r="P207" s="182"/>
      <c r="Q207" s="184"/>
    </row>
    <row r="208" spans="1:17" ht="26.25" hidden="1" x14ac:dyDescent="0.25">
      <c r="A208" s="164">
        <v>5169</v>
      </c>
      <c r="B208" s="165">
        <v>922700</v>
      </c>
      <c r="C208" s="166" t="s">
        <v>192</v>
      </c>
      <c r="D208" s="166"/>
      <c r="E208" s="182"/>
      <c r="F208" s="182"/>
      <c r="G208" s="183">
        <f t="shared" si="60"/>
        <v>0</v>
      </c>
      <c r="H208" s="183"/>
      <c r="I208" s="182"/>
      <c r="J208" s="182"/>
      <c r="K208" s="182"/>
      <c r="L208" s="182"/>
      <c r="M208" s="182"/>
      <c r="N208" s="182"/>
      <c r="O208" s="182"/>
      <c r="P208" s="182"/>
      <c r="Q208" s="184"/>
    </row>
    <row r="209" spans="1:18" ht="26.25" hidden="1" x14ac:dyDescent="0.25">
      <c r="A209" s="164">
        <v>5170</v>
      </c>
      <c r="B209" s="165">
        <v>922800</v>
      </c>
      <c r="C209" s="166" t="s">
        <v>193</v>
      </c>
      <c r="D209" s="166"/>
      <c r="E209" s="182"/>
      <c r="F209" s="182"/>
      <c r="G209" s="183">
        <f t="shared" si="60"/>
        <v>0</v>
      </c>
      <c r="H209" s="183"/>
      <c r="I209" s="182"/>
      <c r="J209" s="182"/>
      <c r="K209" s="182"/>
      <c r="L209" s="182"/>
      <c r="M209" s="182"/>
      <c r="N209" s="182"/>
      <c r="O209" s="182"/>
      <c r="P209" s="182"/>
      <c r="Q209" s="184"/>
    </row>
    <row r="210" spans="1:18" ht="27" thickBot="1" x14ac:dyDescent="0.3">
      <c r="A210" s="191">
        <v>5171</v>
      </c>
      <c r="B210" s="192"/>
      <c r="C210" s="193" t="s">
        <v>194</v>
      </c>
      <c r="D210" s="193"/>
      <c r="E210" s="194">
        <f>E6+E162</f>
        <v>1500538</v>
      </c>
      <c r="F210" s="194">
        <f t="shared" ref="F210:Q210" si="61">F6+F162</f>
        <v>1490987</v>
      </c>
      <c r="G210" s="194">
        <f t="shared" si="61"/>
        <v>2881680</v>
      </c>
      <c r="H210" s="194">
        <f t="shared" si="61"/>
        <v>24480</v>
      </c>
      <c r="I210" s="194">
        <f t="shared" si="61"/>
        <v>18738</v>
      </c>
      <c r="J210" s="194">
        <f t="shared" si="61"/>
        <v>0</v>
      </c>
      <c r="K210" s="194">
        <f t="shared" si="61"/>
        <v>1000</v>
      </c>
      <c r="L210" s="194">
        <f t="shared" si="61"/>
        <v>505</v>
      </c>
      <c r="M210" s="194">
        <f t="shared" si="61"/>
        <v>1452707</v>
      </c>
      <c r="N210" s="194">
        <f t="shared" si="61"/>
        <v>1398192</v>
      </c>
      <c r="O210" s="194">
        <f t="shared" si="61"/>
        <v>0</v>
      </c>
      <c r="P210" s="194">
        <f t="shared" si="61"/>
        <v>12800</v>
      </c>
      <c r="Q210" s="195">
        <f t="shared" si="61"/>
        <v>12669</v>
      </c>
    </row>
    <row r="211" spans="1:18" ht="25.5" customHeight="1" x14ac:dyDescent="0.25">
      <c r="A211" s="196"/>
      <c r="B211" s="197"/>
      <c r="C211" s="198"/>
      <c r="D211" s="198"/>
      <c r="E211" s="199"/>
      <c r="F211" s="199"/>
      <c r="G211" s="199"/>
      <c r="H211" s="199"/>
      <c r="I211" s="199"/>
      <c r="J211" s="199"/>
      <c r="K211" s="199"/>
      <c r="L211" s="199"/>
      <c r="M211" s="199"/>
      <c r="N211" s="199"/>
      <c r="O211" s="199"/>
      <c r="P211" s="199"/>
      <c r="Q211" s="199"/>
    </row>
    <row r="212" spans="1:18" ht="3" hidden="1" customHeight="1" x14ac:dyDescent="0.25">
      <c r="A212" s="200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</row>
    <row r="213" spans="1:18" ht="19.5" customHeight="1" x14ac:dyDescent="0.25">
      <c r="A213" s="150" t="s">
        <v>195</v>
      </c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</row>
    <row r="214" spans="1:18" ht="3.75" hidden="1" customHeight="1" x14ac:dyDescent="0.25">
      <c r="A214" s="200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 t="s">
        <v>196</v>
      </c>
      <c r="P214" s="151"/>
      <c r="Q214" s="151"/>
    </row>
    <row r="215" spans="1:18" ht="15" customHeight="1" x14ac:dyDescent="0.25">
      <c r="A215" s="600" t="s">
        <v>0</v>
      </c>
      <c r="B215" s="600" t="s">
        <v>1</v>
      </c>
      <c r="C215" s="600" t="s">
        <v>2</v>
      </c>
      <c r="D215" s="600"/>
      <c r="E215" s="600" t="s">
        <v>197</v>
      </c>
      <c r="F215" s="602" t="s">
        <v>512</v>
      </c>
      <c r="G215" s="603"/>
      <c r="H215" s="603"/>
      <c r="I215" s="603"/>
      <c r="J215" s="603"/>
      <c r="K215" s="603"/>
      <c r="L215" s="603"/>
      <c r="M215" s="603"/>
      <c r="N215" s="603"/>
      <c r="O215" s="603"/>
      <c r="P215" s="603"/>
      <c r="Q215" s="604"/>
    </row>
    <row r="216" spans="1:18" ht="15" customHeight="1" x14ac:dyDescent="0.25">
      <c r="A216" s="601"/>
      <c r="B216" s="601"/>
      <c r="C216" s="601"/>
      <c r="D216" s="600"/>
      <c r="E216" s="601"/>
      <c r="F216" s="600" t="s">
        <v>511</v>
      </c>
      <c r="G216" s="600" t="s">
        <v>199</v>
      </c>
      <c r="H216" s="602" t="s">
        <v>200</v>
      </c>
      <c r="I216" s="603"/>
      <c r="J216" s="603"/>
      <c r="K216" s="603"/>
      <c r="L216" s="603"/>
      <c r="M216" s="603"/>
      <c r="N216" s="604"/>
      <c r="O216" s="600" t="s">
        <v>7</v>
      </c>
      <c r="P216" s="600" t="s">
        <v>8</v>
      </c>
      <c r="Q216" s="600" t="s">
        <v>8</v>
      </c>
    </row>
    <row r="217" spans="1:18" ht="39" x14ac:dyDescent="0.25">
      <c r="A217" s="601"/>
      <c r="B217" s="601"/>
      <c r="C217" s="601"/>
      <c r="D217" s="600"/>
      <c r="E217" s="601"/>
      <c r="F217" s="601"/>
      <c r="G217" s="601"/>
      <c r="H217" s="154" t="s">
        <v>201</v>
      </c>
      <c r="I217" s="154" t="s">
        <v>201</v>
      </c>
      <c r="J217" s="154" t="s">
        <v>10</v>
      </c>
      <c r="K217" s="154" t="s">
        <v>11</v>
      </c>
      <c r="L217" s="154" t="s">
        <v>11</v>
      </c>
      <c r="M217" s="154" t="s">
        <v>12</v>
      </c>
      <c r="N217" s="154" t="s">
        <v>12</v>
      </c>
      <c r="O217" s="601"/>
      <c r="P217" s="601"/>
      <c r="Q217" s="601"/>
    </row>
    <row r="218" spans="1:18" x14ac:dyDescent="0.25">
      <c r="A218" s="154">
        <v>1</v>
      </c>
      <c r="B218" s="154">
        <v>2</v>
      </c>
      <c r="C218" s="154">
        <v>3</v>
      </c>
      <c r="D218" s="154"/>
      <c r="E218" s="154">
        <v>4</v>
      </c>
      <c r="F218" s="154">
        <v>4</v>
      </c>
      <c r="G218" s="154">
        <v>5</v>
      </c>
      <c r="H218" s="154">
        <v>5</v>
      </c>
      <c r="I218" s="154">
        <v>6</v>
      </c>
      <c r="J218" s="154">
        <v>7</v>
      </c>
      <c r="K218" s="154">
        <v>6</v>
      </c>
      <c r="L218" s="154">
        <v>8</v>
      </c>
      <c r="M218" s="154">
        <v>7</v>
      </c>
      <c r="N218" s="154">
        <v>9</v>
      </c>
      <c r="O218" s="154">
        <v>10</v>
      </c>
      <c r="P218" s="154">
        <v>8</v>
      </c>
      <c r="Q218" s="154">
        <v>11</v>
      </c>
    </row>
    <row r="219" spans="1:18" ht="39" x14ac:dyDescent="0.25">
      <c r="A219" s="180">
        <v>5172</v>
      </c>
      <c r="B219" s="154"/>
      <c r="C219" s="158" t="s">
        <v>202</v>
      </c>
      <c r="D219" s="158"/>
      <c r="E219" s="159">
        <f t="shared" ref="E219:Q219" si="62">E220+E434</f>
        <v>1500538</v>
      </c>
      <c r="F219" s="159">
        <f t="shared" si="62"/>
        <v>1496372</v>
      </c>
      <c r="G219" s="159">
        <f t="shared" si="62"/>
        <v>1428226</v>
      </c>
      <c r="H219" s="159">
        <f t="shared" si="62"/>
        <v>25518</v>
      </c>
      <c r="I219" s="159">
        <f t="shared" si="62"/>
        <v>17657</v>
      </c>
      <c r="J219" s="159">
        <f t="shared" si="62"/>
        <v>0</v>
      </c>
      <c r="K219" s="159">
        <f t="shared" si="62"/>
        <v>1000</v>
      </c>
      <c r="L219" s="159">
        <f t="shared" si="62"/>
        <v>1273</v>
      </c>
      <c r="M219" s="159">
        <f t="shared" si="62"/>
        <v>1452813</v>
      </c>
      <c r="N219" s="159">
        <f t="shared" si="62"/>
        <v>1398024</v>
      </c>
      <c r="O219" s="159">
        <f t="shared" si="62"/>
        <v>0</v>
      </c>
      <c r="P219" s="159">
        <f t="shared" si="62"/>
        <v>17041</v>
      </c>
      <c r="Q219" s="159">
        <f t="shared" si="62"/>
        <v>11162</v>
      </c>
      <c r="R219" s="201">
        <f>H219+K219+M219+P219</f>
        <v>1496372</v>
      </c>
    </row>
    <row r="220" spans="1:18" ht="39" x14ac:dyDescent="0.25">
      <c r="A220" s="180">
        <v>5173</v>
      </c>
      <c r="B220" s="154">
        <v>400000</v>
      </c>
      <c r="C220" s="158" t="s">
        <v>203</v>
      </c>
      <c r="D220" s="158"/>
      <c r="E220" s="159">
        <f>E221+E247+E314+E333+E361+E374+E394+E413</f>
        <v>1464986</v>
      </c>
      <c r="F220" s="159">
        <f>F221+F247+F333+F374+F413</f>
        <v>1470627</v>
      </c>
      <c r="G220" s="159">
        <f t="shared" ref="G220:Q220" si="63">G221+G247+G314+G333+G361+G374+G394+G413</f>
        <v>1411063</v>
      </c>
      <c r="H220" s="159">
        <f t="shared" si="63"/>
        <v>5518</v>
      </c>
      <c r="I220" s="159">
        <f t="shared" si="63"/>
        <v>2407</v>
      </c>
      <c r="J220" s="159">
        <f t="shared" si="63"/>
        <v>0</v>
      </c>
      <c r="K220" s="159">
        <f t="shared" si="63"/>
        <v>1000</v>
      </c>
      <c r="L220" s="159">
        <f t="shared" si="63"/>
        <v>1273</v>
      </c>
      <c r="M220" s="159">
        <f t="shared" si="63"/>
        <v>1452813</v>
      </c>
      <c r="N220" s="159">
        <f t="shared" si="63"/>
        <v>1398024</v>
      </c>
      <c r="O220" s="159">
        <f t="shared" si="63"/>
        <v>0</v>
      </c>
      <c r="P220" s="159">
        <f t="shared" si="63"/>
        <v>11296</v>
      </c>
      <c r="Q220" s="159">
        <f t="shared" si="63"/>
        <v>9349</v>
      </c>
      <c r="R220" s="201">
        <f>F220+F434</f>
        <v>1496372</v>
      </c>
    </row>
    <row r="221" spans="1:18" ht="39" x14ac:dyDescent="0.25">
      <c r="A221" s="180">
        <v>5174</v>
      </c>
      <c r="B221" s="154">
        <v>410000</v>
      </c>
      <c r="C221" s="158" t="s">
        <v>204</v>
      </c>
      <c r="D221" s="158"/>
      <c r="E221" s="159">
        <f>E222+E224+E228+E230+E239+E241+E243+E245</f>
        <v>1029655</v>
      </c>
      <c r="F221" s="159">
        <f t="shared" ref="F221:Q221" si="64">F222+F224+F228+F230+F239+F241+F243+F245</f>
        <v>1063773</v>
      </c>
      <c r="G221" s="159">
        <f t="shared" si="64"/>
        <v>1027665</v>
      </c>
      <c r="H221" s="159">
        <f t="shared" si="64"/>
        <v>0</v>
      </c>
      <c r="I221" s="159">
        <f t="shared" si="64"/>
        <v>0</v>
      </c>
      <c r="J221" s="159">
        <f t="shared" si="64"/>
        <v>0</v>
      </c>
      <c r="K221" s="159">
        <f t="shared" si="64"/>
        <v>0</v>
      </c>
      <c r="L221" s="159">
        <f t="shared" si="64"/>
        <v>0</v>
      </c>
      <c r="M221" s="159">
        <f t="shared" si="64"/>
        <v>1060568</v>
      </c>
      <c r="N221" s="159">
        <f t="shared" si="64"/>
        <v>1025065</v>
      </c>
      <c r="O221" s="159">
        <f t="shared" si="64"/>
        <v>0</v>
      </c>
      <c r="P221" s="159">
        <f t="shared" si="64"/>
        <v>3205</v>
      </c>
      <c r="Q221" s="159">
        <f t="shared" si="64"/>
        <v>2600</v>
      </c>
    </row>
    <row r="222" spans="1:18" ht="26.25" x14ac:dyDescent="0.25">
      <c r="A222" s="180">
        <v>5175</v>
      </c>
      <c r="B222" s="154">
        <v>411000</v>
      </c>
      <c r="C222" s="158" t="s">
        <v>205</v>
      </c>
      <c r="D222" s="158"/>
      <c r="E222" s="159">
        <f>E223</f>
        <v>851785</v>
      </c>
      <c r="F222" s="159">
        <f t="shared" ref="F222:Q222" si="65">F223</f>
        <v>875010</v>
      </c>
      <c r="G222" s="159">
        <f t="shared" si="65"/>
        <v>851785</v>
      </c>
      <c r="H222" s="159">
        <f t="shared" si="65"/>
        <v>0</v>
      </c>
      <c r="I222" s="159">
        <f t="shared" si="65"/>
        <v>0</v>
      </c>
      <c r="J222" s="159">
        <f t="shared" si="65"/>
        <v>0</v>
      </c>
      <c r="K222" s="159">
        <f t="shared" si="65"/>
        <v>0</v>
      </c>
      <c r="L222" s="159">
        <f t="shared" si="65"/>
        <v>0</v>
      </c>
      <c r="M222" s="159">
        <f t="shared" si="65"/>
        <v>872510</v>
      </c>
      <c r="N222" s="159">
        <f t="shared" si="65"/>
        <v>849796</v>
      </c>
      <c r="O222" s="159">
        <f t="shared" si="65"/>
        <v>0</v>
      </c>
      <c r="P222" s="159">
        <f t="shared" si="65"/>
        <v>2500</v>
      </c>
      <c r="Q222" s="159">
        <f t="shared" si="65"/>
        <v>1989</v>
      </c>
    </row>
    <row r="223" spans="1:18" ht="26.25" x14ac:dyDescent="0.25">
      <c r="A223" s="202">
        <v>5176</v>
      </c>
      <c r="B223" s="165">
        <v>411100</v>
      </c>
      <c r="C223" s="166" t="s">
        <v>206</v>
      </c>
      <c r="D223" s="166"/>
      <c r="E223" s="182">
        <f>851823-26-11-1</f>
        <v>851785</v>
      </c>
      <c r="F223" s="182">
        <f>H223+K223+M223+P223</f>
        <v>875010</v>
      </c>
      <c r="G223" s="183">
        <f>SUM(I223:Q223)-K223-M223-P223</f>
        <v>851785</v>
      </c>
      <c r="H223" s="183"/>
      <c r="I223" s="182"/>
      <c r="J223" s="182"/>
      <c r="K223" s="182"/>
      <c r="L223" s="182"/>
      <c r="M223" s="182">
        <v>872510</v>
      </c>
      <c r="N223" s="182">
        <f>851785-1989</f>
        <v>849796</v>
      </c>
      <c r="O223" s="182"/>
      <c r="P223" s="182">
        <v>2500</v>
      </c>
      <c r="Q223" s="182">
        <v>1989</v>
      </c>
      <c r="R223" s="201">
        <f>M223+P223</f>
        <v>875010</v>
      </c>
    </row>
    <row r="224" spans="1:18" ht="39" x14ac:dyDescent="0.25">
      <c r="A224" s="180">
        <v>5177</v>
      </c>
      <c r="B224" s="154">
        <v>412000</v>
      </c>
      <c r="C224" s="158" t="s">
        <v>207</v>
      </c>
      <c r="D224" s="158"/>
      <c r="E224" s="159">
        <f>SUM(E225:E227)</f>
        <v>141866</v>
      </c>
      <c r="F224" s="159">
        <f t="shared" ref="F224:Q224" si="66">SUM(F225:F227)</f>
        <v>141315</v>
      </c>
      <c r="G224" s="159">
        <f t="shared" si="66"/>
        <v>141866</v>
      </c>
      <c r="H224" s="159">
        <f t="shared" si="66"/>
        <v>0</v>
      </c>
      <c r="I224" s="159">
        <f t="shared" si="66"/>
        <v>0</v>
      </c>
      <c r="J224" s="159">
        <f t="shared" si="66"/>
        <v>0</v>
      </c>
      <c r="K224" s="159">
        <f t="shared" si="66"/>
        <v>0</v>
      </c>
      <c r="L224" s="159">
        <f t="shared" si="66"/>
        <v>0</v>
      </c>
      <c r="M224" s="159">
        <f t="shared" si="66"/>
        <v>140910</v>
      </c>
      <c r="N224" s="159">
        <f t="shared" si="66"/>
        <v>141535</v>
      </c>
      <c r="O224" s="159">
        <f t="shared" si="66"/>
        <v>0</v>
      </c>
      <c r="P224" s="159">
        <f t="shared" si="66"/>
        <v>405</v>
      </c>
      <c r="Q224" s="159">
        <f t="shared" si="66"/>
        <v>331</v>
      </c>
    </row>
    <row r="225" spans="1:22" ht="26.25" x14ac:dyDescent="0.25">
      <c r="A225" s="202">
        <v>5178</v>
      </c>
      <c r="B225" s="165">
        <v>412100</v>
      </c>
      <c r="C225" s="166" t="s">
        <v>208</v>
      </c>
      <c r="D225" s="166"/>
      <c r="E225" s="182">
        <f>97960+26</f>
        <v>97986</v>
      </c>
      <c r="F225" s="182">
        <f>H225+K225+M225+P225</f>
        <v>96251</v>
      </c>
      <c r="G225" s="183">
        <f>SUM(I225:Q225)-K225-M225-P225</f>
        <v>97986</v>
      </c>
      <c r="H225" s="183"/>
      <c r="I225" s="182"/>
      <c r="J225" s="182"/>
      <c r="K225" s="182"/>
      <c r="L225" s="182"/>
      <c r="M225" s="182">
        <v>95976</v>
      </c>
      <c r="N225" s="182">
        <f>97986-229</f>
        <v>97757</v>
      </c>
      <c r="O225" s="182"/>
      <c r="P225" s="182">
        <v>275</v>
      </c>
      <c r="Q225" s="182">
        <v>229</v>
      </c>
    </row>
    <row r="226" spans="1:22" ht="26.25" x14ac:dyDescent="0.25">
      <c r="A226" s="202">
        <v>5179</v>
      </c>
      <c r="B226" s="165">
        <v>412200</v>
      </c>
      <c r="C226" s="166" t="s">
        <v>209</v>
      </c>
      <c r="D226" s="166"/>
      <c r="E226" s="182">
        <f>43869+11</f>
        <v>43880</v>
      </c>
      <c r="F226" s="182">
        <f>H226+K226+M226+P226</f>
        <v>45064</v>
      </c>
      <c r="G226" s="183">
        <f>SUM(I226:Q226)-K226-M226-P226</f>
        <v>43880</v>
      </c>
      <c r="H226" s="183"/>
      <c r="I226" s="182"/>
      <c r="J226" s="182"/>
      <c r="K226" s="182"/>
      <c r="L226" s="182"/>
      <c r="M226" s="182">
        <v>44934</v>
      </c>
      <c r="N226" s="182">
        <f>43880-102</f>
        <v>43778</v>
      </c>
      <c r="O226" s="182"/>
      <c r="P226" s="182">
        <v>130</v>
      </c>
      <c r="Q226" s="182">
        <v>102</v>
      </c>
    </row>
    <row r="227" spans="1:22" hidden="1" x14ac:dyDescent="0.25">
      <c r="A227" s="202">
        <v>5180</v>
      </c>
      <c r="B227" s="165">
        <v>412300</v>
      </c>
      <c r="C227" s="166" t="s">
        <v>210</v>
      </c>
      <c r="D227" s="166"/>
      <c r="E227" s="182"/>
      <c r="F227" s="182"/>
      <c r="G227" s="183">
        <f t="shared" ref="G227:G288" si="67">SUM(I227:Q227)</f>
        <v>0</v>
      </c>
      <c r="H227" s="183"/>
      <c r="I227" s="182"/>
      <c r="J227" s="182"/>
      <c r="K227" s="182"/>
      <c r="L227" s="182"/>
      <c r="M227" s="182"/>
      <c r="N227" s="182"/>
      <c r="O227" s="182"/>
      <c r="P227" s="182"/>
      <c r="Q227" s="182"/>
    </row>
    <row r="228" spans="1:22" hidden="1" x14ac:dyDescent="0.25">
      <c r="A228" s="180">
        <v>5181</v>
      </c>
      <c r="B228" s="154">
        <v>413000</v>
      </c>
      <c r="C228" s="158" t="s">
        <v>211</v>
      </c>
      <c r="D228" s="158"/>
      <c r="E228" s="159">
        <f>E229</f>
        <v>0</v>
      </c>
      <c r="F228" s="159"/>
      <c r="G228" s="159">
        <f t="shared" si="67"/>
        <v>0</v>
      </c>
      <c r="H228" s="159"/>
      <c r="I228" s="159">
        <f t="shared" ref="I228:Q228" si="68">I229</f>
        <v>0</v>
      </c>
      <c r="J228" s="159">
        <f t="shared" si="68"/>
        <v>0</v>
      </c>
      <c r="K228" s="159"/>
      <c r="L228" s="159">
        <f t="shared" si="68"/>
        <v>0</v>
      </c>
      <c r="M228" s="159"/>
      <c r="N228" s="159">
        <f t="shared" si="68"/>
        <v>0</v>
      </c>
      <c r="O228" s="159">
        <f t="shared" si="68"/>
        <v>0</v>
      </c>
      <c r="P228" s="159"/>
      <c r="Q228" s="159">
        <f t="shared" si="68"/>
        <v>0</v>
      </c>
    </row>
    <row r="229" spans="1:22" hidden="1" x14ac:dyDescent="0.25">
      <c r="A229" s="202">
        <v>5182</v>
      </c>
      <c r="B229" s="165">
        <v>413100</v>
      </c>
      <c r="C229" s="166" t="s">
        <v>212</v>
      </c>
      <c r="D229" s="166"/>
      <c r="E229" s="182"/>
      <c r="F229" s="182"/>
      <c r="G229" s="183">
        <f t="shared" si="67"/>
        <v>0</v>
      </c>
      <c r="H229" s="183"/>
      <c r="I229" s="182"/>
      <c r="J229" s="182"/>
      <c r="K229" s="182"/>
      <c r="L229" s="182"/>
      <c r="M229" s="182"/>
      <c r="N229" s="182"/>
      <c r="O229" s="182"/>
      <c r="P229" s="182"/>
      <c r="Q229" s="182"/>
    </row>
    <row r="230" spans="1:22" ht="39" x14ac:dyDescent="0.25">
      <c r="A230" s="180">
        <v>5183</v>
      </c>
      <c r="B230" s="154">
        <v>414000</v>
      </c>
      <c r="C230" s="158" t="s">
        <v>213</v>
      </c>
      <c r="D230" s="158"/>
      <c r="E230" s="159">
        <f>SUM(E231:E238)</f>
        <v>6722</v>
      </c>
      <c r="F230" s="159">
        <f t="shared" ref="F230:Q230" si="69">SUM(F231:F238)</f>
        <v>13972</v>
      </c>
      <c r="G230" s="159">
        <f t="shared" si="69"/>
        <v>5239</v>
      </c>
      <c r="H230" s="159">
        <f t="shared" si="69"/>
        <v>0</v>
      </c>
      <c r="I230" s="159">
        <f t="shared" si="69"/>
        <v>0</v>
      </c>
      <c r="J230" s="159">
        <f t="shared" si="69"/>
        <v>0</v>
      </c>
      <c r="K230" s="159">
        <f t="shared" si="69"/>
        <v>0</v>
      </c>
      <c r="L230" s="159">
        <f t="shared" si="69"/>
        <v>0</v>
      </c>
      <c r="M230" s="159">
        <f t="shared" si="69"/>
        <v>13672</v>
      </c>
      <c r="N230" s="159">
        <f t="shared" si="69"/>
        <v>4959</v>
      </c>
      <c r="O230" s="159">
        <f t="shared" si="69"/>
        <v>0</v>
      </c>
      <c r="P230" s="159">
        <f t="shared" si="69"/>
        <v>300</v>
      </c>
      <c r="Q230" s="159">
        <f t="shared" si="69"/>
        <v>280</v>
      </c>
    </row>
    <row r="231" spans="1:22" ht="39" hidden="1" x14ac:dyDescent="0.25">
      <c r="A231" s="202">
        <v>5184</v>
      </c>
      <c r="B231" s="165">
        <v>414100</v>
      </c>
      <c r="C231" s="166" t="s">
        <v>214</v>
      </c>
      <c r="D231" s="166"/>
      <c r="E231" s="182"/>
      <c r="F231" s="182"/>
      <c r="G231" s="183">
        <f t="shared" si="67"/>
        <v>0</v>
      </c>
      <c r="H231" s="183"/>
      <c r="I231" s="182"/>
      <c r="J231" s="182"/>
      <c r="K231" s="182"/>
      <c r="L231" s="182"/>
      <c r="M231" s="182"/>
      <c r="N231" s="182"/>
      <c r="O231" s="182"/>
      <c r="P231" s="182"/>
      <c r="Q231" s="182"/>
    </row>
    <row r="232" spans="1:22" ht="26.25" hidden="1" x14ac:dyDescent="0.25">
      <c r="A232" s="202">
        <v>5185</v>
      </c>
      <c r="B232" s="165">
        <v>414200</v>
      </c>
      <c r="C232" s="166" t="s">
        <v>215</v>
      </c>
      <c r="D232" s="166"/>
      <c r="E232" s="182"/>
      <c r="F232" s="182"/>
      <c r="G232" s="183">
        <f t="shared" si="67"/>
        <v>0</v>
      </c>
      <c r="H232" s="183"/>
      <c r="I232" s="182"/>
      <c r="J232" s="182"/>
      <c r="K232" s="182"/>
      <c r="L232" s="182"/>
      <c r="M232" s="182"/>
      <c r="N232" s="182"/>
      <c r="O232" s="182"/>
      <c r="P232" s="182"/>
      <c r="Q232" s="182"/>
    </row>
    <row r="233" spans="1:22" x14ac:dyDescent="0.25">
      <c r="A233" s="202">
        <v>5186</v>
      </c>
      <c r="B233" s="165">
        <v>414300</v>
      </c>
      <c r="C233" s="166" t="s">
        <v>216</v>
      </c>
      <c r="D233" s="166"/>
      <c r="E233" s="182">
        <v>5351</v>
      </c>
      <c r="F233" s="182">
        <f>H233+K233+M233+P233</f>
        <v>5300</v>
      </c>
      <c r="G233" s="183">
        <f>SUM(I233:Q233)-K233-M233-P233</f>
        <v>3934</v>
      </c>
      <c r="H233" s="183"/>
      <c r="I233" s="182"/>
      <c r="J233" s="182"/>
      <c r="K233" s="182"/>
      <c r="L233" s="182"/>
      <c r="M233" s="182">
        <f>4800+200</f>
        <v>5000</v>
      </c>
      <c r="N233" s="182">
        <v>3654</v>
      </c>
      <c r="O233" s="182"/>
      <c r="P233" s="182">
        <v>300</v>
      </c>
      <c r="Q233" s="182">
        <v>280</v>
      </c>
    </row>
    <row r="234" spans="1:22" ht="15" hidden="1" customHeight="1" x14ac:dyDescent="0.25">
      <c r="A234" s="598" t="s">
        <v>0</v>
      </c>
      <c r="B234" s="599" t="s">
        <v>1</v>
      </c>
      <c r="C234" s="598" t="s">
        <v>2</v>
      </c>
      <c r="D234" s="179"/>
      <c r="E234" s="598" t="s">
        <v>217</v>
      </c>
      <c r="F234" s="179"/>
      <c r="G234" s="600" t="s">
        <v>198</v>
      </c>
      <c r="H234" s="600"/>
      <c r="I234" s="601"/>
      <c r="J234" s="601"/>
      <c r="K234" s="601"/>
      <c r="L234" s="601"/>
      <c r="M234" s="601"/>
      <c r="N234" s="601"/>
      <c r="O234" s="601"/>
      <c r="P234" s="601"/>
      <c r="Q234" s="601"/>
    </row>
    <row r="235" spans="1:22" ht="15" hidden="1" customHeight="1" x14ac:dyDescent="0.25">
      <c r="A235" s="598"/>
      <c r="B235" s="599"/>
      <c r="C235" s="598"/>
      <c r="D235" s="179"/>
      <c r="E235" s="598"/>
      <c r="F235" s="179"/>
      <c r="G235" s="600" t="s">
        <v>199</v>
      </c>
      <c r="H235" s="154"/>
      <c r="I235" s="600" t="s">
        <v>200</v>
      </c>
      <c r="J235" s="601"/>
      <c r="K235" s="601"/>
      <c r="L235" s="601"/>
      <c r="M235" s="601"/>
      <c r="N235" s="601"/>
      <c r="O235" s="600" t="s">
        <v>7</v>
      </c>
      <c r="P235" s="154"/>
      <c r="Q235" s="600" t="s">
        <v>8</v>
      </c>
    </row>
    <row r="236" spans="1:22" ht="39" hidden="1" customHeight="1" x14ac:dyDescent="0.25">
      <c r="A236" s="598"/>
      <c r="B236" s="599"/>
      <c r="C236" s="598"/>
      <c r="D236" s="179"/>
      <c r="E236" s="598"/>
      <c r="F236" s="179"/>
      <c r="G236" s="601"/>
      <c r="H236" s="203"/>
      <c r="I236" s="154" t="s">
        <v>201</v>
      </c>
      <c r="J236" s="154" t="s">
        <v>10</v>
      </c>
      <c r="K236" s="154"/>
      <c r="L236" s="154" t="s">
        <v>11</v>
      </c>
      <c r="M236" s="154"/>
      <c r="N236" s="154" t="s">
        <v>12</v>
      </c>
      <c r="O236" s="601"/>
      <c r="P236" s="203"/>
      <c r="Q236" s="601"/>
    </row>
    <row r="237" spans="1:22" ht="15" hidden="1" customHeight="1" x14ac:dyDescent="0.25">
      <c r="A237" s="176" t="s">
        <v>18</v>
      </c>
      <c r="B237" s="176" t="s">
        <v>19</v>
      </c>
      <c r="C237" s="176" t="s">
        <v>20</v>
      </c>
      <c r="D237" s="176"/>
      <c r="E237" s="176" t="s">
        <v>21</v>
      </c>
      <c r="F237" s="176"/>
      <c r="G237" s="176" t="s">
        <v>22</v>
      </c>
      <c r="H237" s="176"/>
      <c r="I237" s="176" t="s">
        <v>23</v>
      </c>
      <c r="J237" s="176" t="s">
        <v>24</v>
      </c>
      <c r="K237" s="176"/>
      <c r="L237" s="176" t="s">
        <v>25</v>
      </c>
      <c r="M237" s="176"/>
      <c r="N237" s="176" t="s">
        <v>26</v>
      </c>
      <c r="O237" s="176" t="s">
        <v>27</v>
      </c>
      <c r="P237" s="176"/>
      <c r="Q237" s="176" t="s">
        <v>28</v>
      </c>
    </row>
    <row r="238" spans="1:22" ht="54" x14ac:dyDescent="0.4">
      <c r="A238" s="202">
        <v>5187</v>
      </c>
      <c r="B238" s="165">
        <v>414400</v>
      </c>
      <c r="C238" s="166" t="s">
        <v>218</v>
      </c>
      <c r="D238" s="166"/>
      <c r="E238" s="182">
        <v>1371</v>
      </c>
      <c r="F238" s="182">
        <f>H238+K238+M238+P238</f>
        <v>8672</v>
      </c>
      <c r="G238" s="183">
        <f>SUM(I238:Q238)-K238-M238-P238</f>
        <v>1305</v>
      </c>
      <c r="H238" s="183"/>
      <c r="I238" s="182"/>
      <c r="J238" s="182"/>
      <c r="K238" s="182"/>
      <c r="L238" s="182"/>
      <c r="M238" s="182">
        <f>600+8072</f>
        <v>8672</v>
      </c>
      <c r="N238" s="182">
        <v>1305</v>
      </c>
      <c r="O238" s="182"/>
      <c r="P238" s="182"/>
      <c r="Q238" s="182"/>
      <c r="V238" s="189" t="s">
        <v>538</v>
      </c>
    </row>
    <row r="239" spans="1:22" ht="26.25" x14ac:dyDescent="0.25">
      <c r="A239" s="180">
        <v>5188</v>
      </c>
      <c r="B239" s="154">
        <v>415000</v>
      </c>
      <c r="C239" s="158" t="s">
        <v>219</v>
      </c>
      <c r="D239" s="158"/>
      <c r="E239" s="159">
        <f>E240</f>
        <v>19840</v>
      </c>
      <c r="F239" s="159">
        <f t="shared" ref="F239:Q239" si="70">F240</f>
        <v>20976</v>
      </c>
      <c r="G239" s="159">
        <f t="shared" si="70"/>
        <v>19632</v>
      </c>
      <c r="H239" s="159">
        <f t="shared" si="70"/>
        <v>0</v>
      </c>
      <c r="I239" s="159">
        <f t="shared" si="70"/>
        <v>0</v>
      </c>
      <c r="J239" s="159">
        <f t="shared" si="70"/>
        <v>0</v>
      </c>
      <c r="K239" s="159">
        <f t="shared" si="70"/>
        <v>0</v>
      </c>
      <c r="L239" s="159">
        <f t="shared" si="70"/>
        <v>0</v>
      </c>
      <c r="M239" s="159">
        <f t="shared" si="70"/>
        <v>20976</v>
      </c>
      <c r="N239" s="159">
        <f t="shared" si="70"/>
        <v>19632</v>
      </c>
      <c r="O239" s="159">
        <f t="shared" si="70"/>
        <v>0</v>
      </c>
      <c r="P239" s="159">
        <f t="shared" si="70"/>
        <v>0</v>
      </c>
      <c r="Q239" s="159">
        <f t="shared" si="70"/>
        <v>0</v>
      </c>
    </row>
    <row r="240" spans="1:22" x14ac:dyDescent="0.25">
      <c r="A240" s="202">
        <v>5189</v>
      </c>
      <c r="B240" s="165">
        <v>415100</v>
      </c>
      <c r="C240" s="166" t="s">
        <v>220</v>
      </c>
      <c r="D240" s="166"/>
      <c r="E240" s="182">
        <v>19840</v>
      </c>
      <c r="F240" s="182">
        <f>H240+K240+M240+P240</f>
        <v>20976</v>
      </c>
      <c r="G240" s="183">
        <f>SUM(I240:Q240)-K240-M240-P240</f>
        <v>19632</v>
      </c>
      <c r="H240" s="183"/>
      <c r="I240" s="182"/>
      <c r="J240" s="182"/>
      <c r="K240" s="182"/>
      <c r="L240" s="182"/>
      <c r="M240" s="182">
        <v>20976</v>
      </c>
      <c r="N240" s="182">
        <v>19632</v>
      </c>
      <c r="O240" s="182"/>
      <c r="P240" s="182"/>
      <c r="Q240" s="182"/>
    </row>
    <row r="241" spans="1:18" ht="39" x14ac:dyDescent="0.25">
      <c r="A241" s="180">
        <v>5190</v>
      </c>
      <c r="B241" s="154">
        <v>416000</v>
      </c>
      <c r="C241" s="158" t="s">
        <v>221</v>
      </c>
      <c r="D241" s="158"/>
      <c r="E241" s="159">
        <f>E242</f>
        <v>9442</v>
      </c>
      <c r="F241" s="159">
        <f t="shared" ref="F241:Q241" si="71">F242</f>
        <v>12500</v>
      </c>
      <c r="G241" s="159">
        <f t="shared" si="71"/>
        <v>9143</v>
      </c>
      <c r="H241" s="159">
        <f t="shared" si="71"/>
        <v>0</v>
      </c>
      <c r="I241" s="159">
        <f t="shared" si="71"/>
        <v>0</v>
      </c>
      <c r="J241" s="159">
        <f t="shared" si="71"/>
        <v>0</v>
      </c>
      <c r="K241" s="159">
        <f t="shared" si="71"/>
        <v>0</v>
      </c>
      <c r="L241" s="159">
        <f t="shared" si="71"/>
        <v>0</v>
      </c>
      <c r="M241" s="159">
        <f t="shared" si="71"/>
        <v>12500</v>
      </c>
      <c r="N241" s="159">
        <f t="shared" si="71"/>
        <v>9143</v>
      </c>
      <c r="O241" s="159">
        <f t="shared" si="71"/>
        <v>0</v>
      </c>
      <c r="P241" s="159">
        <f t="shared" si="71"/>
        <v>0</v>
      </c>
      <c r="Q241" s="159">
        <f t="shared" si="71"/>
        <v>0</v>
      </c>
    </row>
    <row r="242" spans="1:18" ht="26.25" x14ac:dyDescent="0.25">
      <c r="A242" s="202">
        <v>5191</v>
      </c>
      <c r="B242" s="165">
        <v>416100</v>
      </c>
      <c r="C242" s="166" t="s">
        <v>222</v>
      </c>
      <c r="D242" s="166"/>
      <c r="E242" s="182">
        <v>9442</v>
      </c>
      <c r="F242" s="182">
        <f>H242+K242+M242+P242</f>
        <v>12500</v>
      </c>
      <c r="G242" s="183">
        <f>SUM(I242:Q242)-K242-M242-P242</f>
        <v>9143</v>
      </c>
      <c r="H242" s="183"/>
      <c r="I242" s="182"/>
      <c r="J242" s="182"/>
      <c r="K242" s="182"/>
      <c r="L242" s="182"/>
      <c r="M242" s="182">
        <v>12500</v>
      </c>
      <c r="N242" s="182">
        <v>9143</v>
      </c>
      <c r="O242" s="182"/>
      <c r="P242" s="182"/>
      <c r="Q242" s="182"/>
    </row>
    <row r="243" spans="1:18" ht="26.25" hidden="1" x14ac:dyDescent="0.25">
      <c r="A243" s="180">
        <v>5192</v>
      </c>
      <c r="B243" s="154">
        <v>417000</v>
      </c>
      <c r="C243" s="158" t="s">
        <v>223</v>
      </c>
      <c r="D243" s="158"/>
      <c r="E243" s="159">
        <f>E244</f>
        <v>0</v>
      </c>
      <c r="F243" s="159"/>
      <c r="G243" s="159">
        <f t="shared" si="67"/>
        <v>0</v>
      </c>
      <c r="H243" s="159"/>
      <c r="I243" s="159">
        <f t="shared" ref="I243:Q243" si="72">I244</f>
        <v>0</v>
      </c>
      <c r="J243" s="159">
        <f t="shared" si="72"/>
        <v>0</v>
      </c>
      <c r="K243" s="159"/>
      <c r="L243" s="159">
        <f t="shared" si="72"/>
        <v>0</v>
      </c>
      <c r="M243" s="159"/>
      <c r="N243" s="159">
        <f t="shared" si="72"/>
        <v>0</v>
      </c>
      <c r="O243" s="159">
        <f t="shared" si="72"/>
        <v>0</v>
      </c>
      <c r="P243" s="159"/>
      <c r="Q243" s="159">
        <f t="shared" si="72"/>
        <v>0</v>
      </c>
    </row>
    <row r="244" spans="1:18" hidden="1" x14ac:dyDescent="0.25">
      <c r="A244" s="202">
        <v>5193</v>
      </c>
      <c r="B244" s="165">
        <v>417100</v>
      </c>
      <c r="C244" s="166" t="s">
        <v>224</v>
      </c>
      <c r="D244" s="166"/>
      <c r="E244" s="182"/>
      <c r="F244" s="182"/>
      <c r="G244" s="183">
        <f t="shared" si="67"/>
        <v>0</v>
      </c>
      <c r="H244" s="183"/>
      <c r="I244" s="182"/>
      <c r="J244" s="182"/>
      <c r="K244" s="182"/>
      <c r="L244" s="182"/>
      <c r="M244" s="182"/>
      <c r="N244" s="182"/>
      <c r="O244" s="182"/>
      <c r="P244" s="182"/>
      <c r="Q244" s="182"/>
    </row>
    <row r="245" spans="1:18" hidden="1" x14ac:dyDescent="0.25">
      <c r="A245" s="180">
        <v>5194</v>
      </c>
      <c r="B245" s="154">
        <v>418000</v>
      </c>
      <c r="C245" s="158" t="s">
        <v>225</v>
      </c>
      <c r="D245" s="158"/>
      <c r="E245" s="159">
        <f>E246</f>
        <v>0</v>
      </c>
      <c r="F245" s="159"/>
      <c r="G245" s="159">
        <f t="shared" si="67"/>
        <v>0</v>
      </c>
      <c r="H245" s="159"/>
      <c r="I245" s="159">
        <f t="shared" ref="I245:Q245" si="73">I246</f>
        <v>0</v>
      </c>
      <c r="J245" s="159">
        <f t="shared" si="73"/>
        <v>0</v>
      </c>
      <c r="K245" s="159"/>
      <c r="L245" s="159">
        <f t="shared" si="73"/>
        <v>0</v>
      </c>
      <c r="M245" s="159"/>
      <c r="N245" s="159">
        <f t="shared" si="73"/>
        <v>0</v>
      </c>
      <c r="O245" s="159">
        <f t="shared" si="73"/>
        <v>0</v>
      </c>
      <c r="P245" s="159"/>
      <c r="Q245" s="159">
        <f t="shared" si="73"/>
        <v>0</v>
      </c>
    </row>
    <row r="246" spans="1:18" hidden="1" x14ac:dyDescent="0.25">
      <c r="A246" s="202">
        <v>5195</v>
      </c>
      <c r="B246" s="165">
        <v>418100</v>
      </c>
      <c r="C246" s="166" t="s">
        <v>226</v>
      </c>
      <c r="D246" s="166"/>
      <c r="E246" s="182"/>
      <c r="F246" s="182"/>
      <c r="G246" s="183">
        <f t="shared" si="67"/>
        <v>0</v>
      </c>
      <c r="H246" s="183"/>
      <c r="I246" s="182"/>
      <c r="J246" s="182"/>
      <c r="K246" s="182"/>
      <c r="L246" s="182"/>
      <c r="M246" s="182"/>
      <c r="N246" s="182"/>
      <c r="O246" s="182"/>
      <c r="P246" s="182"/>
      <c r="Q246" s="182"/>
    </row>
    <row r="247" spans="1:18" ht="39" x14ac:dyDescent="0.25">
      <c r="A247" s="180">
        <v>5196</v>
      </c>
      <c r="B247" s="154">
        <v>420000</v>
      </c>
      <c r="C247" s="158" t="s">
        <v>227</v>
      </c>
      <c r="D247" s="158"/>
      <c r="E247" s="159">
        <f t="shared" ref="E247:Q247" si="74">E248+E256+E262+E275+E283+E286</f>
        <v>427521</v>
      </c>
      <c r="F247" s="159">
        <f t="shared" si="74"/>
        <v>398328</v>
      </c>
      <c r="G247" s="159">
        <f t="shared" si="74"/>
        <v>375619</v>
      </c>
      <c r="H247" s="159">
        <f t="shared" si="74"/>
        <v>5518</v>
      </c>
      <c r="I247" s="159">
        <f t="shared" si="74"/>
        <v>2407</v>
      </c>
      <c r="J247" s="159">
        <f t="shared" si="74"/>
        <v>0</v>
      </c>
      <c r="K247" s="159">
        <f t="shared" si="74"/>
        <v>1000</v>
      </c>
      <c r="L247" s="159">
        <f t="shared" si="74"/>
        <v>1273</v>
      </c>
      <c r="M247" s="159">
        <f t="shared" si="74"/>
        <v>384535</v>
      </c>
      <c r="N247" s="159">
        <f t="shared" si="74"/>
        <v>365541</v>
      </c>
      <c r="O247" s="159">
        <f t="shared" si="74"/>
        <v>0</v>
      </c>
      <c r="P247" s="159">
        <f t="shared" si="74"/>
        <v>7275</v>
      </c>
      <c r="Q247" s="159">
        <f t="shared" si="74"/>
        <v>6398</v>
      </c>
    </row>
    <row r="248" spans="1:18" ht="26.25" x14ac:dyDescent="0.25">
      <c r="A248" s="180">
        <v>5197</v>
      </c>
      <c r="B248" s="154">
        <v>421000</v>
      </c>
      <c r="C248" s="158" t="s">
        <v>228</v>
      </c>
      <c r="D248" s="158"/>
      <c r="E248" s="159">
        <f>SUM(E249:E255)</f>
        <v>100067</v>
      </c>
      <c r="F248" s="159">
        <f t="shared" ref="F248:Q248" si="75">SUM(F249:F255)</f>
        <v>90660</v>
      </c>
      <c r="G248" s="159">
        <f t="shared" si="75"/>
        <v>80998</v>
      </c>
      <c r="H248" s="159">
        <f t="shared" si="75"/>
        <v>0</v>
      </c>
      <c r="I248" s="159">
        <f t="shared" si="75"/>
        <v>0</v>
      </c>
      <c r="J248" s="159">
        <f t="shared" si="75"/>
        <v>0</v>
      </c>
      <c r="K248" s="159">
        <f t="shared" si="75"/>
        <v>0</v>
      </c>
      <c r="L248" s="159">
        <f t="shared" si="75"/>
        <v>0</v>
      </c>
      <c r="M248" s="159">
        <f t="shared" si="75"/>
        <v>89855</v>
      </c>
      <c r="N248" s="159">
        <f t="shared" si="75"/>
        <v>80545</v>
      </c>
      <c r="O248" s="159">
        <f t="shared" si="75"/>
        <v>0</v>
      </c>
      <c r="P248" s="159">
        <f t="shared" si="75"/>
        <v>805</v>
      </c>
      <c r="Q248" s="159">
        <f t="shared" si="75"/>
        <v>453</v>
      </c>
    </row>
    <row r="249" spans="1:18" ht="26.25" x14ac:dyDescent="0.25">
      <c r="A249" s="202">
        <v>5198</v>
      </c>
      <c r="B249" s="165">
        <v>421100</v>
      </c>
      <c r="C249" s="166" t="s">
        <v>229</v>
      </c>
      <c r="D249" s="166" t="s">
        <v>463</v>
      </c>
      <c r="E249" s="182">
        <v>1359</v>
      </c>
      <c r="F249" s="182">
        <f>H249+K249+M249+P249</f>
        <v>1513</v>
      </c>
      <c r="G249" s="183">
        <f>SUM(I249:Q249)-K249-M249-P249</f>
        <v>1300</v>
      </c>
      <c r="H249" s="183"/>
      <c r="I249" s="182"/>
      <c r="J249" s="182"/>
      <c r="K249" s="182"/>
      <c r="L249" s="182"/>
      <c r="M249" s="182">
        <v>1433</v>
      </c>
      <c r="N249" s="182">
        <v>1243</v>
      </c>
      <c r="O249" s="182"/>
      <c r="P249" s="182">
        <v>80</v>
      </c>
      <c r="Q249" s="182">
        <v>57</v>
      </c>
    </row>
    <row r="250" spans="1:18" x14ac:dyDescent="0.25">
      <c r="A250" s="202">
        <v>5199</v>
      </c>
      <c r="B250" s="165">
        <v>421200</v>
      </c>
      <c r="C250" s="166" t="s">
        <v>230</v>
      </c>
      <c r="D250" s="166" t="s">
        <v>468</v>
      </c>
      <c r="E250" s="182">
        <v>83306</v>
      </c>
      <c r="F250" s="182">
        <f>H250+K250+M250+P250</f>
        <v>73600</v>
      </c>
      <c r="G250" s="183">
        <f t="shared" ref="G250:G253" si="76">SUM(I250:Q250)-K250-M250-P250</f>
        <v>65508</v>
      </c>
      <c r="H250" s="183"/>
      <c r="I250" s="182"/>
      <c r="J250" s="182"/>
      <c r="K250" s="182"/>
      <c r="L250" s="182"/>
      <c r="M250" s="182">
        <f>73200+50</f>
        <v>73250</v>
      </c>
      <c r="N250" s="182">
        <v>65188</v>
      </c>
      <c r="O250" s="182"/>
      <c r="P250" s="182">
        <v>350</v>
      </c>
      <c r="Q250" s="182">
        <v>320</v>
      </c>
    </row>
    <row r="251" spans="1:18" x14ac:dyDescent="0.25">
      <c r="A251" s="202">
        <v>5200</v>
      </c>
      <c r="B251" s="165">
        <v>421300</v>
      </c>
      <c r="C251" s="166" t="s">
        <v>231</v>
      </c>
      <c r="D251" s="166" t="s">
        <v>463</v>
      </c>
      <c r="E251" s="182">
        <v>10436</v>
      </c>
      <c r="F251" s="182">
        <f>H251+K251+M251+P251</f>
        <v>10447</v>
      </c>
      <c r="G251" s="183">
        <f t="shared" si="76"/>
        <v>9465</v>
      </c>
      <c r="H251" s="183"/>
      <c r="I251" s="182"/>
      <c r="J251" s="182"/>
      <c r="K251" s="182"/>
      <c r="L251" s="182"/>
      <c r="M251" s="182">
        <f>11064-400-300-180</f>
        <v>10184</v>
      </c>
      <c r="N251" s="182">
        <v>9410</v>
      </c>
      <c r="O251" s="182"/>
      <c r="P251" s="182">
        <f>85+178</f>
        <v>263</v>
      </c>
      <c r="Q251" s="182">
        <v>55</v>
      </c>
    </row>
    <row r="252" spans="1:18" x14ac:dyDescent="0.25">
      <c r="A252" s="202">
        <v>5201</v>
      </c>
      <c r="B252" s="165">
        <v>421400</v>
      </c>
      <c r="C252" s="166" t="s">
        <v>232</v>
      </c>
      <c r="D252" s="166" t="s">
        <v>463</v>
      </c>
      <c r="E252" s="182">
        <v>2250</v>
      </c>
      <c r="F252" s="182">
        <f>H252+K252+M252+P252</f>
        <v>2208</v>
      </c>
      <c r="G252" s="183">
        <f t="shared" si="76"/>
        <v>2113</v>
      </c>
      <c r="H252" s="183"/>
      <c r="I252" s="182"/>
      <c r="J252" s="182"/>
      <c r="K252" s="182"/>
      <c r="L252" s="182"/>
      <c r="M252" s="182">
        <f>3000-1092+300</f>
        <v>2208</v>
      </c>
      <c r="N252" s="182">
        <v>2113</v>
      </c>
      <c r="O252" s="182"/>
      <c r="P252" s="182"/>
      <c r="Q252" s="182"/>
      <c r="R252" s="152">
        <v>1092</v>
      </c>
    </row>
    <row r="253" spans="1:18" x14ac:dyDescent="0.25">
      <c r="A253" s="202">
        <v>5202</v>
      </c>
      <c r="B253" s="165">
        <v>421500</v>
      </c>
      <c r="C253" s="166" t="s">
        <v>233</v>
      </c>
      <c r="D253" s="166" t="s">
        <v>463</v>
      </c>
      <c r="E253" s="182">
        <v>2716</v>
      </c>
      <c r="F253" s="182">
        <f>H253+K253+M253+P253</f>
        <v>2892</v>
      </c>
      <c r="G253" s="183">
        <f t="shared" si="76"/>
        <v>2612</v>
      </c>
      <c r="H253" s="183"/>
      <c r="I253" s="182"/>
      <c r="J253" s="182"/>
      <c r="K253" s="182"/>
      <c r="L253" s="182"/>
      <c r="M253" s="182">
        <f>1131+2500-851</f>
        <v>2780</v>
      </c>
      <c r="N253" s="182">
        <v>2591</v>
      </c>
      <c r="O253" s="182"/>
      <c r="P253" s="182">
        <v>112</v>
      </c>
      <c r="Q253" s="182">
        <v>21</v>
      </c>
      <c r="R253" s="152">
        <v>851</v>
      </c>
    </row>
    <row r="254" spans="1:18" hidden="1" x14ac:dyDescent="0.25">
      <c r="A254" s="202">
        <v>5203</v>
      </c>
      <c r="B254" s="165">
        <v>421600</v>
      </c>
      <c r="C254" s="166" t="s">
        <v>234</v>
      </c>
      <c r="D254" s="166"/>
      <c r="E254" s="182"/>
      <c r="F254" s="182"/>
      <c r="G254" s="183">
        <f t="shared" si="67"/>
        <v>0</v>
      </c>
      <c r="H254" s="183"/>
      <c r="I254" s="182"/>
      <c r="J254" s="182"/>
      <c r="K254" s="182"/>
      <c r="L254" s="182"/>
      <c r="M254" s="182"/>
      <c r="N254" s="182"/>
      <c r="O254" s="182"/>
      <c r="P254" s="182"/>
      <c r="Q254" s="182"/>
    </row>
    <row r="255" spans="1:18" hidden="1" x14ac:dyDescent="0.25">
      <c r="A255" s="202">
        <v>5204</v>
      </c>
      <c r="B255" s="165">
        <v>421900</v>
      </c>
      <c r="C255" s="166" t="s">
        <v>235</v>
      </c>
      <c r="D255" s="166"/>
      <c r="E255" s="182"/>
      <c r="F255" s="182"/>
      <c r="G255" s="183">
        <f t="shared" si="67"/>
        <v>0</v>
      </c>
      <c r="H255" s="183"/>
      <c r="I255" s="182"/>
      <c r="J255" s="182"/>
      <c r="K255" s="182"/>
      <c r="L255" s="182"/>
      <c r="M255" s="182"/>
      <c r="N255" s="182"/>
      <c r="O255" s="182"/>
      <c r="P255" s="182"/>
      <c r="Q255" s="182"/>
    </row>
    <row r="256" spans="1:18" ht="26.25" x14ac:dyDescent="0.25">
      <c r="A256" s="180">
        <v>5205</v>
      </c>
      <c r="B256" s="154">
        <v>422000</v>
      </c>
      <c r="C256" s="158" t="s">
        <v>236</v>
      </c>
      <c r="D256" s="158"/>
      <c r="E256" s="159">
        <f>SUM(E257:E261)</f>
        <v>634</v>
      </c>
      <c r="F256" s="159">
        <f t="shared" ref="F256:Q256" si="77">SUM(F257:F261)</f>
        <v>650</v>
      </c>
      <c r="G256" s="159">
        <f t="shared" si="77"/>
        <v>571</v>
      </c>
      <c r="H256" s="159">
        <f t="shared" si="77"/>
        <v>0</v>
      </c>
      <c r="I256" s="159">
        <f t="shared" si="77"/>
        <v>0</v>
      </c>
      <c r="J256" s="159">
        <f t="shared" si="77"/>
        <v>0</v>
      </c>
      <c r="K256" s="159">
        <f t="shared" si="77"/>
        <v>0</v>
      </c>
      <c r="L256" s="159">
        <f t="shared" si="77"/>
        <v>0</v>
      </c>
      <c r="M256" s="159">
        <f t="shared" si="77"/>
        <v>150</v>
      </c>
      <c r="N256" s="159">
        <f t="shared" si="77"/>
        <v>120</v>
      </c>
      <c r="O256" s="159">
        <f t="shared" si="77"/>
        <v>0</v>
      </c>
      <c r="P256" s="159">
        <f t="shared" si="77"/>
        <v>500</v>
      </c>
      <c r="Q256" s="159">
        <f t="shared" si="77"/>
        <v>451</v>
      </c>
    </row>
    <row r="257" spans="1:17" ht="26.25" x14ac:dyDescent="0.25">
      <c r="A257" s="202">
        <v>5206</v>
      </c>
      <c r="B257" s="165">
        <v>422100</v>
      </c>
      <c r="C257" s="166" t="s">
        <v>237</v>
      </c>
      <c r="D257" s="166" t="s">
        <v>463</v>
      </c>
      <c r="E257" s="182">
        <v>634</v>
      </c>
      <c r="F257" s="182">
        <f>H257+K257+M257+P257</f>
        <v>650</v>
      </c>
      <c r="G257" s="183">
        <f t="shared" ref="G257" si="78">SUM(I257:Q257)-K257-M257-P257</f>
        <v>571</v>
      </c>
      <c r="H257" s="183"/>
      <c r="I257" s="182"/>
      <c r="J257" s="182"/>
      <c r="K257" s="182"/>
      <c r="L257" s="182"/>
      <c r="M257" s="182">
        <v>150</v>
      </c>
      <c r="N257" s="182">
        <v>120</v>
      </c>
      <c r="O257" s="182"/>
      <c r="P257" s="182">
        <v>500</v>
      </c>
      <c r="Q257" s="182">
        <v>451</v>
      </c>
    </row>
    <row r="258" spans="1:17" ht="26.25" hidden="1" x14ac:dyDescent="0.25">
      <c r="A258" s="202">
        <v>5207</v>
      </c>
      <c r="B258" s="165">
        <v>422200</v>
      </c>
      <c r="C258" s="166" t="s">
        <v>238</v>
      </c>
      <c r="D258" s="166"/>
      <c r="E258" s="182"/>
      <c r="F258" s="182"/>
      <c r="G258" s="183">
        <f t="shared" si="67"/>
        <v>0</v>
      </c>
      <c r="H258" s="183"/>
      <c r="I258" s="182"/>
      <c r="J258" s="182"/>
      <c r="K258" s="182"/>
      <c r="L258" s="182"/>
      <c r="M258" s="182"/>
      <c r="N258" s="182"/>
      <c r="O258" s="182"/>
      <c r="P258" s="182"/>
      <c r="Q258" s="182"/>
    </row>
    <row r="259" spans="1:17" ht="26.25" hidden="1" x14ac:dyDescent="0.25">
      <c r="A259" s="202">
        <v>5208</v>
      </c>
      <c r="B259" s="165">
        <v>422300</v>
      </c>
      <c r="C259" s="166" t="s">
        <v>239</v>
      </c>
      <c r="D259" s="166"/>
      <c r="E259" s="182"/>
      <c r="F259" s="182"/>
      <c r="G259" s="183">
        <f t="shared" si="67"/>
        <v>0</v>
      </c>
      <c r="H259" s="183"/>
      <c r="I259" s="182"/>
      <c r="J259" s="182"/>
      <c r="K259" s="182"/>
      <c r="L259" s="182"/>
      <c r="M259" s="182"/>
      <c r="N259" s="182"/>
      <c r="O259" s="182"/>
      <c r="P259" s="182"/>
      <c r="Q259" s="182"/>
    </row>
    <row r="260" spans="1:17" hidden="1" x14ac:dyDescent="0.25">
      <c r="A260" s="202">
        <v>5209</v>
      </c>
      <c r="B260" s="165">
        <v>422400</v>
      </c>
      <c r="C260" s="166" t="s">
        <v>240</v>
      </c>
      <c r="D260" s="166"/>
      <c r="E260" s="182"/>
      <c r="F260" s="182"/>
      <c r="G260" s="183">
        <f t="shared" si="67"/>
        <v>0</v>
      </c>
      <c r="H260" s="183"/>
      <c r="I260" s="182"/>
      <c r="J260" s="182"/>
      <c r="K260" s="182"/>
      <c r="L260" s="182"/>
      <c r="M260" s="182"/>
      <c r="N260" s="182"/>
      <c r="O260" s="182"/>
      <c r="P260" s="182"/>
      <c r="Q260" s="182"/>
    </row>
    <row r="261" spans="1:17" hidden="1" x14ac:dyDescent="0.25">
      <c r="A261" s="202">
        <v>5210</v>
      </c>
      <c r="B261" s="165">
        <v>422900</v>
      </c>
      <c r="C261" s="166" t="s">
        <v>241</v>
      </c>
      <c r="D261" s="166"/>
      <c r="E261" s="182"/>
      <c r="F261" s="182"/>
      <c r="G261" s="183">
        <f t="shared" si="67"/>
        <v>0</v>
      </c>
      <c r="H261" s="183"/>
      <c r="I261" s="182"/>
      <c r="J261" s="182"/>
      <c r="K261" s="182"/>
      <c r="L261" s="182"/>
      <c r="M261" s="182"/>
      <c r="N261" s="182"/>
      <c r="O261" s="182"/>
      <c r="P261" s="182"/>
      <c r="Q261" s="182"/>
    </row>
    <row r="262" spans="1:17" ht="26.25" x14ac:dyDescent="0.25">
      <c r="A262" s="180">
        <v>5211</v>
      </c>
      <c r="B262" s="154">
        <v>423000</v>
      </c>
      <c r="C262" s="158" t="s">
        <v>242</v>
      </c>
      <c r="D262" s="158"/>
      <c r="E262" s="159">
        <f>SUM(E263:E274)</f>
        <v>8328</v>
      </c>
      <c r="F262" s="159">
        <f t="shared" ref="F262:Q262" si="79">SUM(F263:F274)</f>
        <v>8511</v>
      </c>
      <c r="G262" s="159">
        <f t="shared" si="79"/>
        <v>6375</v>
      </c>
      <c r="H262" s="159">
        <f t="shared" si="79"/>
        <v>0</v>
      </c>
      <c r="I262" s="159">
        <f t="shared" si="79"/>
        <v>0</v>
      </c>
      <c r="J262" s="159">
        <f t="shared" si="79"/>
        <v>0</v>
      </c>
      <c r="K262" s="159">
        <f t="shared" si="79"/>
        <v>0</v>
      </c>
      <c r="L262" s="159">
        <f t="shared" si="79"/>
        <v>0</v>
      </c>
      <c r="M262" s="159">
        <f t="shared" si="79"/>
        <v>6300</v>
      </c>
      <c r="N262" s="159">
        <f t="shared" si="79"/>
        <v>4811</v>
      </c>
      <c r="O262" s="159">
        <f t="shared" si="79"/>
        <v>0</v>
      </c>
      <c r="P262" s="159">
        <f t="shared" si="79"/>
        <v>2211</v>
      </c>
      <c r="Q262" s="159">
        <f t="shared" si="79"/>
        <v>1564</v>
      </c>
    </row>
    <row r="263" spans="1:17" hidden="1" x14ac:dyDescent="0.25">
      <c r="A263" s="202">
        <v>5212</v>
      </c>
      <c r="B263" s="165">
        <v>423100</v>
      </c>
      <c r="C263" s="166" t="s">
        <v>243</v>
      </c>
      <c r="D263" s="166"/>
      <c r="E263" s="182"/>
      <c r="F263" s="182"/>
      <c r="G263" s="183">
        <f t="shared" si="67"/>
        <v>0</v>
      </c>
      <c r="H263" s="183"/>
      <c r="I263" s="182"/>
      <c r="J263" s="182"/>
      <c r="K263" s="182"/>
      <c r="L263" s="182"/>
      <c r="M263" s="182"/>
      <c r="N263" s="182"/>
      <c r="O263" s="182"/>
      <c r="P263" s="182"/>
      <c r="Q263" s="182"/>
    </row>
    <row r="264" spans="1:17" x14ac:dyDescent="0.25">
      <c r="A264" s="202">
        <v>5213</v>
      </c>
      <c r="B264" s="165">
        <v>423200</v>
      </c>
      <c r="C264" s="166" t="s">
        <v>244</v>
      </c>
      <c r="D264" s="166" t="s">
        <v>463</v>
      </c>
      <c r="E264" s="182">
        <v>3630</v>
      </c>
      <c r="F264" s="182">
        <f>H264+K264+M264+P264</f>
        <v>3606</v>
      </c>
      <c r="G264" s="183">
        <f t="shared" ref="G264:G269" si="80">SUM(I264:Q264)-K264-M264-P264</f>
        <v>2262</v>
      </c>
      <c r="H264" s="183"/>
      <c r="I264" s="182"/>
      <c r="J264" s="182"/>
      <c r="K264" s="182"/>
      <c r="L264" s="182"/>
      <c r="M264" s="182">
        <f>3000+540</f>
        <v>3540</v>
      </c>
      <c r="N264" s="182">
        <v>2192</v>
      </c>
      <c r="O264" s="182"/>
      <c r="P264" s="182">
        <v>66</v>
      </c>
      <c r="Q264" s="182">
        <v>70</v>
      </c>
    </row>
    <row r="265" spans="1:17" ht="26.25" x14ac:dyDescent="0.25">
      <c r="A265" s="202">
        <v>5214</v>
      </c>
      <c r="B265" s="165">
        <v>423300</v>
      </c>
      <c r="C265" s="166" t="s">
        <v>245</v>
      </c>
      <c r="D265" s="166" t="s">
        <v>463</v>
      </c>
      <c r="E265" s="182">
        <v>2830</v>
      </c>
      <c r="F265" s="182">
        <f>H265+K265+M265+P265</f>
        <v>3060</v>
      </c>
      <c r="G265" s="183">
        <f t="shared" si="80"/>
        <v>2522</v>
      </c>
      <c r="H265" s="183"/>
      <c r="I265" s="182"/>
      <c r="J265" s="182"/>
      <c r="K265" s="182"/>
      <c r="L265" s="182"/>
      <c r="M265" s="182">
        <v>2500</v>
      </c>
      <c r="N265" s="182">
        <v>2374</v>
      </c>
      <c r="O265" s="182"/>
      <c r="P265" s="182">
        <f>200+360</f>
        <v>560</v>
      </c>
      <c r="Q265" s="182">
        <v>148</v>
      </c>
    </row>
    <row r="266" spans="1:17" x14ac:dyDescent="0.25">
      <c r="A266" s="202">
        <v>5215</v>
      </c>
      <c r="B266" s="165">
        <v>423400</v>
      </c>
      <c r="C266" s="166" t="s">
        <v>246</v>
      </c>
      <c r="D266" s="166" t="s">
        <v>463</v>
      </c>
      <c r="E266" s="182">
        <v>500</v>
      </c>
      <c r="F266" s="182">
        <f>H266+K266+M266+P266</f>
        <v>260</v>
      </c>
      <c r="G266" s="183">
        <f t="shared" si="80"/>
        <v>259</v>
      </c>
      <c r="H266" s="183"/>
      <c r="I266" s="182"/>
      <c r="J266" s="182"/>
      <c r="K266" s="182"/>
      <c r="L266" s="182"/>
      <c r="M266" s="182">
        <v>260</v>
      </c>
      <c r="N266" s="182">
        <v>245</v>
      </c>
      <c r="O266" s="182"/>
      <c r="P266" s="182"/>
      <c r="Q266" s="182">
        <v>14</v>
      </c>
    </row>
    <row r="267" spans="1:17" x14ac:dyDescent="0.25">
      <c r="A267" s="202">
        <v>5216</v>
      </c>
      <c r="B267" s="165">
        <v>423500</v>
      </c>
      <c r="C267" s="166" t="s">
        <v>247</v>
      </c>
      <c r="D267" s="166" t="s">
        <v>463</v>
      </c>
      <c r="E267" s="182">
        <v>1150</v>
      </c>
      <c r="F267" s="182">
        <f>H267+K267+M267+P267</f>
        <v>1125</v>
      </c>
      <c r="G267" s="183">
        <f t="shared" si="80"/>
        <v>1132</v>
      </c>
      <c r="H267" s="183"/>
      <c r="I267" s="182"/>
      <c r="J267" s="182"/>
      <c r="K267" s="182"/>
      <c r="L267" s="182"/>
      <c r="M267" s="182"/>
      <c r="N267" s="182"/>
      <c r="O267" s="182"/>
      <c r="P267" s="182">
        <v>1125</v>
      </c>
      <c r="Q267" s="182">
        <v>1132</v>
      </c>
    </row>
    <row r="268" spans="1:17" ht="26.25" hidden="1" x14ac:dyDescent="0.25">
      <c r="A268" s="202">
        <v>5217</v>
      </c>
      <c r="B268" s="165">
        <v>423600</v>
      </c>
      <c r="C268" s="166" t="s">
        <v>248</v>
      </c>
      <c r="D268" s="166" t="s">
        <v>463</v>
      </c>
      <c r="E268" s="182"/>
      <c r="F268" s="182"/>
      <c r="G268" s="183">
        <f t="shared" si="67"/>
        <v>0</v>
      </c>
      <c r="H268" s="183"/>
      <c r="I268" s="182"/>
      <c r="J268" s="182"/>
      <c r="K268" s="182"/>
      <c r="L268" s="182"/>
      <c r="M268" s="182"/>
      <c r="N268" s="182"/>
      <c r="O268" s="182"/>
      <c r="P268" s="182"/>
      <c r="Q268" s="182"/>
    </row>
    <row r="269" spans="1:17" x14ac:dyDescent="0.25">
      <c r="A269" s="202">
        <v>5218</v>
      </c>
      <c r="B269" s="165">
        <v>423700</v>
      </c>
      <c r="C269" s="166" t="s">
        <v>249</v>
      </c>
      <c r="D269" s="166" t="s">
        <v>463</v>
      </c>
      <c r="E269" s="182">
        <v>128</v>
      </c>
      <c r="F269" s="182">
        <f>H269+K269+M269+P269</f>
        <v>200</v>
      </c>
      <c r="G269" s="183">
        <f t="shared" si="80"/>
        <v>114</v>
      </c>
      <c r="H269" s="183"/>
      <c r="I269" s="182"/>
      <c r="J269" s="182"/>
      <c r="K269" s="182"/>
      <c r="L269" s="182"/>
      <c r="M269" s="182"/>
      <c r="N269" s="182"/>
      <c r="O269" s="182"/>
      <c r="P269" s="182">
        <v>200</v>
      </c>
      <c r="Q269" s="182">
        <v>114</v>
      </c>
    </row>
    <row r="270" spans="1:17" ht="15" hidden="1" customHeight="1" x14ac:dyDescent="0.25">
      <c r="A270" s="598" t="s">
        <v>0</v>
      </c>
      <c r="B270" s="599" t="s">
        <v>1</v>
      </c>
      <c r="C270" s="598" t="s">
        <v>2</v>
      </c>
      <c r="D270" s="166" t="s">
        <v>463</v>
      </c>
      <c r="E270" s="598" t="s">
        <v>217</v>
      </c>
      <c r="F270" s="179"/>
      <c r="G270" s="600" t="s">
        <v>198</v>
      </c>
      <c r="H270" s="600"/>
      <c r="I270" s="601"/>
      <c r="J270" s="601"/>
      <c r="K270" s="601"/>
      <c r="L270" s="601"/>
      <c r="M270" s="601"/>
      <c r="N270" s="601"/>
      <c r="O270" s="601"/>
      <c r="P270" s="601"/>
      <c r="Q270" s="601"/>
    </row>
    <row r="271" spans="1:17" ht="15" hidden="1" customHeight="1" x14ac:dyDescent="0.25">
      <c r="A271" s="598"/>
      <c r="B271" s="599"/>
      <c r="C271" s="598"/>
      <c r="D271" s="166" t="s">
        <v>463</v>
      </c>
      <c r="E271" s="598"/>
      <c r="F271" s="179"/>
      <c r="G271" s="600" t="s">
        <v>199</v>
      </c>
      <c r="H271" s="154"/>
      <c r="I271" s="600" t="s">
        <v>200</v>
      </c>
      <c r="J271" s="601"/>
      <c r="K271" s="601"/>
      <c r="L271" s="601"/>
      <c r="M271" s="601"/>
      <c r="N271" s="601"/>
      <c r="O271" s="600" t="s">
        <v>7</v>
      </c>
      <c r="P271" s="154"/>
      <c r="Q271" s="600" t="s">
        <v>8</v>
      </c>
    </row>
    <row r="272" spans="1:17" ht="39" hidden="1" customHeight="1" x14ac:dyDescent="0.25">
      <c r="A272" s="598"/>
      <c r="B272" s="599"/>
      <c r="C272" s="598"/>
      <c r="D272" s="166" t="s">
        <v>463</v>
      </c>
      <c r="E272" s="598"/>
      <c r="F272" s="179"/>
      <c r="G272" s="601"/>
      <c r="H272" s="203"/>
      <c r="I272" s="154" t="s">
        <v>201</v>
      </c>
      <c r="J272" s="154" t="s">
        <v>10</v>
      </c>
      <c r="K272" s="154"/>
      <c r="L272" s="154" t="s">
        <v>11</v>
      </c>
      <c r="M272" s="154"/>
      <c r="N272" s="154" t="s">
        <v>12</v>
      </c>
      <c r="O272" s="601"/>
      <c r="P272" s="203"/>
      <c r="Q272" s="601"/>
    </row>
    <row r="273" spans="1:22" ht="15" hidden="1" customHeight="1" x14ac:dyDescent="0.25">
      <c r="A273" s="176" t="s">
        <v>18</v>
      </c>
      <c r="B273" s="176" t="s">
        <v>19</v>
      </c>
      <c r="C273" s="176" t="s">
        <v>20</v>
      </c>
      <c r="D273" s="166" t="s">
        <v>463</v>
      </c>
      <c r="E273" s="176" t="s">
        <v>21</v>
      </c>
      <c r="F273" s="176"/>
      <c r="G273" s="176" t="s">
        <v>22</v>
      </c>
      <c r="H273" s="176"/>
      <c r="I273" s="176" t="s">
        <v>23</v>
      </c>
      <c r="J273" s="176" t="s">
        <v>24</v>
      </c>
      <c r="K273" s="176"/>
      <c r="L273" s="176" t="s">
        <v>25</v>
      </c>
      <c r="M273" s="176"/>
      <c r="N273" s="176" t="s">
        <v>26</v>
      </c>
      <c r="O273" s="176" t="s">
        <v>27</v>
      </c>
      <c r="P273" s="176"/>
      <c r="Q273" s="176" t="s">
        <v>28</v>
      </c>
    </row>
    <row r="274" spans="1:22" x14ac:dyDescent="0.25">
      <c r="A274" s="202">
        <v>5219</v>
      </c>
      <c r="B274" s="165">
        <v>423900</v>
      </c>
      <c r="C274" s="166" t="s">
        <v>250</v>
      </c>
      <c r="D274" s="166" t="s">
        <v>463</v>
      </c>
      <c r="E274" s="182">
        <v>90</v>
      </c>
      <c r="F274" s="182">
        <f>H274+K274+M274+P274</f>
        <v>260</v>
      </c>
      <c r="G274" s="183">
        <f t="shared" ref="G274" si="81">SUM(I274:Q274)-K274-M274-P274</f>
        <v>86</v>
      </c>
      <c r="H274" s="183"/>
      <c r="I274" s="182"/>
      <c r="J274" s="182"/>
      <c r="K274" s="182"/>
      <c r="L274" s="182"/>
      <c r="M274" s="182"/>
      <c r="N274" s="182"/>
      <c r="O274" s="182"/>
      <c r="P274" s="182">
        <v>260</v>
      </c>
      <c r="Q274" s="182">
        <v>86</v>
      </c>
    </row>
    <row r="275" spans="1:22" ht="26.25" x14ac:dyDescent="0.25">
      <c r="A275" s="180">
        <v>5220</v>
      </c>
      <c r="B275" s="154">
        <v>424000</v>
      </c>
      <c r="C275" s="158" t="s">
        <v>251</v>
      </c>
      <c r="D275" s="158"/>
      <c r="E275" s="159">
        <f>SUM(E276:E282)</f>
        <v>4679</v>
      </c>
      <c r="F275" s="159">
        <f t="shared" ref="F275:Q275" si="82">SUM(F276:F282)</f>
        <v>6095</v>
      </c>
      <c r="G275" s="159">
        <f t="shared" si="82"/>
        <v>3707</v>
      </c>
      <c r="H275" s="159">
        <f t="shared" si="82"/>
        <v>3280</v>
      </c>
      <c r="I275" s="159">
        <f t="shared" si="82"/>
        <v>2280</v>
      </c>
      <c r="J275" s="159">
        <f t="shared" si="82"/>
        <v>0</v>
      </c>
      <c r="K275" s="159">
        <f t="shared" si="82"/>
        <v>0</v>
      </c>
      <c r="L275" s="159">
        <f t="shared" si="82"/>
        <v>0</v>
      </c>
      <c r="M275" s="159">
        <f t="shared" si="82"/>
        <v>1280</v>
      </c>
      <c r="N275" s="159">
        <f t="shared" si="82"/>
        <v>977</v>
      </c>
      <c r="O275" s="159">
        <f t="shared" si="82"/>
        <v>0</v>
      </c>
      <c r="P275" s="159">
        <f t="shared" si="82"/>
        <v>1535</v>
      </c>
      <c r="Q275" s="159">
        <f t="shared" si="82"/>
        <v>450</v>
      </c>
    </row>
    <row r="276" spans="1:22" hidden="1" x14ac:dyDescent="0.25">
      <c r="A276" s="202">
        <v>5221</v>
      </c>
      <c r="B276" s="165">
        <v>424100</v>
      </c>
      <c r="C276" s="166" t="s">
        <v>252</v>
      </c>
      <c r="D276" s="166"/>
      <c r="E276" s="182"/>
      <c r="F276" s="182"/>
      <c r="G276" s="183">
        <f t="shared" si="67"/>
        <v>0</v>
      </c>
      <c r="H276" s="183"/>
      <c r="I276" s="182"/>
      <c r="J276" s="182"/>
      <c r="K276" s="182"/>
      <c r="L276" s="182"/>
      <c r="M276" s="182"/>
      <c r="N276" s="182"/>
      <c r="O276" s="182"/>
      <c r="P276" s="182"/>
      <c r="Q276" s="182"/>
    </row>
    <row r="277" spans="1:22" ht="26.25" hidden="1" x14ac:dyDescent="0.25">
      <c r="A277" s="202">
        <v>5222</v>
      </c>
      <c r="B277" s="165">
        <v>424200</v>
      </c>
      <c r="C277" s="166" t="s">
        <v>253</v>
      </c>
      <c r="D277" s="166"/>
      <c r="E277" s="182"/>
      <c r="F277" s="182"/>
      <c r="G277" s="183">
        <f t="shared" si="67"/>
        <v>0</v>
      </c>
      <c r="H277" s="183"/>
      <c r="I277" s="182"/>
      <c r="J277" s="182"/>
      <c r="K277" s="182"/>
      <c r="L277" s="182"/>
      <c r="M277" s="182"/>
      <c r="N277" s="182"/>
      <c r="O277" s="182"/>
      <c r="P277" s="182"/>
      <c r="Q277" s="182"/>
    </row>
    <row r="278" spans="1:22" x14ac:dyDescent="0.25">
      <c r="A278" s="202">
        <v>5223</v>
      </c>
      <c r="B278" s="165">
        <v>424300</v>
      </c>
      <c r="C278" s="166" t="s">
        <v>254</v>
      </c>
      <c r="D278" s="166" t="s">
        <v>463</v>
      </c>
      <c r="E278" s="182">
        <v>1221</v>
      </c>
      <c r="F278" s="182">
        <f>H278+K278+M278+P278</f>
        <v>1480</v>
      </c>
      <c r="G278" s="183">
        <f t="shared" ref="G278" si="83">SUM(I278:Q278)-K278-M278-P278</f>
        <v>1086</v>
      </c>
      <c r="H278" s="183"/>
      <c r="I278" s="182"/>
      <c r="J278" s="182"/>
      <c r="K278" s="182"/>
      <c r="L278" s="182"/>
      <c r="M278" s="182">
        <f>1000+280</f>
        <v>1280</v>
      </c>
      <c r="N278" s="182">
        <v>977</v>
      </c>
      <c r="O278" s="182"/>
      <c r="P278" s="182">
        <v>200</v>
      </c>
      <c r="Q278" s="182">
        <v>109</v>
      </c>
      <c r="R278" s="204"/>
      <c r="T278" s="204"/>
    </row>
    <row r="279" spans="1:22" hidden="1" x14ac:dyDescent="0.25">
      <c r="A279" s="202">
        <v>5224</v>
      </c>
      <c r="B279" s="165">
        <v>424400</v>
      </c>
      <c r="C279" s="166" t="s">
        <v>255</v>
      </c>
      <c r="D279" s="166" t="s">
        <v>463</v>
      </c>
      <c r="E279" s="182"/>
      <c r="F279" s="182"/>
      <c r="G279" s="183">
        <f t="shared" si="67"/>
        <v>0</v>
      </c>
      <c r="H279" s="183"/>
      <c r="I279" s="182"/>
      <c r="J279" s="182"/>
      <c r="K279" s="182"/>
      <c r="L279" s="182"/>
      <c r="M279" s="182"/>
      <c r="N279" s="182"/>
      <c r="O279" s="182"/>
      <c r="P279" s="182"/>
      <c r="Q279" s="182"/>
    </row>
    <row r="280" spans="1:22" ht="26.25" hidden="1" x14ac:dyDescent="0.25">
      <c r="A280" s="202">
        <v>5225</v>
      </c>
      <c r="B280" s="165">
        <v>424500</v>
      </c>
      <c r="C280" s="166" t="s">
        <v>256</v>
      </c>
      <c r="D280" s="166" t="s">
        <v>463</v>
      </c>
      <c r="E280" s="182"/>
      <c r="F280" s="182"/>
      <c r="G280" s="183">
        <f t="shared" si="67"/>
        <v>0</v>
      </c>
      <c r="H280" s="183"/>
      <c r="I280" s="182"/>
      <c r="J280" s="182"/>
      <c r="K280" s="182"/>
      <c r="L280" s="182"/>
      <c r="M280" s="182"/>
      <c r="N280" s="182"/>
      <c r="O280" s="182"/>
      <c r="P280" s="182"/>
      <c r="Q280" s="182"/>
    </row>
    <row r="281" spans="1:22" ht="39" x14ac:dyDescent="0.25">
      <c r="A281" s="202">
        <v>5226</v>
      </c>
      <c r="B281" s="165">
        <v>424600</v>
      </c>
      <c r="C281" s="166" t="s">
        <v>257</v>
      </c>
      <c r="D281" s="166" t="s">
        <v>463</v>
      </c>
      <c r="E281" s="182">
        <v>190</v>
      </c>
      <c r="F281" s="182">
        <f>H281+K281+M281+P281</f>
        <v>300</v>
      </c>
      <c r="G281" s="183">
        <f t="shared" ref="G281:G282" si="84">SUM(I281:Q281)-K281-M281-P281</f>
        <v>51</v>
      </c>
      <c r="H281" s="183"/>
      <c r="I281" s="182"/>
      <c r="J281" s="182"/>
      <c r="K281" s="182"/>
      <c r="L281" s="182"/>
      <c r="M281" s="182"/>
      <c r="N281" s="182"/>
      <c r="O281" s="182"/>
      <c r="P281" s="182">
        <f>150+150</f>
        <v>300</v>
      </c>
      <c r="Q281" s="182">
        <v>51</v>
      </c>
    </row>
    <row r="282" spans="1:22" ht="23.25" x14ac:dyDescent="0.35">
      <c r="A282" s="202">
        <v>5227</v>
      </c>
      <c r="B282" s="165">
        <v>424900</v>
      </c>
      <c r="C282" s="166" t="s">
        <v>258</v>
      </c>
      <c r="D282" s="166" t="s">
        <v>463</v>
      </c>
      <c r="E282" s="182">
        <v>3268</v>
      </c>
      <c r="F282" s="182">
        <f>H282+K282+M282+P282</f>
        <v>4315</v>
      </c>
      <c r="G282" s="183">
        <f t="shared" si="84"/>
        <v>2570</v>
      </c>
      <c r="H282" s="183">
        <f>1054+2226</f>
        <v>3280</v>
      </c>
      <c r="I282" s="182">
        <v>2280</v>
      </c>
      <c r="J282" s="182"/>
      <c r="K282" s="182"/>
      <c r="L282" s="182"/>
      <c r="M282" s="182"/>
      <c r="N282" s="182"/>
      <c r="O282" s="182"/>
      <c r="P282" s="182">
        <f>400-150-178+1059+96-192</f>
        <v>1035</v>
      </c>
      <c r="Q282" s="182">
        <v>290</v>
      </c>
      <c r="R282" s="152">
        <v>1059</v>
      </c>
      <c r="S282" s="152" t="s">
        <v>504</v>
      </c>
      <c r="V282" s="205" t="s">
        <v>540</v>
      </c>
    </row>
    <row r="283" spans="1:22" ht="26.25" x14ac:dyDescent="0.25">
      <c r="A283" s="180">
        <v>5228</v>
      </c>
      <c r="B283" s="154">
        <v>425000</v>
      </c>
      <c r="C283" s="158" t="s">
        <v>259</v>
      </c>
      <c r="D283" s="166"/>
      <c r="E283" s="159">
        <f>E284+E285</f>
        <v>12464</v>
      </c>
      <c r="F283" s="159">
        <f t="shared" ref="F283:Q283" si="85">F284+F285</f>
        <v>12310</v>
      </c>
      <c r="G283" s="159">
        <f t="shared" si="85"/>
        <v>8828</v>
      </c>
      <c r="H283" s="159">
        <f t="shared" si="85"/>
        <v>0</v>
      </c>
      <c r="I283" s="159">
        <f t="shared" si="85"/>
        <v>0</v>
      </c>
      <c r="J283" s="159">
        <f t="shared" si="85"/>
        <v>0</v>
      </c>
      <c r="K283" s="159">
        <f t="shared" si="85"/>
        <v>0</v>
      </c>
      <c r="L283" s="159">
        <f t="shared" si="85"/>
        <v>0</v>
      </c>
      <c r="M283" s="159">
        <f t="shared" si="85"/>
        <v>12286</v>
      </c>
      <c r="N283" s="159">
        <f t="shared" si="85"/>
        <v>8173</v>
      </c>
      <c r="O283" s="159">
        <f t="shared" si="85"/>
        <v>0</v>
      </c>
      <c r="P283" s="159">
        <f t="shared" si="85"/>
        <v>24</v>
      </c>
      <c r="Q283" s="159">
        <f t="shared" si="85"/>
        <v>655</v>
      </c>
    </row>
    <row r="284" spans="1:22" ht="26.25" x14ac:dyDescent="0.25">
      <c r="A284" s="202">
        <v>5229</v>
      </c>
      <c r="B284" s="165">
        <v>425100</v>
      </c>
      <c r="C284" s="166" t="s">
        <v>260</v>
      </c>
      <c r="D284" s="166" t="s">
        <v>463</v>
      </c>
      <c r="E284" s="182">
        <v>360</v>
      </c>
      <c r="F284" s="182">
        <f>H284+K284+M284+P284</f>
        <v>720</v>
      </c>
      <c r="G284" s="183">
        <f t="shared" ref="G284:G285" si="86">SUM(I284:Q284)-K284-M284-P284</f>
        <v>100</v>
      </c>
      <c r="H284" s="183"/>
      <c r="I284" s="182"/>
      <c r="J284" s="182"/>
      <c r="K284" s="182"/>
      <c r="L284" s="182"/>
      <c r="M284" s="182">
        <v>720</v>
      </c>
      <c r="N284" s="182">
        <v>100</v>
      </c>
      <c r="O284" s="182"/>
      <c r="P284" s="182"/>
      <c r="Q284" s="182"/>
    </row>
    <row r="285" spans="1:22" ht="26.25" x14ac:dyDescent="0.25">
      <c r="A285" s="202">
        <v>5230</v>
      </c>
      <c r="B285" s="165">
        <v>425200</v>
      </c>
      <c r="C285" s="166" t="s">
        <v>261</v>
      </c>
      <c r="D285" s="166" t="s">
        <v>463</v>
      </c>
      <c r="E285" s="182">
        <v>12104</v>
      </c>
      <c r="F285" s="182">
        <f>H285+K285+M285+P285</f>
        <v>11590</v>
      </c>
      <c r="G285" s="183">
        <f t="shared" si="86"/>
        <v>8728</v>
      </c>
      <c r="H285" s="183"/>
      <c r="I285" s="182"/>
      <c r="J285" s="182"/>
      <c r="K285" s="182"/>
      <c r="L285" s="182"/>
      <c r="M285" s="182">
        <f>11147-580+1059-60</f>
        <v>11566</v>
      </c>
      <c r="N285" s="182">
        <f>8055+18</f>
        <v>8073</v>
      </c>
      <c r="O285" s="182"/>
      <c r="P285" s="182">
        <f>84-60</f>
        <v>24</v>
      </c>
      <c r="Q285" s="182">
        <v>655</v>
      </c>
      <c r="R285" s="152" t="s">
        <v>505</v>
      </c>
    </row>
    <row r="286" spans="1:22" x14ac:dyDescent="0.25">
      <c r="A286" s="180">
        <v>5231</v>
      </c>
      <c r="B286" s="154">
        <v>426000</v>
      </c>
      <c r="C286" s="158" t="s">
        <v>262</v>
      </c>
      <c r="D286" s="158"/>
      <c r="E286" s="159">
        <f>SUM(E287:E313)</f>
        <v>301349</v>
      </c>
      <c r="F286" s="159">
        <f>F287+F289+F290+F293+F311+F312+F313</f>
        <v>280102</v>
      </c>
      <c r="G286" s="159">
        <f>SUM(G287:G313)</f>
        <v>275140</v>
      </c>
      <c r="H286" s="159">
        <f t="shared" ref="H286:Q286" si="87">SUM(H287:H313)</f>
        <v>2238</v>
      </c>
      <c r="I286" s="159">
        <f t="shared" si="87"/>
        <v>127</v>
      </c>
      <c r="J286" s="159">
        <f t="shared" si="87"/>
        <v>0</v>
      </c>
      <c r="K286" s="159">
        <f t="shared" si="87"/>
        <v>1000</v>
      </c>
      <c r="L286" s="159">
        <f t="shared" si="87"/>
        <v>1273</v>
      </c>
      <c r="M286" s="159">
        <f>M287+M289+M290+M293+M311+M312+M313</f>
        <v>274664</v>
      </c>
      <c r="N286" s="159">
        <f t="shared" si="87"/>
        <v>270915</v>
      </c>
      <c r="O286" s="159">
        <f t="shared" si="87"/>
        <v>0</v>
      </c>
      <c r="P286" s="159">
        <f>P287+P289+P290+P293+P311+P312+P313</f>
        <v>2200</v>
      </c>
      <c r="Q286" s="159">
        <f t="shared" si="87"/>
        <v>2825</v>
      </c>
      <c r="R286" s="201">
        <f>H286+K286+M286+P286</f>
        <v>280102</v>
      </c>
    </row>
    <row r="287" spans="1:22" x14ac:dyDescent="0.25">
      <c r="A287" s="202">
        <v>5232</v>
      </c>
      <c r="B287" s="165">
        <v>426100</v>
      </c>
      <c r="C287" s="166" t="s">
        <v>263</v>
      </c>
      <c r="D287" s="166" t="s">
        <v>463</v>
      </c>
      <c r="E287" s="182">
        <v>4093</v>
      </c>
      <c r="F287" s="182">
        <f>H287+K287+M287+P287</f>
        <v>5020</v>
      </c>
      <c r="G287" s="183">
        <f t="shared" ref="G287" si="88">SUM(I287:Q287)-K287-M287-P287</f>
        <v>3119</v>
      </c>
      <c r="H287" s="183"/>
      <c r="I287" s="182"/>
      <c r="J287" s="182"/>
      <c r="K287" s="182"/>
      <c r="L287" s="182"/>
      <c r="M287" s="182">
        <f>4200+106+315+399</f>
        <v>5020</v>
      </c>
      <c r="N287" s="182">
        <v>3119</v>
      </c>
      <c r="O287" s="182"/>
      <c r="P287" s="182"/>
      <c r="Q287" s="182"/>
      <c r="R287" s="152" t="s">
        <v>506</v>
      </c>
    </row>
    <row r="288" spans="1:22" hidden="1" x14ac:dyDescent="0.25">
      <c r="A288" s="202">
        <v>5233</v>
      </c>
      <c r="B288" s="165">
        <v>426200</v>
      </c>
      <c r="C288" s="166" t="s">
        <v>264</v>
      </c>
      <c r="D288" s="166" t="s">
        <v>463</v>
      </c>
      <c r="E288" s="182"/>
      <c r="F288" s="182"/>
      <c r="G288" s="183">
        <f t="shared" si="67"/>
        <v>0</v>
      </c>
      <c r="H288" s="183"/>
      <c r="I288" s="182"/>
      <c r="J288" s="182"/>
      <c r="K288" s="182"/>
      <c r="L288" s="182"/>
      <c r="M288" s="182"/>
      <c r="N288" s="182"/>
      <c r="O288" s="182"/>
      <c r="P288" s="182"/>
      <c r="Q288" s="182"/>
    </row>
    <row r="289" spans="1:19" ht="26.25" x14ac:dyDescent="0.25">
      <c r="A289" s="202">
        <v>5234</v>
      </c>
      <c r="B289" s="165">
        <v>426300</v>
      </c>
      <c r="C289" s="166" t="s">
        <v>265</v>
      </c>
      <c r="D289" s="166" t="s">
        <v>463</v>
      </c>
      <c r="E289" s="182">
        <v>170</v>
      </c>
      <c r="F289" s="182">
        <f>H289+K289+M289+P289</f>
        <v>200</v>
      </c>
      <c r="G289" s="183">
        <f t="shared" ref="G289:G290" si="89">SUM(I289:Q289)-K289-M289-P289</f>
        <v>147</v>
      </c>
      <c r="H289" s="183"/>
      <c r="I289" s="182"/>
      <c r="J289" s="182"/>
      <c r="K289" s="182"/>
      <c r="L289" s="182"/>
      <c r="M289" s="182"/>
      <c r="N289" s="182"/>
      <c r="O289" s="182"/>
      <c r="P289" s="182">
        <v>200</v>
      </c>
      <c r="Q289" s="182">
        <v>147</v>
      </c>
    </row>
    <row r="290" spans="1:19" x14ac:dyDescent="0.25">
      <c r="A290" s="202">
        <v>5235</v>
      </c>
      <c r="B290" s="165">
        <v>426400</v>
      </c>
      <c r="C290" s="166" t="s">
        <v>266</v>
      </c>
      <c r="D290" s="166" t="s">
        <v>468</v>
      </c>
      <c r="E290" s="182">
        <v>1541</v>
      </c>
      <c r="F290" s="182">
        <f>H290+K290+M290+P290</f>
        <v>1950</v>
      </c>
      <c r="G290" s="183">
        <f t="shared" si="89"/>
        <v>1580</v>
      </c>
      <c r="H290" s="183"/>
      <c r="I290" s="185"/>
      <c r="J290" s="185"/>
      <c r="K290" s="185"/>
      <c r="L290" s="185"/>
      <c r="M290" s="185">
        <f>2000-50</f>
        <v>1950</v>
      </c>
      <c r="N290" s="185">
        <f>1534+39</f>
        <v>1573</v>
      </c>
      <c r="O290" s="185"/>
      <c r="P290" s="185"/>
      <c r="Q290" s="185">
        <v>7</v>
      </c>
    </row>
    <row r="291" spans="1:19" ht="26.25" hidden="1" x14ac:dyDescent="0.25">
      <c r="A291" s="202">
        <v>5236</v>
      </c>
      <c r="B291" s="165">
        <v>426500</v>
      </c>
      <c r="C291" s="166" t="s">
        <v>267</v>
      </c>
      <c r="D291" s="166"/>
      <c r="E291" s="182"/>
      <c r="F291" s="182"/>
      <c r="G291" s="183">
        <f t="shared" ref="G291:G384" si="90">SUM(I291:Q291)</f>
        <v>0</v>
      </c>
      <c r="H291" s="183"/>
      <c r="I291" s="182"/>
      <c r="J291" s="182"/>
      <c r="K291" s="182"/>
      <c r="L291" s="182"/>
      <c r="M291" s="182"/>
      <c r="N291" s="182"/>
      <c r="O291" s="182"/>
      <c r="P291" s="182"/>
      <c r="Q291" s="182"/>
    </row>
    <row r="292" spans="1:19" ht="26.25" hidden="1" x14ac:dyDescent="0.25">
      <c r="A292" s="202">
        <v>5237</v>
      </c>
      <c r="B292" s="165">
        <v>426600</v>
      </c>
      <c r="C292" s="166" t="s">
        <v>268</v>
      </c>
      <c r="D292" s="166"/>
      <c r="E292" s="182"/>
      <c r="F292" s="182"/>
      <c r="G292" s="183">
        <f t="shared" si="90"/>
        <v>0</v>
      </c>
      <c r="H292" s="183"/>
      <c r="I292" s="182"/>
      <c r="J292" s="182"/>
      <c r="K292" s="182"/>
      <c r="L292" s="182"/>
      <c r="M292" s="182"/>
      <c r="N292" s="182"/>
      <c r="O292" s="182"/>
      <c r="P292" s="182"/>
      <c r="Q292" s="182"/>
    </row>
    <row r="293" spans="1:19" ht="26.25" x14ac:dyDescent="0.25">
      <c r="A293" s="202">
        <v>5238</v>
      </c>
      <c r="B293" s="165">
        <v>426700</v>
      </c>
      <c r="C293" s="166" t="s">
        <v>269</v>
      </c>
      <c r="D293" s="166"/>
      <c r="E293" s="182">
        <v>273095</v>
      </c>
      <c r="F293" s="187">
        <f>H293+K293+M293+P293</f>
        <v>250607</v>
      </c>
      <c r="G293" s="183">
        <f t="shared" ref="G293:G313" si="91">SUM(I293:Q293)-K293-M293-P293</f>
        <v>252600</v>
      </c>
      <c r="H293" s="183"/>
      <c r="I293" s="182">
        <v>127</v>
      </c>
      <c r="J293" s="182"/>
      <c r="K293" s="182"/>
      <c r="L293" s="182"/>
      <c r="M293" s="187">
        <f>94103+2685+42117+11786+25692+37400+19065+15859</f>
        <v>248707</v>
      </c>
      <c r="N293" s="182">
        <v>250683</v>
      </c>
      <c r="O293" s="182"/>
      <c r="P293" s="187">
        <v>1900</v>
      </c>
      <c r="Q293" s="182">
        <v>1790</v>
      </c>
      <c r="R293" s="201">
        <f>M294+M299+M300+M303+M309+M310</f>
        <v>248707</v>
      </c>
      <c r="S293" s="201">
        <f>R293+P293</f>
        <v>250607</v>
      </c>
    </row>
    <row r="294" spans="1:19" ht="18" customHeight="1" x14ac:dyDescent="0.25">
      <c r="A294" s="202"/>
      <c r="B294" s="206" t="s">
        <v>470</v>
      </c>
      <c r="C294" s="207" t="s">
        <v>476</v>
      </c>
      <c r="D294" s="166"/>
      <c r="E294" s="182"/>
      <c r="F294" s="187">
        <f>F295+F296+F297+F298</f>
        <v>113168</v>
      </c>
      <c r="G294" s="183"/>
      <c r="H294" s="183"/>
      <c r="I294" s="182"/>
      <c r="J294" s="182"/>
      <c r="K294" s="182"/>
      <c r="L294" s="182"/>
      <c r="M294" s="187">
        <f>M295+M296+M297+M298</f>
        <v>113168</v>
      </c>
      <c r="N294" s="182"/>
      <c r="O294" s="182"/>
      <c r="P294" s="182"/>
      <c r="Q294" s="182"/>
    </row>
    <row r="295" spans="1:19" ht="16.5" customHeight="1" x14ac:dyDescent="0.25">
      <c r="A295" s="202"/>
      <c r="B295" s="208" t="s">
        <v>477</v>
      </c>
      <c r="C295" s="166" t="s">
        <v>481</v>
      </c>
      <c r="D295" s="166"/>
      <c r="E295" s="182"/>
      <c r="F295" s="182">
        <f>M295</f>
        <v>69695</v>
      </c>
      <c r="G295" s="183"/>
      <c r="H295" s="183"/>
      <c r="I295" s="182"/>
      <c r="J295" s="182"/>
      <c r="K295" s="182"/>
      <c r="L295" s="182"/>
      <c r="M295" s="185">
        <f>50630+19065</f>
        <v>69695</v>
      </c>
      <c r="N295" s="182"/>
      <c r="O295" s="182"/>
      <c r="P295" s="182"/>
      <c r="Q295" s="182"/>
    </row>
    <row r="296" spans="1:19" ht="16.5" customHeight="1" x14ac:dyDescent="0.25">
      <c r="A296" s="202"/>
      <c r="B296" s="208" t="s">
        <v>478</v>
      </c>
      <c r="C296" s="166" t="s">
        <v>482</v>
      </c>
      <c r="D296" s="166"/>
      <c r="E296" s="182"/>
      <c r="F296" s="182">
        <f t="shared" ref="F296:F310" si="92">M296</f>
        <v>15745</v>
      </c>
      <c r="G296" s="183"/>
      <c r="H296" s="183"/>
      <c r="I296" s="182"/>
      <c r="J296" s="182"/>
      <c r="K296" s="182"/>
      <c r="L296" s="182"/>
      <c r="M296" s="185">
        <v>15745</v>
      </c>
      <c r="N296" s="182"/>
      <c r="O296" s="182"/>
      <c r="P296" s="182"/>
      <c r="Q296" s="182"/>
    </row>
    <row r="297" spans="1:19" ht="16.5" customHeight="1" x14ac:dyDescent="0.25">
      <c r="A297" s="202"/>
      <c r="B297" s="208" t="s">
        <v>479</v>
      </c>
      <c r="C297" s="166" t="s">
        <v>483</v>
      </c>
      <c r="D297" s="166"/>
      <c r="E297" s="182"/>
      <c r="F297" s="182">
        <f t="shared" si="92"/>
        <v>21866</v>
      </c>
      <c r="G297" s="183"/>
      <c r="H297" s="183"/>
      <c r="I297" s="182"/>
      <c r="J297" s="182"/>
      <c r="K297" s="182"/>
      <c r="L297" s="182"/>
      <c r="M297" s="185">
        <v>21866</v>
      </c>
      <c r="N297" s="182"/>
      <c r="O297" s="182"/>
      <c r="P297" s="182"/>
      <c r="Q297" s="182"/>
    </row>
    <row r="298" spans="1:19" ht="16.5" customHeight="1" x14ac:dyDescent="0.25">
      <c r="A298" s="202"/>
      <c r="B298" s="208" t="s">
        <v>480</v>
      </c>
      <c r="C298" s="166" t="s">
        <v>484</v>
      </c>
      <c r="D298" s="166"/>
      <c r="E298" s="182"/>
      <c r="F298" s="182">
        <f t="shared" si="92"/>
        <v>5862</v>
      </c>
      <c r="G298" s="183"/>
      <c r="H298" s="183"/>
      <c r="I298" s="182"/>
      <c r="J298" s="182"/>
      <c r="K298" s="182"/>
      <c r="L298" s="182"/>
      <c r="M298" s="185">
        <v>5862</v>
      </c>
      <c r="N298" s="182"/>
      <c r="O298" s="182"/>
      <c r="P298" s="182"/>
      <c r="Q298" s="182"/>
    </row>
    <row r="299" spans="1:19" ht="16.5" customHeight="1" x14ac:dyDescent="0.25">
      <c r="A299" s="209"/>
      <c r="B299" s="210" t="s">
        <v>471</v>
      </c>
      <c r="C299" s="207" t="s">
        <v>485</v>
      </c>
      <c r="D299" s="207"/>
      <c r="E299" s="187"/>
      <c r="F299" s="187">
        <f t="shared" si="92"/>
        <v>2685</v>
      </c>
      <c r="G299" s="211"/>
      <c r="H299" s="211"/>
      <c r="I299" s="187"/>
      <c r="J299" s="187"/>
      <c r="K299" s="187"/>
      <c r="L299" s="187"/>
      <c r="M299" s="187">
        <v>2685</v>
      </c>
      <c r="N299" s="187"/>
      <c r="O299" s="187"/>
      <c r="P299" s="187"/>
      <c r="Q299" s="187"/>
    </row>
    <row r="300" spans="1:19" ht="25.5" customHeight="1" x14ac:dyDescent="0.25">
      <c r="A300" s="202"/>
      <c r="B300" s="210" t="s">
        <v>472</v>
      </c>
      <c r="C300" s="207" t="s">
        <v>486</v>
      </c>
      <c r="D300" s="207"/>
      <c r="E300" s="187"/>
      <c r="F300" s="187">
        <f t="shared" si="92"/>
        <v>57976</v>
      </c>
      <c r="G300" s="211"/>
      <c r="H300" s="211"/>
      <c r="I300" s="187"/>
      <c r="J300" s="187"/>
      <c r="K300" s="187"/>
      <c r="L300" s="187"/>
      <c r="M300" s="187">
        <f>M301+M302</f>
        <v>57976</v>
      </c>
      <c r="N300" s="187"/>
      <c r="O300" s="187"/>
      <c r="P300" s="187"/>
      <c r="Q300" s="187"/>
    </row>
    <row r="301" spans="1:19" ht="25.5" customHeight="1" x14ac:dyDescent="0.25">
      <c r="A301" s="202"/>
      <c r="B301" s="208" t="s">
        <v>487</v>
      </c>
      <c r="C301" s="166" t="s">
        <v>489</v>
      </c>
      <c r="D301" s="166"/>
      <c r="E301" s="182"/>
      <c r="F301" s="182">
        <f t="shared" si="92"/>
        <v>36195</v>
      </c>
      <c r="G301" s="183"/>
      <c r="H301" s="183"/>
      <c r="I301" s="182"/>
      <c r="J301" s="182"/>
      <c r="K301" s="182"/>
      <c r="L301" s="182"/>
      <c r="M301" s="185">
        <f>36195</f>
        <v>36195</v>
      </c>
      <c r="N301" s="182"/>
      <c r="O301" s="182"/>
      <c r="P301" s="182"/>
      <c r="Q301" s="182"/>
    </row>
    <row r="302" spans="1:19" ht="23.25" customHeight="1" x14ac:dyDescent="0.25">
      <c r="A302" s="202"/>
      <c r="B302" s="208" t="s">
        <v>488</v>
      </c>
      <c r="C302" s="166" t="s">
        <v>490</v>
      </c>
      <c r="D302" s="166"/>
      <c r="E302" s="182"/>
      <c r="F302" s="182">
        <f t="shared" si="92"/>
        <v>21781</v>
      </c>
      <c r="G302" s="183"/>
      <c r="H302" s="183"/>
      <c r="I302" s="182"/>
      <c r="J302" s="182"/>
      <c r="K302" s="182"/>
      <c r="L302" s="182"/>
      <c r="M302" s="185">
        <f>5922+15859</f>
        <v>21781</v>
      </c>
      <c r="N302" s="182"/>
      <c r="O302" s="182"/>
      <c r="P302" s="182">
        <v>1900</v>
      </c>
      <c r="Q302" s="182"/>
    </row>
    <row r="303" spans="1:19" ht="16.5" customHeight="1" x14ac:dyDescent="0.25">
      <c r="A303" s="202"/>
      <c r="B303" s="210" t="s">
        <v>473</v>
      </c>
      <c r="C303" s="207" t="s">
        <v>493</v>
      </c>
      <c r="D303" s="207"/>
      <c r="E303" s="187"/>
      <c r="F303" s="187">
        <f>F304+F305+F306</f>
        <v>11786</v>
      </c>
      <c r="G303" s="211"/>
      <c r="H303" s="211"/>
      <c r="I303" s="187"/>
      <c r="J303" s="187"/>
      <c r="K303" s="187"/>
      <c r="L303" s="187"/>
      <c r="M303" s="187">
        <f>M304+M305+M306</f>
        <v>11786</v>
      </c>
      <c r="N303" s="187"/>
      <c r="O303" s="187"/>
      <c r="P303" s="187"/>
      <c r="Q303" s="187"/>
    </row>
    <row r="304" spans="1:19" ht="23.25" customHeight="1" x14ac:dyDescent="0.25">
      <c r="A304" s="202"/>
      <c r="B304" s="208" t="s">
        <v>491</v>
      </c>
      <c r="C304" s="166" t="s">
        <v>494</v>
      </c>
      <c r="D304" s="166"/>
      <c r="E304" s="182"/>
      <c r="F304" s="182">
        <f>M304</f>
        <v>5321</v>
      </c>
      <c r="G304" s="183"/>
      <c r="H304" s="183"/>
      <c r="I304" s="182"/>
      <c r="J304" s="182"/>
      <c r="K304" s="182"/>
      <c r="L304" s="182"/>
      <c r="M304" s="185">
        <v>5321</v>
      </c>
      <c r="N304" s="182"/>
      <c r="O304" s="182"/>
      <c r="P304" s="182"/>
      <c r="Q304" s="182"/>
    </row>
    <row r="305" spans="1:17" ht="16.5" customHeight="1" x14ac:dyDescent="0.25">
      <c r="A305" s="202"/>
      <c r="B305" s="208" t="s">
        <v>492</v>
      </c>
      <c r="C305" s="166" t="s">
        <v>495</v>
      </c>
      <c r="D305" s="166"/>
      <c r="E305" s="182"/>
      <c r="F305" s="182">
        <f>M305</f>
        <v>5402</v>
      </c>
      <c r="G305" s="183"/>
      <c r="H305" s="183"/>
      <c r="I305" s="182"/>
      <c r="J305" s="182"/>
      <c r="K305" s="182"/>
      <c r="L305" s="182"/>
      <c r="M305" s="185">
        <v>5402</v>
      </c>
      <c r="N305" s="182"/>
      <c r="O305" s="182"/>
      <c r="P305" s="182"/>
      <c r="Q305" s="182"/>
    </row>
    <row r="306" spans="1:17" ht="16.5" customHeight="1" x14ac:dyDescent="0.25">
      <c r="A306" s="202"/>
      <c r="B306" s="208" t="s">
        <v>496</v>
      </c>
      <c r="C306" s="166" t="s">
        <v>497</v>
      </c>
      <c r="D306" s="166"/>
      <c r="E306" s="182"/>
      <c r="F306" s="182">
        <f>M306</f>
        <v>1063</v>
      </c>
      <c r="G306" s="183"/>
      <c r="H306" s="183"/>
      <c r="I306" s="182"/>
      <c r="J306" s="182"/>
      <c r="K306" s="182"/>
      <c r="L306" s="182"/>
      <c r="M306" s="185">
        <f>M307+M308</f>
        <v>1063</v>
      </c>
      <c r="N306" s="182"/>
      <c r="O306" s="182"/>
      <c r="P306" s="182"/>
      <c r="Q306" s="182"/>
    </row>
    <row r="307" spans="1:17" ht="24.75" x14ac:dyDescent="0.25">
      <c r="A307" s="202"/>
      <c r="B307" s="212" t="s">
        <v>500</v>
      </c>
      <c r="C307" s="213" t="s">
        <v>498</v>
      </c>
      <c r="D307" s="213"/>
      <c r="E307" s="214"/>
      <c r="F307" s="214">
        <f t="shared" si="92"/>
        <v>438</v>
      </c>
      <c r="G307" s="215"/>
      <c r="H307" s="215"/>
      <c r="I307" s="214"/>
      <c r="J307" s="214"/>
      <c r="K307" s="214"/>
      <c r="L307" s="214"/>
      <c r="M307" s="214">
        <v>438</v>
      </c>
      <c r="N307" s="214"/>
      <c r="O307" s="214"/>
      <c r="P307" s="214"/>
      <c r="Q307" s="214"/>
    </row>
    <row r="308" spans="1:17" ht="24.75" x14ac:dyDescent="0.25">
      <c r="A308" s="202"/>
      <c r="B308" s="212" t="s">
        <v>501</v>
      </c>
      <c r="C308" s="213" t="s">
        <v>499</v>
      </c>
      <c r="D308" s="213"/>
      <c r="E308" s="214"/>
      <c r="F308" s="214">
        <f t="shared" si="92"/>
        <v>625</v>
      </c>
      <c r="G308" s="215"/>
      <c r="H308" s="215"/>
      <c r="I308" s="214"/>
      <c r="J308" s="214"/>
      <c r="K308" s="214"/>
      <c r="L308" s="214"/>
      <c r="M308" s="214">
        <v>625</v>
      </c>
      <c r="N308" s="214"/>
      <c r="O308" s="214"/>
      <c r="P308" s="214"/>
      <c r="Q308" s="214"/>
    </row>
    <row r="309" spans="1:17" ht="26.25" x14ac:dyDescent="0.25">
      <c r="A309" s="202"/>
      <c r="B309" s="206" t="s">
        <v>474</v>
      </c>
      <c r="C309" s="207" t="s">
        <v>502</v>
      </c>
      <c r="D309" s="207"/>
      <c r="E309" s="187"/>
      <c r="F309" s="187">
        <f t="shared" si="92"/>
        <v>25692</v>
      </c>
      <c r="G309" s="211"/>
      <c r="H309" s="211"/>
      <c r="I309" s="187"/>
      <c r="J309" s="187"/>
      <c r="K309" s="187"/>
      <c r="L309" s="187"/>
      <c r="M309" s="187">
        <v>25692</v>
      </c>
      <c r="N309" s="187"/>
      <c r="O309" s="187"/>
      <c r="P309" s="187"/>
      <c r="Q309" s="187"/>
    </row>
    <row r="310" spans="1:17" ht="26.25" x14ac:dyDescent="0.25">
      <c r="A310" s="202"/>
      <c r="B310" s="206" t="s">
        <v>475</v>
      </c>
      <c r="C310" s="207" t="s">
        <v>503</v>
      </c>
      <c r="D310" s="207"/>
      <c r="E310" s="187"/>
      <c r="F310" s="187">
        <f t="shared" si="92"/>
        <v>37400</v>
      </c>
      <c r="G310" s="211"/>
      <c r="H310" s="211"/>
      <c r="I310" s="187"/>
      <c r="J310" s="187"/>
      <c r="K310" s="187"/>
      <c r="L310" s="187"/>
      <c r="M310" s="187">
        <v>37400</v>
      </c>
      <c r="N310" s="187"/>
      <c r="O310" s="187"/>
      <c r="P310" s="187"/>
      <c r="Q310" s="187"/>
    </row>
    <row r="311" spans="1:17" x14ac:dyDescent="0.25">
      <c r="A311" s="202">
        <v>5239</v>
      </c>
      <c r="B311" s="165">
        <v>426800</v>
      </c>
      <c r="C311" s="166" t="s">
        <v>464</v>
      </c>
      <c r="D311" s="216" t="s">
        <v>467</v>
      </c>
      <c r="E311" s="182">
        <v>9387</v>
      </c>
      <c r="F311" s="182">
        <f>H311+K311+M311+P311</f>
        <v>9387</v>
      </c>
      <c r="G311" s="183">
        <f t="shared" si="91"/>
        <v>9570</v>
      </c>
      <c r="H311" s="183"/>
      <c r="I311" s="182"/>
      <c r="J311" s="182"/>
      <c r="K311" s="182"/>
      <c r="L311" s="182"/>
      <c r="M311" s="182">
        <v>9387</v>
      </c>
      <c r="N311" s="182">
        <v>9570</v>
      </c>
      <c r="O311" s="182"/>
      <c r="P311" s="182"/>
      <c r="Q311" s="182"/>
    </row>
    <row r="312" spans="1:17" ht="26.25" x14ac:dyDescent="0.25">
      <c r="A312" s="202"/>
      <c r="B312" s="165" t="s">
        <v>465</v>
      </c>
      <c r="C312" s="166" t="s">
        <v>466</v>
      </c>
      <c r="D312" s="166" t="s">
        <v>463</v>
      </c>
      <c r="E312" s="182">
        <v>4452</v>
      </c>
      <c r="F312" s="182">
        <f>H312+K312+M312+P312</f>
        <v>3900</v>
      </c>
      <c r="G312" s="183">
        <f t="shared" si="91"/>
        <v>2940</v>
      </c>
      <c r="H312" s="183"/>
      <c r="I312" s="182"/>
      <c r="J312" s="182"/>
      <c r="K312" s="182"/>
      <c r="L312" s="182"/>
      <c r="M312" s="182">
        <v>3900</v>
      </c>
      <c r="N312" s="182">
        <f>12522-12-9570</f>
        <v>2940</v>
      </c>
      <c r="O312" s="182"/>
      <c r="P312" s="182"/>
      <c r="Q312" s="182"/>
    </row>
    <row r="313" spans="1:17" x14ac:dyDescent="0.25">
      <c r="A313" s="202">
        <v>5240</v>
      </c>
      <c r="B313" s="165">
        <v>426900</v>
      </c>
      <c r="C313" s="166" t="s">
        <v>270</v>
      </c>
      <c r="D313" s="166" t="s">
        <v>463</v>
      </c>
      <c r="E313" s="182">
        <v>8611</v>
      </c>
      <c r="F313" s="182">
        <f>H313+K313+M313+P313</f>
        <v>9038</v>
      </c>
      <c r="G313" s="183">
        <f t="shared" si="91"/>
        <v>5184</v>
      </c>
      <c r="H313" s="183">
        <f>1038+1200</f>
        <v>2238</v>
      </c>
      <c r="I313" s="182"/>
      <c r="J313" s="182"/>
      <c r="K313" s="182">
        <v>1000</v>
      </c>
      <c r="L313" s="182">
        <v>1273</v>
      </c>
      <c r="M313" s="182">
        <f>4700+400+360+240</f>
        <v>5700</v>
      </c>
      <c r="N313" s="182">
        <f>3076-46</f>
        <v>3030</v>
      </c>
      <c r="O313" s="182"/>
      <c r="P313" s="188">
        <v>100</v>
      </c>
      <c r="Q313" s="182">
        <v>881</v>
      </c>
    </row>
    <row r="314" spans="1:17" ht="51.75" hidden="1" x14ac:dyDescent="0.25">
      <c r="A314" s="180">
        <v>5241</v>
      </c>
      <c r="B314" s="154">
        <v>430000</v>
      </c>
      <c r="C314" s="158" t="s">
        <v>271</v>
      </c>
      <c r="D314" s="158"/>
      <c r="E314" s="159">
        <f>E315+E323+E325+E327+E331</f>
        <v>0</v>
      </c>
      <c r="F314" s="159"/>
      <c r="G314" s="159">
        <f t="shared" si="90"/>
        <v>0</v>
      </c>
      <c r="H314" s="159"/>
      <c r="I314" s="159">
        <f t="shared" ref="I314:Q314" si="93">I315+I323+I325+I327+I331</f>
        <v>0</v>
      </c>
      <c r="J314" s="159">
        <f t="shared" si="93"/>
        <v>0</v>
      </c>
      <c r="K314" s="159"/>
      <c r="L314" s="159">
        <f t="shared" si="93"/>
        <v>0</v>
      </c>
      <c r="M314" s="159"/>
      <c r="N314" s="159">
        <f t="shared" si="93"/>
        <v>0</v>
      </c>
      <c r="O314" s="159">
        <f t="shared" si="93"/>
        <v>0</v>
      </c>
      <c r="P314" s="159"/>
      <c r="Q314" s="159">
        <f t="shared" si="93"/>
        <v>0</v>
      </c>
    </row>
    <row r="315" spans="1:17" ht="39" hidden="1" x14ac:dyDescent="0.25">
      <c r="A315" s="180">
        <v>5242</v>
      </c>
      <c r="B315" s="154">
        <v>431000</v>
      </c>
      <c r="C315" s="158" t="s">
        <v>272</v>
      </c>
      <c r="D315" s="158"/>
      <c r="E315" s="159">
        <f>SUM(E316:E318)</f>
        <v>0</v>
      </c>
      <c r="F315" s="159"/>
      <c r="G315" s="159">
        <f t="shared" si="90"/>
        <v>0</v>
      </c>
      <c r="H315" s="159"/>
      <c r="I315" s="159">
        <f t="shared" ref="I315:Q315" si="94">SUM(I316:I318)</f>
        <v>0</v>
      </c>
      <c r="J315" s="159">
        <f t="shared" si="94"/>
        <v>0</v>
      </c>
      <c r="K315" s="159"/>
      <c r="L315" s="159">
        <f t="shared" si="94"/>
        <v>0</v>
      </c>
      <c r="M315" s="159"/>
      <c r="N315" s="159">
        <f t="shared" si="94"/>
        <v>0</v>
      </c>
      <c r="O315" s="159">
        <f t="shared" si="94"/>
        <v>0</v>
      </c>
      <c r="P315" s="159"/>
      <c r="Q315" s="159">
        <f t="shared" si="94"/>
        <v>0</v>
      </c>
    </row>
    <row r="316" spans="1:17" ht="26.25" hidden="1" x14ac:dyDescent="0.25">
      <c r="A316" s="202">
        <v>5243</v>
      </c>
      <c r="B316" s="165">
        <v>431100</v>
      </c>
      <c r="C316" s="166" t="s">
        <v>273</v>
      </c>
      <c r="D316" s="166"/>
      <c r="E316" s="182"/>
      <c r="F316" s="182"/>
      <c r="G316" s="183">
        <f t="shared" si="90"/>
        <v>0</v>
      </c>
      <c r="H316" s="183"/>
      <c r="I316" s="182"/>
      <c r="J316" s="182"/>
      <c r="K316" s="182"/>
      <c r="L316" s="182"/>
      <c r="M316" s="182"/>
      <c r="N316" s="182"/>
      <c r="O316" s="182"/>
      <c r="P316" s="182"/>
      <c r="Q316" s="182"/>
    </row>
    <row r="317" spans="1:17" hidden="1" x14ac:dyDescent="0.25">
      <c r="A317" s="202">
        <v>5244</v>
      </c>
      <c r="B317" s="165">
        <v>431200</v>
      </c>
      <c r="C317" s="166" t="s">
        <v>274</v>
      </c>
      <c r="D317" s="166"/>
      <c r="E317" s="182"/>
      <c r="F317" s="182"/>
      <c r="G317" s="183">
        <f t="shared" si="90"/>
        <v>0</v>
      </c>
      <c r="H317" s="183"/>
      <c r="I317" s="182"/>
      <c r="J317" s="182"/>
      <c r="K317" s="182"/>
      <c r="L317" s="182"/>
      <c r="M317" s="182"/>
      <c r="N317" s="182"/>
      <c r="O317" s="182"/>
      <c r="P317" s="182"/>
      <c r="Q317" s="182"/>
    </row>
    <row r="318" spans="1:17" ht="26.25" hidden="1" x14ac:dyDescent="0.25">
      <c r="A318" s="202">
        <v>5245</v>
      </c>
      <c r="B318" s="165">
        <v>431300</v>
      </c>
      <c r="C318" s="166" t="s">
        <v>275</v>
      </c>
      <c r="D318" s="166"/>
      <c r="E318" s="182"/>
      <c r="F318" s="182"/>
      <c r="G318" s="183">
        <f t="shared" si="90"/>
        <v>0</v>
      </c>
      <c r="H318" s="183"/>
      <c r="I318" s="182"/>
      <c r="J318" s="182"/>
      <c r="K318" s="182"/>
      <c r="L318" s="182"/>
      <c r="M318" s="182"/>
      <c r="N318" s="182"/>
      <c r="O318" s="182"/>
      <c r="P318" s="182"/>
      <c r="Q318" s="182"/>
    </row>
    <row r="319" spans="1:17" hidden="1" x14ac:dyDescent="0.25">
      <c r="A319" s="598" t="s">
        <v>0</v>
      </c>
      <c r="B319" s="599" t="s">
        <v>1</v>
      </c>
      <c r="C319" s="598" t="s">
        <v>2</v>
      </c>
      <c r="D319" s="179"/>
      <c r="E319" s="598" t="s">
        <v>217</v>
      </c>
      <c r="F319" s="179"/>
      <c r="G319" s="600" t="s">
        <v>198</v>
      </c>
      <c r="H319" s="600"/>
      <c r="I319" s="601"/>
      <c r="J319" s="601"/>
      <c r="K319" s="601"/>
      <c r="L319" s="601"/>
      <c r="M319" s="601"/>
      <c r="N319" s="601"/>
      <c r="O319" s="601"/>
      <c r="P319" s="601"/>
      <c r="Q319" s="601"/>
    </row>
    <row r="320" spans="1:17" hidden="1" x14ac:dyDescent="0.25">
      <c r="A320" s="598"/>
      <c r="B320" s="599"/>
      <c r="C320" s="598"/>
      <c r="D320" s="179"/>
      <c r="E320" s="598"/>
      <c r="F320" s="179"/>
      <c r="G320" s="600" t="s">
        <v>199</v>
      </c>
      <c r="H320" s="154"/>
      <c r="I320" s="600" t="s">
        <v>200</v>
      </c>
      <c r="J320" s="601"/>
      <c r="K320" s="601"/>
      <c r="L320" s="601"/>
      <c r="M320" s="601"/>
      <c r="N320" s="601"/>
      <c r="O320" s="600" t="s">
        <v>7</v>
      </c>
      <c r="P320" s="154"/>
      <c r="Q320" s="600" t="s">
        <v>8</v>
      </c>
    </row>
    <row r="321" spans="1:17" ht="39" hidden="1" x14ac:dyDescent="0.25">
      <c r="A321" s="598"/>
      <c r="B321" s="599"/>
      <c r="C321" s="598"/>
      <c r="D321" s="179"/>
      <c r="E321" s="598"/>
      <c r="F321" s="179"/>
      <c r="G321" s="601"/>
      <c r="H321" s="203"/>
      <c r="I321" s="154" t="s">
        <v>201</v>
      </c>
      <c r="J321" s="154" t="s">
        <v>10</v>
      </c>
      <c r="K321" s="154"/>
      <c r="L321" s="154" t="s">
        <v>11</v>
      </c>
      <c r="M321" s="154"/>
      <c r="N321" s="154" t="s">
        <v>12</v>
      </c>
      <c r="O321" s="601"/>
      <c r="P321" s="203"/>
      <c r="Q321" s="601"/>
    </row>
    <row r="322" spans="1:17" ht="26.25" hidden="1" x14ac:dyDescent="0.25">
      <c r="A322" s="176" t="s">
        <v>18</v>
      </c>
      <c r="B322" s="176" t="s">
        <v>19</v>
      </c>
      <c r="C322" s="176" t="s">
        <v>20</v>
      </c>
      <c r="D322" s="176"/>
      <c r="E322" s="176" t="s">
        <v>21</v>
      </c>
      <c r="F322" s="176"/>
      <c r="G322" s="176" t="s">
        <v>22</v>
      </c>
      <c r="H322" s="176"/>
      <c r="I322" s="176" t="s">
        <v>23</v>
      </c>
      <c r="J322" s="176" t="s">
        <v>24</v>
      </c>
      <c r="K322" s="176"/>
      <c r="L322" s="176" t="s">
        <v>25</v>
      </c>
      <c r="M322" s="176"/>
      <c r="N322" s="176" t="s">
        <v>26</v>
      </c>
      <c r="O322" s="176" t="s">
        <v>27</v>
      </c>
      <c r="P322" s="176"/>
      <c r="Q322" s="176" t="s">
        <v>28</v>
      </c>
    </row>
    <row r="323" spans="1:17" ht="39" hidden="1" x14ac:dyDescent="0.25">
      <c r="A323" s="180">
        <v>5246</v>
      </c>
      <c r="B323" s="154">
        <v>432000</v>
      </c>
      <c r="C323" s="158" t="s">
        <v>276</v>
      </c>
      <c r="D323" s="158"/>
      <c r="E323" s="159">
        <f>E324</f>
        <v>0</v>
      </c>
      <c r="F323" s="159"/>
      <c r="G323" s="159">
        <f t="shared" si="90"/>
        <v>0</v>
      </c>
      <c r="H323" s="159"/>
      <c r="I323" s="159">
        <f t="shared" ref="I323:Q323" si="95">I324</f>
        <v>0</v>
      </c>
      <c r="J323" s="159">
        <f t="shared" si="95"/>
        <v>0</v>
      </c>
      <c r="K323" s="159"/>
      <c r="L323" s="159">
        <f t="shared" si="95"/>
        <v>0</v>
      </c>
      <c r="M323" s="159"/>
      <c r="N323" s="159">
        <f t="shared" si="95"/>
        <v>0</v>
      </c>
      <c r="O323" s="159">
        <f t="shared" si="95"/>
        <v>0</v>
      </c>
      <c r="P323" s="159"/>
      <c r="Q323" s="159">
        <f t="shared" si="95"/>
        <v>0</v>
      </c>
    </row>
    <row r="324" spans="1:17" ht="26.25" hidden="1" x14ac:dyDescent="0.25">
      <c r="A324" s="202">
        <v>5247</v>
      </c>
      <c r="B324" s="165">
        <v>432100</v>
      </c>
      <c r="C324" s="166" t="s">
        <v>277</v>
      </c>
      <c r="D324" s="166"/>
      <c r="E324" s="182"/>
      <c r="F324" s="182"/>
      <c r="G324" s="183">
        <f t="shared" si="90"/>
        <v>0</v>
      </c>
      <c r="H324" s="183"/>
      <c r="I324" s="182"/>
      <c r="J324" s="182"/>
      <c r="K324" s="182"/>
      <c r="L324" s="182"/>
      <c r="M324" s="182"/>
      <c r="N324" s="182"/>
      <c r="O324" s="182"/>
      <c r="P324" s="182"/>
      <c r="Q324" s="182"/>
    </row>
    <row r="325" spans="1:17" ht="26.25" hidden="1" x14ac:dyDescent="0.25">
      <c r="A325" s="180">
        <v>5248</v>
      </c>
      <c r="B325" s="154">
        <v>433000</v>
      </c>
      <c r="C325" s="158" t="s">
        <v>278</v>
      </c>
      <c r="D325" s="158"/>
      <c r="E325" s="159">
        <f>E326</f>
        <v>0</v>
      </c>
      <c r="F325" s="159"/>
      <c r="G325" s="159">
        <f t="shared" si="90"/>
        <v>0</v>
      </c>
      <c r="H325" s="159"/>
      <c r="I325" s="159">
        <f t="shared" ref="I325:Q325" si="96">I326</f>
        <v>0</v>
      </c>
      <c r="J325" s="159">
        <f t="shared" si="96"/>
        <v>0</v>
      </c>
      <c r="K325" s="159"/>
      <c r="L325" s="159">
        <f t="shared" si="96"/>
        <v>0</v>
      </c>
      <c r="M325" s="159"/>
      <c r="N325" s="159">
        <f t="shared" si="96"/>
        <v>0</v>
      </c>
      <c r="O325" s="159">
        <f t="shared" si="96"/>
        <v>0</v>
      </c>
      <c r="P325" s="159"/>
      <c r="Q325" s="159">
        <f t="shared" si="96"/>
        <v>0</v>
      </c>
    </row>
    <row r="326" spans="1:17" hidden="1" x14ac:dyDescent="0.25">
      <c r="A326" s="202">
        <v>5249</v>
      </c>
      <c r="B326" s="165">
        <v>433100</v>
      </c>
      <c r="C326" s="166" t="s">
        <v>279</v>
      </c>
      <c r="D326" s="166"/>
      <c r="E326" s="182"/>
      <c r="F326" s="182"/>
      <c r="G326" s="183">
        <f t="shared" si="90"/>
        <v>0</v>
      </c>
      <c r="H326" s="183"/>
      <c r="I326" s="182"/>
      <c r="J326" s="182"/>
      <c r="K326" s="182"/>
      <c r="L326" s="182"/>
      <c r="M326" s="182"/>
      <c r="N326" s="182"/>
      <c r="O326" s="182"/>
      <c r="P326" s="182"/>
      <c r="Q326" s="182"/>
    </row>
    <row r="327" spans="1:17" ht="26.25" hidden="1" x14ac:dyDescent="0.25">
      <c r="A327" s="180">
        <v>5250</v>
      </c>
      <c r="B327" s="154">
        <v>434000</v>
      </c>
      <c r="C327" s="158" t="s">
        <v>280</v>
      </c>
      <c r="D327" s="158"/>
      <c r="E327" s="159">
        <f>SUM(E328:E330)</f>
        <v>0</v>
      </c>
      <c r="F327" s="159"/>
      <c r="G327" s="159">
        <f t="shared" si="90"/>
        <v>0</v>
      </c>
      <c r="H327" s="159"/>
      <c r="I327" s="159">
        <f t="shared" ref="I327:Q327" si="97">SUM(I328:I330)</f>
        <v>0</v>
      </c>
      <c r="J327" s="159">
        <f t="shared" si="97"/>
        <v>0</v>
      </c>
      <c r="K327" s="159"/>
      <c r="L327" s="159">
        <f t="shared" si="97"/>
        <v>0</v>
      </c>
      <c r="M327" s="159"/>
      <c r="N327" s="159">
        <f t="shared" si="97"/>
        <v>0</v>
      </c>
      <c r="O327" s="159">
        <f t="shared" si="97"/>
        <v>0</v>
      </c>
      <c r="P327" s="159"/>
      <c r="Q327" s="159">
        <f t="shared" si="97"/>
        <v>0</v>
      </c>
    </row>
    <row r="328" spans="1:17" hidden="1" x14ac:dyDescent="0.25">
      <c r="A328" s="202">
        <v>5251</v>
      </c>
      <c r="B328" s="165">
        <v>434100</v>
      </c>
      <c r="C328" s="166" t="s">
        <v>281</v>
      </c>
      <c r="D328" s="166"/>
      <c r="E328" s="182"/>
      <c r="F328" s="182"/>
      <c r="G328" s="183">
        <f t="shared" si="90"/>
        <v>0</v>
      </c>
      <c r="H328" s="183"/>
      <c r="I328" s="182"/>
      <c r="J328" s="182"/>
      <c r="K328" s="182"/>
      <c r="L328" s="182"/>
      <c r="M328" s="182"/>
      <c r="N328" s="182"/>
      <c r="O328" s="182"/>
      <c r="P328" s="182"/>
      <c r="Q328" s="182"/>
    </row>
    <row r="329" spans="1:17" hidden="1" x14ac:dyDescent="0.25">
      <c r="A329" s="202">
        <v>5252</v>
      </c>
      <c r="B329" s="165">
        <v>434200</v>
      </c>
      <c r="C329" s="166" t="s">
        <v>282</v>
      </c>
      <c r="D329" s="166"/>
      <c r="E329" s="182"/>
      <c r="F329" s="182"/>
      <c r="G329" s="183">
        <f t="shared" si="90"/>
        <v>0</v>
      </c>
      <c r="H329" s="183"/>
      <c r="I329" s="182"/>
      <c r="J329" s="182"/>
      <c r="K329" s="182"/>
      <c r="L329" s="182"/>
      <c r="M329" s="182"/>
      <c r="N329" s="182"/>
      <c r="O329" s="182"/>
      <c r="P329" s="182"/>
      <c r="Q329" s="182"/>
    </row>
    <row r="330" spans="1:17" hidden="1" x14ac:dyDescent="0.25">
      <c r="A330" s="202">
        <v>5253</v>
      </c>
      <c r="B330" s="165">
        <v>434300</v>
      </c>
      <c r="C330" s="166" t="s">
        <v>283</v>
      </c>
      <c r="D330" s="166"/>
      <c r="E330" s="182"/>
      <c r="F330" s="182"/>
      <c r="G330" s="183">
        <f t="shared" si="90"/>
        <v>0</v>
      </c>
      <c r="H330" s="183"/>
      <c r="I330" s="182"/>
      <c r="J330" s="182"/>
      <c r="K330" s="182"/>
      <c r="L330" s="182"/>
      <c r="M330" s="182"/>
      <c r="N330" s="182"/>
      <c r="O330" s="182"/>
      <c r="P330" s="182"/>
      <c r="Q330" s="182"/>
    </row>
    <row r="331" spans="1:17" ht="39" hidden="1" x14ac:dyDescent="0.25">
      <c r="A331" s="180">
        <v>5254</v>
      </c>
      <c r="B331" s="154">
        <v>435000</v>
      </c>
      <c r="C331" s="158" t="s">
        <v>284</v>
      </c>
      <c r="D331" s="158"/>
      <c r="E331" s="159">
        <f>E332</f>
        <v>0</v>
      </c>
      <c r="F331" s="159"/>
      <c r="G331" s="159">
        <f t="shared" si="90"/>
        <v>0</v>
      </c>
      <c r="H331" s="159"/>
      <c r="I331" s="159">
        <f t="shared" ref="I331:Q331" si="98">I332</f>
        <v>0</v>
      </c>
      <c r="J331" s="159">
        <f t="shared" si="98"/>
        <v>0</v>
      </c>
      <c r="K331" s="159"/>
      <c r="L331" s="159">
        <f t="shared" si="98"/>
        <v>0</v>
      </c>
      <c r="M331" s="159"/>
      <c r="N331" s="159">
        <f t="shared" si="98"/>
        <v>0</v>
      </c>
      <c r="O331" s="159">
        <f t="shared" si="98"/>
        <v>0</v>
      </c>
      <c r="P331" s="159"/>
      <c r="Q331" s="159">
        <f t="shared" si="98"/>
        <v>0</v>
      </c>
    </row>
    <row r="332" spans="1:17" ht="26.25" hidden="1" x14ac:dyDescent="0.25">
      <c r="A332" s="202">
        <v>5255</v>
      </c>
      <c r="B332" s="165">
        <v>435100</v>
      </c>
      <c r="C332" s="166" t="s">
        <v>285</v>
      </c>
      <c r="D332" s="166"/>
      <c r="E332" s="182"/>
      <c r="F332" s="182"/>
      <c r="G332" s="183">
        <f t="shared" si="90"/>
        <v>0</v>
      </c>
      <c r="H332" s="183"/>
      <c r="I332" s="182"/>
      <c r="J332" s="182"/>
      <c r="K332" s="182"/>
      <c r="L332" s="182"/>
      <c r="M332" s="182"/>
      <c r="N332" s="182"/>
      <c r="O332" s="182"/>
      <c r="P332" s="182"/>
      <c r="Q332" s="182"/>
    </row>
    <row r="333" spans="1:17" ht="51.75" x14ac:dyDescent="0.25">
      <c r="A333" s="180">
        <v>5256</v>
      </c>
      <c r="B333" s="154">
        <v>440000</v>
      </c>
      <c r="C333" s="158" t="s">
        <v>286</v>
      </c>
      <c r="D333" s="158"/>
      <c r="E333" s="159">
        <f>E334+E344+E355+E357</f>
        <v>275</v>
      </c>
      <c r="F333" s="159">
        <f t="shared" ref="F333:Q333" si="99">F334+F344+F355+F357</f>
        <v>681</v>
      </c>
      <c r="G333" s="159">
        <f t="shared" si="99"/>
        <v>251</v>
      </c>
      <c r="H333" s="159">
        <f t="shared" si="99"/>
        <v>0</v>
      </c>
      <c r="I333" s="159">
        <f t="shared" si="99"/>
        <v>0</v>
      </c>
      <c r="J333" s="159">
        <f t="shared" si="99"/>
        <v>0</v>
      </c>
      <c r="K333" s="159">
        <f t="shared" si="99"/>
        <v>0</v>
      </c>
      <c r="L333" s="159">
        <f t="shared" si="99"/>
        <v>0</v>
      </c>
      <c r="M333" s="159">
        <f t="shared" si="99"/>
        <v>0</v>
      </c>
      <c r="N333" s="159">
        <f t="shared" si="99"/>
        <v>0</v>
      </c>
      <c r="O333" s="159">
        <f t="shared" si="99"/>
        <v>0</v>
      </c>
      <c r="P333" s="159">
        <f t="shared" si="99"/>
        <v>681</v>
      </c>
      <c r="Q333" s="159">
        <f t="shared" si="99"/>
        <v>251</v>
      </c>
    </row>
    <row r="334" spans="1:17" ht="26.25" x14ac:dyDescent="0.25">
      <c r="A334" s="180">
        <v>5257</v>
      </c>
      <c r="B334" s="154">
        <v>441000</v>
      </c>
      <c r="C334" s="158" t="s">
        <v>287</v>
      </c>
      <c r="D334" s="158"/>
      <c r="E334" s="159">
        <f>SUM(E335:E343)</f>
        <v>275</v>
      </c>
      <c r="F334" s="159">
        <f t="shared" ref="F334:Q334" si="100">SUM(F335:F343)</f>
        <v>681</v>
      </c>
      <c r="G334" s="159">
        <f t="shared" si="100"/>
        <v>251</v>
      </c>
      <c r="H334" s="159">
        <f t="shared" si="100"/>
        <v>0</v>
      </c>
      <c r="I334" s="159">
        <f t="shared" si="100"/>
        <v>0</v>
      </c>
      <c r="J334" s="159">
        <f t="shared" si="100"/>
        <v>0</v>
      </c>
      <c r="K334" s="159">
        <f t="shared" si="100"/>
        <v>0</v>
      </c>
      <c r="L334" s="159">
        <f t="shared" si="100"/>
        <v>0</v>
      </c>
      <c r="M334" s="159">
        <f t="shared" si="100"/>
        <v>0</v>
      </c>
      <c r="N334" s="159">
        <f t="shared" si="100"/>
        <v>0</v>
      </c>
      <c r="O334" s="159">
        <f t="shared" si="100"/>
        <v>0</v>
      </c>
      <c r="P334" s="159">
        <f t="shared" si="100"/>
        <v>681</v>
      </c>
      <c r="Q334" s="159">
        <f t="shared" si="100"/>
        <v>251</v>
      </c>
    </row>
    <row r="335" spans="1:17" ht="26.25" hidden="1" x14ac:dyDescent="0.25">
      <c r="A335" s="202">
        <v>5258</v>
      </c>
      <c r="B335" s="165">
        <v>441100</v>
      </c>
      <c r="C335" s="166" t="s">
        <v>288</v>
      </c>
      <c r="D335" s="166"/>
      <c r="E335" s="182"/>
      <c r="F335" s="182"/>
      <c r="G335" s="183">
        <f t="shared" si="90"/>
        <v>0</v>
      </c>
      <c r="H335" s="183"/>
      <c r="I335" s="182"/>
      <c r="J335" s="182"/>
      <c r="K335" s="182"/>
      <c r="L335" s="182"/>
      <c r="M335" s="182"/>
      <c r="N335" s="182"/>
      <c r="O335" s="182"/>
      <c r="P335" s="182"/>
      <c r="Q335" s="182"/>
    </row>
    <row r="336" spans="1:17" ht="26.25" hidden="1" x14ac:dyDescent="0.25">
      <c r="A336" s="202">
        <v>5259</v>
      </c>
      <c r="B336" s="165">
        <v>441200</v>
      </c>
      <c r="C336" s="166" t="s">
        <v>289</v>
      </c>
      <c r="D336" s="166"/>
      <c r="E336" s="182"/>
      <c r="F336" s="182"/>
      <c r="G336" s="183">
        <f t="shared" si="90"/>
        <v>0</v>
      </c>
      <c r="H336" s="183"/>
      <c r="I336" s="182"/>
      <c r="J336" s="182"/>
      <c r="K336" s="182"/>
      <c r="L336" s="182"/>
      <c r="M336" s="182"/>
      <c r="N336" s="182"/>
      <c r="O336" s="182"/>
      <c r="P336" s="182"/>
      <c r="Q336" s="182"/>
    </row>
    <row r="337" spans="1:17" ht="26.25" hidden="1" x14ac:dyDescent="0.25">
      <c r="A337" s="202">
        <v>5260</v>
      </c>
      <c r="B337" s="165">
        <v>441300</v>
      </c>
      <c r="C337" s="166" t="s">
        <v>290</v>
      </c>
      <c r="D337" s="166"/>
      <c r="E337" s="182"/>
      <c r="F337" s="182"/>
      <c r="G337" s="183">
        <f t="shared" si="90"/>
        <v>0</v>
      </c>
      <c r="H337" s="183"/>
      <c r="I337" s="182"/>
      <c r="J337" s="182"/>
      <c r="K337" s="182"/>
      <c r="L337" s="182"/>
      <c r="M337" s="182"/>
      <c r="N337" s="182"/>
      <c r="O337" s="182"/>
      <c r="P337" s="182"/>
      <c r="Q337" s="182"/>
    </row>
    <row r="338" spans="1:17" ht="26.25" hidden="1" x14ac:dyDescent="0.25">
      <c r="A338" s="202">
        <v>5261</v>
      </c>
      <c r="B338" s="165">
        <v>441400</v>
      </c>
      <c r="C338" s="166" t="s">
        <v>291</v>
      </c>
      <c r="D338" s="166"/>
      <c r="E338" s="182"/>
      <c r="F338" s="182"/>
      <c r="G338" s="183">
        <f t="shared" si="90"/>
        <v>0</v>
      </c>
      <c r="H338" s="183"/>
      <c r="I338" s="182"/>
      <c r="J338" s="182"/>
      <c r="K338" s="182"/>
      <c r="L338" s="182"/>
      <c r="M338" s="182"/>
      <c r="N338" s="182"/>
      <c r="O338" s="182"/>
      <c r="P338" s="182"/>
      <c r="Q338" s="182"/>
    </row>
    <row r="339" spans="1:17" ht="26.25" x14ac:dyDescent="0.25">
      <c r="A339" s="202">
        <v>5262</v>
      </c>
      <c r="B339" s="165">
        <v>441500</v>
      </c>
      <c r="C339" s="166" t="s">
        <v>292</v>
      </c>
      <c r="D339" s="166"/>
      <c r="E339" s="182">
        <v>275</v>
      </c>
      <c r="F339" s="182">
        <f>H339+K339+M339+P339</f>
        <v>681</v>
      </c>
      <c r="G339" s="183">
        <f t="shared" ref="G339" si="101">SUM(I339:Q339)-K339-M339-P339</f>
        <v>251</v>
      </c>
      <c r="H339" s="183"/>
      <c r="I339" s="182"/>
      <c r="J339" s="182"/>
      <c r="K339" s="182"/>
      <c r="L339" s="182"/>
      <c r="M339" s="182"/>
      <c r="N339" s="182"/>
      <c r="O339" s="182"/>
      <c r="P339" s="182">
        <v>681</v>
      </c>
      <c r="Q339" s="182">
        <v>251</v>
      </c>
    </row>
    <row r="340" spans="1:17" ht="26.25" hidden="1" x14ac:dyDescent="0.25">
      <c r="A340" s="202">
        <v>5263</v>
      </c>
      <c r="B340" s="165">
        <v>441600</v>
      </c>
      <c r="C340" s="166" t="s">
        <v>293</v>
      </c>
      <c r="D340" s="166"/>
      <c r="E340" s="182"/>
      <c r="F340" s="182"/>
      <c r="G340" s="183">
        <f t="shared" si="90"/>
        <v>0</v>
      </c>
      <c r="H340" s="183"/>
      <c r="I340" s="182"/>
      <c r="J340" s="182"/>
      <c r="K340" s="182"/>
      <c r="L340" s="182"/>
      <c r="M340" s="182"/>
      <c r="N340" s="182"/>
      <c r="O340" s="182"/>
      <c r="P340" s="182"/>
      <c r="Q340" s="182"/>
    </row>
    <row r="341" spans="1:17" ht="26.25" hidden="1" x14ac:dyDescent="0.25">
      <c r="A341" s="202">
        <v>5264</v>
      </c>
      <c r="B341" s="165">
        <v>441700</v>
      </c>
      <c r="C341" s="166" t="s">
        <v>294</v>
      </c>
      <c r="D341" s="166"/>
      <c r="E341" s="182"/>
      <c r="F341" s="182"/>
      <c r="G341" s="183">
        <f t="shared" si="90"/>
        <v>0</v>
      </c>
      <c r="H341" s="183"/>
      <c r="I341" s="182"/>
      <c r="J341" s="182"/>
      <c r="K341" s="182"/>
      <c r="L341" s="182"/>
      <c r="M341" s="182"/>
      <c r="N341" s="182"/>
      <c r="O341" s="182"/>
      <c r="P341" s="182"/>
      <c r="Q341" s="182"/>
    </row>
    <row r="342" spans="1:17" ht="26.25" hidden="1" x14ac:dyDescent="0.25">
      <c r="A342" s="202">
        <v>5265</v>
      </c>
      <c r="B342" s="165">
        <v>441800</v>
      </c>
      <c r="C342" s="166" t="s">
        <v>295</v>
      </c>
      <c r="D342" s="166"/>
      <c r="E342" s="182"/>
      <c r="F342" s="182"/>
      <c r="G342" s="183">
        <f t="shared" si="90"/>
        <v>0</v>
      </c>
      <c r="H342" s="183"/>
      <c r="I342" s="182"/>
      <c r="J342" s="182"/>
      <c r="K342" s="182"/>
      <c r="L342" s="182"/>
      <c r="M342" s="182"/>
      <c r="N342" s="182"/>
      <c r="O342" s="182"/>
      <c r="P342" s="182"/>
      <c r="Q342" s="182"/>
    </row>
    <row r="343" spans="1:17" ht="26.25" hidden="1" x14ac:dyDescent="0.25">
      <c r="A343" s="202">
        <v>5266</v>
      </c>
      <c r="B343" s="165">
        <v>441900</v>
      </c>
      <c r="C343" s="166" t="s">
        <v>99</v>
      </c>
      <c r="D343" s="166"/>
      <c r="E343" s="182"/>
      <c r="F343" s="182"/>
      <c r="G343" s="183">
        <f t="shared" si="90"/>
        <v>0</v>
      </c>
      <c r="H343" s="183"/>
      <c r="I343" s="182"/>
      <c r="J343" s="182"/>
      <c r="K343" s="182"/>
      <c r="L343" s="182"/>
      <c r="M343" s="182"/>
      <c r="N343" s="182"/>
      <c r="O343" s="182"/>
      <c r="P343" s="182"/>
      <c r="Q343" s="182"/>
    </row>
    <row r="344" spans="1:17" ht="26.25" hidden="1" x14ac:dyDescent="0.25">
      <c r="A344" s="180">
        <v>5267</v>
      </c>
      <c r="B344" s="154">
        <v>442000</v>
      </c>
      <c r="C344" s="158" t="s">
        <v>296</v>
      </c>
      <c r="D344" s="158"/>
      <c r="E344" s="159">
        <f>SUM(E345:E354)</f>
        <v>0</v>
      </c>
      <c r="F344" s="159"/>
      <c r="G344" s="159">
        <f t="shared" si="90"/>
        <v>0</v>
      </c>
      <c r="H344" s="159"/>
      <c r="I344" s="159">
        <f t="shared" ref="I344:Q344" si="102">SUM(I345:I354)</f>
        <v>0</v>
      </c>
      <c r="J344" s="159">
        <f t="shared" si="102"/>
        <v>0</v>
      </c>
      <c r="K344" s="159"/>
      <c r="L344" s="159">
        <f t="shared" si="102"/>
        <v>0</v>
      </c>
      <c r="M344" s="159"/>
      <c r="N344" s="159">
        <f t="shared" si="102"/>
        <v>0</v>
      </c>
      <c r="O344" s="159">
        <f t="shared" si="102"/>
        <v>0</v>
      </c>
      <c r="P344" s="159"/>
      <c r="Q344" s="159">
        <f t="shared" si="102"/>
        <v>0</v>
      </c>
    </row>
    <row r="345" spans="1:17" ht="51.75" hidden="1" x14ac:dyDescent="0.25">
      <c r="A345" s="202">
        <v>5268</v>
      </c>
      <c r="B345" s="165">
        <v>442100</v>
      </c>
      <c r="C345" s="166" t="s">
        <v>297</v>
      </c>
      <c r="D345" s="166"/>
      <c r="E345" s="182"/>
      <c r="F345" s="182"/>
      <c r="G345" s="183">
        <f t="shared" si="90"/>
        <v>0</v>
      </c>
      <c r="H345" s="183"/>
      <c r="I345" s="182"/>
      <c r="J345" s="182"/>
      <c r="K345" s="182"/>
      <c r="L345" s="182"/>
      <c r="M345" s="182"/>
      <c r="N345" s="182"/>
      <c r="O345" s="182"/>
      <c r="P345" s="182"/>
      <c r="Q345" s="182"/>
    </row>
    <row r="346" spans="1:17" hidden="1" x14ac:dyDescent="0.25">
      <c r="A346" s="202">
        <v>5269</v>
      </c>
      <c r="B346" s="165">
        <v>442200</v>
      </c>
      <c r="C346" s="166" t="s">
        <v>298</v>
      </c>
      <c r="D346" s="166"/>
      <c r="E346" s="182"/>
      <c r="F346" s="182"/>
      <c r="G346" s="183">
        <f t="shared" si="90"/>
        <v>0</v>
      </c>
      <c r="H346" s="183"/>
      <c r="I346" s="182"/>
      <c r="J346" s="182"/>
      <c r="K346" s="182"/>
      <c r="L346" s="182"/>
      <c r="M346" s="182"/>
      <c r="N346" s="182"/>
      <c r="O346" s="182"/>
      <c r="P346" s="182"/>
      <c r="Q346" s="182"/>
    </row>
    <row r="347" spans="1:17" ht="26.25" hidden="1" x14ac:dyDescent="0.25">
      <c r="A347" s="202">
        <v>5270</v>
      </c>
      <c r="B347" s="165">
        <v>442300</v>
      </c>
      <c r="C347" s="166" t="s">
        <v>299</v>
      </c>
      <c r="D347" s="166"/>
      <c r="E347" s="182"/>
      <c r="F347" s="182"/>
      <c r="G347" s="183">
        <f t="shared" si="90"/>
        <v>0</v>
      </c>
      <c r="H347" s="183"/>
      <c r="I347" s="182"/>
      <c r="J347" s="182"/>
      <c r="K347" s="182"/>
      <c r="L347" s="182"/>
      <c r="M347" s="182"/>
      <c r="N347" s="182"/>
      <c r="O347" s="182"/>
      <c r="P347" s="182"/>
      <c r="Q347" s="182"/>
    </row>
    <row r="348" spans="1:17" ht="26.25" hidden="1" x14ac:dyDescent="0.25">
      <c r="A348" s="202">
        <v>5271</v>
      </c>
      <c r="B348" s="165">
        <v>442400</v>
      </c>
      <c r="C348" s="166" t="s">
        <v>300</v>
      </c>
      <c r="D348" s="166"/>
      <c r="E348" s="182"/>
      <c r="F348" s="182"/>
      <c r="G348" s="183">
        <f t="shared" si="90"/>
        <v>0</v>
      </c>
      <c r="H348" s="183"/>
      <c r="I348" s="182"/>
      <c r="J348" s="182"/>
      <c r="K348" s="182"/>
      <c r="L348" s="182"/>
      <c r="M348" s="182"/>
      <c r="N348" s="182"/>
      <c r="O348" s="182"/>
      <c r="P348" s="182"/>
      <c r="Q348" s="182"/>
    </row>
    <row r="349" spans="1:17" hidden="1" x14ac:dyDescent="0.25">
      <c r="A349" s="598" t="s">
        <v>0</v>
      </c>
      <c r="B349" s="599" t="s">
        <v>1</v>
      </c>
      <c r="C349" s="598" t="s">
        <v>2</v>
      </c>
      <c r="D349" s="179"/>
      <c r="E349" s="598" t="s">
        <v>217</v>
      </c>
      <c r="F349" s="179"/>
      <c r="G349" s="600" t="s">
        <v>198</v>
      </c>
      <c r="H349" s="600"/>
      <c r="I349" s="601"/>
      <c r="J349" s="601"/>
      <c r="K349" s="601"/>
      <c r="L349" s="601"/>
      <c r="M349" s="601"/>
      <c r="N349" s="601"/>
      <c r="O349" s="601"/>
      <c r="P349" s="601"/>
      <c r="Q349" s="601"/>
    </row>
    <row r="350" spans="1:17" hidden="1" x14ac:dyDescent="0.25">
      <c r="A350" s="598"/>
      <c r="B350" s="599"/>
      <c r="C350" s="598"/>
      <c r="D350" s="179"/>
      <c r="E350" s="598"/>
      <c r="F350" s="179"/>
      <c r="G350" s="600" t="s">
        <v>199</v>
      </c>
      <c r="H350" s="154"/>
      <c r="I350" s="600" t="s">
        <v>200</v>
      </c>
      <c r="J350" s="601"/>
      <c r="K350" s="601"/>
      <c r="L350" s="601"/>
      <c r="M350" s="601"/>
      <c r="N350" s="601"/>
      <c r="O350" s="600" t="s">
        <v>7</v>
      </c>
      <c r="P350" s="154"/>
      <c r="Q350" s="600" t="s">
        <v>8</v>
      </c>
    </row>
    <row r="351" spans="1:17" ht="39" hidden="1" x14ac:dyDescent="0.25">
      <c r="A351" s="598"/>
      <c r="B351" s="599"/>
      <c r="C351" s="598"/>
      <c r="D351" s="179"/>
      <c r="E351" s="598"/>
      <c r="F351" s="179"/>
      <c r="G351" s="601"/>
      <c r="H351" s="203"/>
      <c r="I351" s="154" t="s">
        <v>201</v>
      </c>
      <c r="J351" s="154" t="s">
        <v>10</v>
      </c>
      <c r="K351" s="154"/>
      <c r="L351" s="154" t="s">
        <v>11</v>
      </c>
      <c r="M351" s="154"/>
      <c r="N351" s="154" t="s">
        <v>12</v>
      </c>
      <c r="O351" s="601"/>
      <c r="P351" s="203"/>
      <c r="Q351" s="601"/>
    </row>
    <row r="352" spans="1:17" ht="26.25" hidden="1" x14ac:dyDescent="0.25">
      <c r="A352" s="176" t="s">
        <v>18</v>
      </c>
      <c r="B352" s="176" t="s">
        <v>19</v>
      </c>
      <c r="C352" s="176" t="s">
        <v>20</v>
      </c>
      <c r="D352" s="176"/>
      <c r="E352" s="176" t="s">
        <v>21</v>
      </c>
      <c r="F352" s="176"/>
      <c r="G352" s="176" t="s">
        <v>22</v>
      </c>
      <c r="H352" s="176"/>
      <c r="I352" s="176" t="s">
        <v>23</v>
      </c>
      <c r="J352" s="176" t="s">
        <v>24</v>
      </c>
      <c r="K352" s="176"/>
      <c r="L352" s="176" t="s">
        <v>25</v>
      </c>
      <c r="M352" s="176"/>
      <c r="N352" s="176" t="s">
        <v>26</v>
      </c>
      <c r="O352" s="176" t="s">
        <v>27</v>
      </c>
      <c r="P352" s="176"/>
      <c r="Q352" s="176" t="s">
        <v>28</v>
      </c>
    </row>
    <row r="353" spans="1:17" ht="26.25" hidden="1" x14ac:dyDescent="0.25">
      <c r="A353" s="202">
        <v>5272</v>
      </c>
      <c r="B353" s="165">
        <v>442500</v>
      </c>
      <c r="C353" s="166" t="s">
        <v>301</v>
      </c>
      <c r="D353" s="166"/>
      <c r="E353" s="182"/>
      <c r="F353" s="182"/>
      <c r="G353" s="183">
        <f t="shared" si="90"/>
        <v>0</v>
      </c>
      <c r="H353" s="183"/>
      <c r="I353" s="182"/>
      <c r="J353" s="182"/>
      <c r="K353" s="182"/>
      <c r="L353" s="182"/>
      <c r="M353" s="182"/>
      <c r="N353" s="182"/>
      <c r="O353" s="182"/>
      <c r="P353" s="182"/>
      <c r="Q353" s="182"/>
    </row>
    <row r="354" spans="1:17" ht="26.25" hidden="1" x14ac:dyDescent="0.25">
      <c r="A354" s="202">
        <v>5273</v>
      </c>
      <c r="B354" s="165">
        <v>442600</v>
      </c>
      <c r="C354" s="166" t="s">
        <v>302</v>
      </c>
      <c r="D354" s="166"/>
      <c r="E354" s="182"/>
      <c r="F354" s="182"/>
      <c r="G354" s="183">
        <f t="shared" si="90"/>
        <v>0</v>
      </c>
      <c r="H354" s="183"/>
      <c r="I354" s="182"/>
      <c r="J354" s="182"/>
      <c r="K354" s="182"/>
      <c r="L354" s="182"/>
      <c r="M354" s="182"/>
      <c r="N354" s="182"/>
      <c r="O354" s="182"/>
      <c r="P354" s="182"/>
      <c r="Q354" s="182"/>
    </row>
    <row r="355" spans="1:17" ht="26.25" hidden="1" x14ac:dyDescent="0.25">
      <c r="A355" s="180">
        <v>5274</v>
      </c>
      <c r="B355" s="154">
        <v>443000</v>
      </c>
      <c r="C355" s="158" t="s">
        <v>303</v>
      </c>
      <c r="D355" s="158"/>
      <c r="E355" s="159">
        <f>E356</f>
        <v>0</v>
      </c>
      <c r="F355" s="159"/>
      <c r="G355" s="159">
        <f t="shared" si="90"/>
        <v>0</v>
      </c>
      <c r="H355" s="159"/>
      <c r="I355" s="159">
        <f t="shared" ref="I355:Q355" si="103">I356</f>
        <v>0</v>
      </c>
      <c r="J355" s="159">
        <f t="shared" si="103"/>
        <v>0</v>
      </c>
      <c r="K355" s="159"/>
      <c r="L355" s="159">
        <f t="shared" si="103"/>
        <v>0</v>
      </c>
      <c r="M355" s="159"/>
      <c r="N355" s="159">
        <f t="shared" si="103"/>
        <v>0</v>
      </c>
      <c r="O355" s="159">
        <f t="shared" si="103"/>
        <v>0</v>
      </c>
      <c r="P355" s="159"/>
      <c r="Q355" s="159">
        <f t="shared" si="103"/>
        <v>0</v>
      </c>
    </row>
    <row r="356" spans="1:17" hidden="1" x14ac:dyDescent="0.25">
      <c r="A356" s="202">
        <v>5275</v>
      </c>
      <c r="B356" s="165">
        <v>443100</v>
      </c>
      <c r="C356" s="166" t="s">
        <v>304</v>
      </c>
      <c r="D356" s="166"/>
      <c r="E356" s="182"/>
      <c r="F356" s="182"/>
      <c r="G356" s="183">
        <f t="shared" si="90"/>
        <v>0</v>
      </c>
      <c r="H356" s="183"/>
      <c r="I356" s="182"/>
      <c r="J356" s="182"/>
      <c r="K356" s="182"/>
      <c r="L356" s="182"/>
      <c r="M356" s="182"/>
      <c r="N356" s="182"/>
      <c r="O356" s="182"/>
      <c r="P356" s="182"/>
      <c r="Q356" s="182"/>
    </row>
    <row r="357" spans="1:17" ht="39" hidden="1" x14ac:dyDescent="0.25">
      <c r="A357" s="180">
        <v>5276</v>
      </c>
      <c r="B357" s="154">
        <v>444000</v>
      </c>
      <c r="C357" s="158" t="s">
        <v>305</v>
      </c>
      <c r="D357" s="158"/>
      <c r="E357" s="159">
        <f>SUM(E358:E360)</f>
        <v>0</v>
      </c>
      <c r="F357" s="159"/>
      <c r="G357" s="159">
        <f t="shared" si="90"/>
        <v>0</v>
      </c>
      <c r="H357" s="159"/>
      <c r="I357" s="159">
        <f t="shared" ref="I357:Q357" si="104">SUM(I358:I360)</f>
        <v>0</v>
      </c>
      <c r="J357" s="159">
        <f t="shared" si="104"/>
        <v>0</v>
      </c>
      <c r="K357" s="159"/>
      <c r="L357" s="159">
        <f t="shared" si="104"/>
        <v>0</v>
      </c>
      <c r="M357" s="159"/>
      <c r="N357" s="159">
        <f t="shared" si="104"/>
        <v>0</v>
      </c>
      <c r="O357" s="159">
        <f t="shared" si="104"/>
        <v>0</v>
      </c>
      <c r="P357" s="159"/>
      <c r="Q357" s="159">
        <f t="shared" si="104"/>
        <v>0</v>
      </c>
    </row>
    <row r="358" spans="1:17" hidden="1" x14ac:dyDescent="0.25">
      <c r="A358" s="202">
        <v>5277</v>
      </c>
      <c r="B358" s="165">
        <v>444100</v>
      </c>
      <c r="C358" s="166" t="s">
        <v>306</v>
      </c>
      <c r="D358" s="166"/>
      <c r="E358" s="182"/>
      <c r="F358" s="182"/>
      <c r="G358" s="183">
        <f t="shared" si="90"/>
        <v>0</v>
      </c>
      <c r="H358" s="183"/>
      <c r="I358" s="182"/>
      <c r="J358" s="182"/>
      <c r="K358" s="182"/>
      <c r="L358" s="182"/>
      <c r="M358" s="182"/>
      <c r="N358" s="182"/>
      <c r="O358" s="182"/>
      <c r="P358" s="182"/>
      <c r="Q358" s="182"/>
    </row>
    <row r="359" spans="1:17" hidden="1" x14ac:dyDescent="0.25">
      <c r="A359" s="202">
        <v>5278</v>
      </c>
      <c r="B359" s="165">
        <v>444200</v>
      </c>
      <c r="C359" s="166" t="s">
        <v>307</v>
      </c>
      <c r="D359" s="166"/>
      <c r="E359" s="182"/>
      <c r="F359" s="182"/>
      <c r="G359" s="183">
        <f t="shared" si="90"/>
        <v>0</v>
      </c>
      <c r="H359" s="183"/>
      <c r="I359" s="182"/>
      <c r="J359" s="182"/>
      <c r="K359" s="182"/>
      <c r="L359" s="182"/>
      <c r="M359" s="182"/>
      <c r="N359" s="182"/>
      <c r="O359" s="182"/>
      <c r="P359" s="182"/>
      <c r="Q359" s="182"/>
    </row>
    <row r="360" spans="1:17" ht="26.25" hidden="1" x14ac:dyDescent="0.25">
      <c r="A360" s="202">
        <v>5279</v>
      </c>
      <c r="B360" s="165">
        <v>444300</v>
      </c>
      <c r="C360" s="166" t="s">
        <v>308</v>
      </c>
      <c r="D360" s="166"/>
      <c r="E360" s="182"/>
      <c r="F360" s="182"/>
      <c r="G360" s="183">
        <f t="shared" si="90"/>
        <v>0</v>
      </c>
      <c r="H360" s="183"/>
      <c r="I360" s="182"/>
      <c r="J360" s="182"/>
      <c r="K360" s="182"/>
      <c r="L360" s="182"/>
      <c r="M360" s="182"/>
      <c r="N360" s="182"/>
      <c r="O360" s="182"/>
      <c r="P360" s="182"/>
      <c r="Q360" s="182"/>
    </row>
    <row r="361" spans="1:17" ht="26.25" hidden="1" x14ac:dyDescent="0.25">
      <c r="A361" s="180">
        <v>5280</v>
      </c>
      <c r="B361" s="154">
        <v>450000</v>
      </c>
      <c r="C361" s="158" t="s">
        <v>309</v>
      </c>
      <c r="D361" s="158"/>
      <c r="E361" s="159">
        <f>E362+E365+E368+E371</f>
        <v>0</v>
      </c>
      <c r="F361" s="159"/>
      <c r="G361" s="159">
        <f t="shared" si="90"/>
        <v>0</v>
      </c>
      <c r="H361" s="159"/>
      <c r="I361" s="159">
        <f t="shared" ref="I361:Q361" si="105">I362+I365+I368+I371</f>
        <v>0</v>
      </c>
      <c r="J361" s="159">
        <f t="shared" si="105"/>
        <v>0</v>
      </c>
      <c r="K361" s="159"/>
      <c r="L361" s="159">
        <f t="shared" si="105"/>
        <v>0</v>
      </c>
      <c r="M361" s="159"/>
      <c r="N361" s="159">
        <f t="shared" si="105"/>
        <v>0</v>
      </c>
      <c r="O361" s="159">
        <f t="shared" si="105"/>
        <v>0</v>
      </c>
      <c r="P361" s="159"/>
      <c r="Q361" s="159">
        <f t="shared" si="105"/>
        <v>0</v>
      </c>
    </row>
    <row r="362" spans="1:17" ht="64.5" hidden="1" x14ac:dyDescent="0.25">
      <c r="A362" s="180">
        <v>5281</v>
      </c>
      <c r="B362" s="154">
        <v>451000</v>
      </c>
      <c r="C362" s="158" t="s">
        <v>310</v>
      </c>
      <c r="D362" s="158"/>
      <c r="E362" s="159">
        <f>E363+E364</f>
        <v>0</v>
      </c>
      <c r="F362" s="159"/>
      <c r="G362" s="159">
        <f t="shared" si="90"/>
        <v>0</v>
      </c>
      <c r="H362" s="159"/>
      <c r="I362" s="159">
        <f t="shared" ref="I362:Q362" si="106">I363+I364</f>
        <v>0</v>
      </c>
      <c r="J362" s="159">
        <f t="shared" si="106"/>
        <v>0</v>
      </c>
      <c r="K362" s="159"/>
      <c r="L362" s="159">
        <f t="shared" si="106"/>
        <v>0</v>
      </c>
      <c r="M362" s="159"/>
      <c r="N362" s="159">
        <f t="shared" si="106"/>
        <v>0</v>
      </c>
      <c r="O362" s="159">
        <f t="shared" si="106"/>
        <v>0</v>
      </c>
      <c r="P362" s="159"/>
      <c r="Q362" s="159">
        <f t="shared" si="106"/>
        <v>0</v>
      </c>
    </row>
    <row r="363" spans="1:17" ht="39" hidden="1" x14ac:dyDescent="0.25">
      <c r="A363" s="202">
        <v>5282</v>
      </c>
      <c r="B363" s="165">
        <v>451100</v>
      </c>
      <c r="C363" s="166" t="s">
        <v>311</v>
      </c>
      <c r="D363" s="166"/>
      <c r="E363" s="182"/>
      <c r="F363" s="182"/>
      <c r="G363" s="183">
        <f t="shared" si="90"/>
        <v>0</v>
      </c>
      <c r="H363" s="183"/>
      <c r="I363" s="182"/>
      <c r="J363" s="182"/>
      <c r="K363" s="182"/>
      <c r="L363" s="182"/>
      <c r="M363" s="182"/>
      <c r="N363" s="182"/>
      <c r="O363" s="182"/>
      <c r="P363" s="182"/>
      <c r="Q363" s="182"/>
    </row>
    <row r="364" spans="1:17" ht="39" hidden="1" x14ac:dyDescent="0.25">
      <c r="A364" s="202">
        <v>5283</v>
      </c>
      <c r="B364" s="165">
        <v>451200</v>
      </c>
      <c r="C364" s="166" t="s">
        <v>312</v>
      </c>
      <c r="D364" s="166"/>
      <c r="E364" s="182"/>
      <c r="F364" s="182"/>
      <c r="G364" s="183">
        <f t="shared" si="90"/>
        <v>0</v>
      </c>
      <c r="H364" s="183"/>
      <c r="I364" s="182"/>
      <c r="J364" s="182"/>
      <c r="K364" s="182"/>
      <c r="L364" s="182"/>
      <c r="M364" s="182"/>
      <c r="N364" s="182"/>
      <c r="O364" s="182"/>
      <c r="P364" s="182"/>
      <c r="Q364" s="182"/>
    </row>
    <row r="365" spans="1:17" ht="51.75" hidden="1" x14ac:dyDescent="0.25">
      <c r="A365" s="180">
        <v>5284</v>
      </c>
      <c r="B365" s="154">
        <v>452000</v>
      </c>
      <c r="C365" s="158" t="s">
        <v>313</v>
      </c>
      <c r="D365" s="158"/>
      <c r="E365" s="159">
        <f>E366+E367</f>
        <v>0</v>
      </c>
      <c r="F365" s="159"/>
      <c r="G365" s="159">
        <f t="shared" si="90"/>
        <v>0</v>
      </c>
      <c r="H365" s="159"/>
      <c r="I365" s="159">
        <f t="shared" ref="I365:Q365" si="107">I366+I367</f>
        <v>0</v>
      </c>
      <c r="J365" s="159">
        <f t="shared" si="107"/>
        <v>0</v>
      </c>
      <c r="K365" s="159"/>
      <c r="L365" s="159">
        <f t="shared" si="107"/>
        <v>0</v>
      </c>
      <c r="M365" s="159"/>
      <c r="N365" s="159">
        <f t="shared" si="107"/>
        <v>0</v>
      </c>
      <c r="O365" s="159">
        <f t="shared" si="107"/>
        <v>0</v>
      </c>
      <c r="P365" s="159"/>
      <c r="Q365" s="159">
        <f t="shared" si="107"/>
        <v>0</v>
      </c>
    </row>
    <row r="366" spans="1:17" ht="26.25" hidden="1" x14ac:dyDescent="0.25">
      <c r="A366" s="202">
        <v>5285</v>
      </c>
      <c r="B366" s="165">
        <v>452100</v>
      </c>
      <c r="C366" s="166" t="s">
        <v>314</v>
      </c>
      <c r="D366" s="166"/>
      <c r="E366" s="182"/>
      <c r="F366" s="182"/>
      <c r="G366" s="183">
        <f t="shared" si="90"/>
        <v>0</v>
      </c>
      <c r="H366" s="183"/>
      <c r="I366" s="182"/>
      <c r="J366" s="182"/>
      <c r="K366" s="182"/>
      <c r="L366" s="182"/>
      <c r="M366" s="182"/>
      <c r="N366" s="182"/>
      <c r="O366" s="182"/>
      <c r="P366" s="182"/>
      <c r="Q366" s="182"/>
    </row>
    <row r="367" spans="1:17" ht="26.25" hidden="1" x14ac:dyDescent="0.25">
      <c r="A367" s="202">
        <v>5286</v>
      </c>
      <c r="B367" s="165">
        <v>452200</v>
      </c>
      <c r="C367" s="166" t="s">
        <v>315</v>
      </c>
      <c r="D367" s="166"/>
      <c r="E367" s="182"/>
      <c r="F367" s="182"/>
      <c r="G367" s="183">
        <f t="shared" si="90"/>
        <v>0</v>
      </c>
      <c r="H367" s="183"/>
      <c r="I367" s="182"/>
      <c r="J367" s="182"/>
      <c r="K367" s="182"/>
      <c r="L367" s="182"/>
      <c r="M367" s="182"/>
      <c r="N367" s="182"/>
      <c r="O367" s="182"/>
      <c r="P367" s="182"/>
      <c r="Q367" s="182"/>
    </row>
    <row r="368" spans="1:17" ht="51.75" hidden="1" x14ac:dyDescent="0.25">
      <c r="A368" s="180">
        <v>5287</v>
      </c>
      <c r="B368" s="154">
        <v>453000</v>
      </c>
      <c r="C368" s="158" t="s">
        <v>316</v>
      </c>
      <c r="D368" s="158"/>
      <c r="E368" s="159">
        <f>E369+E370</f>
        <v>0</v>
      </c>
      <c r="F368" s="159"/>
      <c r="G368" s="159">
        <f t="shared" si="90"/>
        <v>0</v>
      </c>
      <c r="H368" s="159"/>
      <c r="I368" s="159">
        <f t="shared" ref="I368:Q368" si="108">I369+I370</f>
        <v>0</v>
      </c>
      <c r="J368" s="159">
        <f t="shared" si="108"/>
        <v>0</v>
      </c>
      <c r="K368" s="159"/>
      <c r="L368" s="159">
        <f t="shared" si="108"/>
        <v>0</v>
      </c>
      <c r="M368" s="159"/>
      <c r="N368" s="159">
        <f t="shared" si="108"/>
        <v>0</v>
      </c>
      <c r="O368" s="159">
        <f t="shared" si="108"/>
        <v>0</v>
      </c>
      <c r="P368" s="159"/>
      <c r="Q368" s="159">
        <f t="shared" si="108"/>
        <v>0</v>
      </c>
    </row>
    <row r="369" spans="1:17" ht="26.25" hidden="1" x14ac:dyDescent="0.25">
      <c r="A369" s="202">
        <v>5288</v>
      </c>
      <c r="B369" s="165">
        <v>453100</v>
      </c>
      <c r="C369" s="166" t="s">
        <v>317</v>
      </c>
      <c r="D369" s="166"/>
      <c r="E369" s="182"/>
      <c r="F369" s="182"/>
      <c r="G369" s="183">
        <f t="shared" si="90"/>
        <v>0</v>
      </c>
      <c r="H369" s="183"/>
      <c r="I369" s="182"/>
      <c r="J369" s="182"/>
      <c r="K369" s="182"/>
      <c r="L369" s="182"/>
      <c r="M369" s="182"/>
      <c r="N369" s="182"/>
      <c r="O369" s="182"/>
      <c r="P369" s="182"/>
      <c r="Q369" s="182"/>
    </row>
    <row r="370" spans="1:17" ht="26.25" hidden="1" x14ac:dyDescent="0.25">
      <c r="A370" s="202">
        <v>5289</v>
      </c>
      <c r="B370" s="165">
        <v>453200</v>
      </c>
      <c r="C370" s="166" t="s">
        <v>318</v>
      </c>
      <c r="D370" s="166"/>
      <c r="E370" s="182"/>
      <c r="F370" s="182"/>
      <c r="G370" s="183">
        <f t="shared" si="90"/>
        <v>0</v>
      </c>
      <c r="H370" s="183"/>
      <c r="I370" s="182"/>
      <c r="J370" s="182"/>
      <c r="K370" s="182"/>
      <c r="L370" s="182"/>
      <c r="M370" s="182"/>
      <c r="N370" s="182"/>
      <c r="O370" s="182"/>
      <c r="P370" s="182"/>
      <c r="Q370" s="182"/>
    </row>
    <row r="371" spans="1:17" ht="26.25" hidden="1" x14ac:dyDescent="0.25">
      <c r="A371" s="180">
        <v>5290</v>
      </c>
      <c r="B371" s="154">
        <v>454000</v>
      </c>
      <c r="C371" s="158" t="s">
        <v>319</v>
      </c>
      <c r="D371" s="158"/>
      <c r="E371" s="159">
        <f>E372+E373</f>
        <v>0</v>
      </c>
      <c r="F371" s="159"/>
      <c r="G371" s="159">
        <f t="shared" si="90"/>
        <v>0</v>
      </c>
      <c r="H371" s="159"/>
      <c r="I371" s="159">
        <f t="shared" ref="I371:Q371" si="109">I372+I373</f>
        <v>0</v>
      </c>
      <c r="J371" s="159">
        <f t="shared" si="109"/>
        <v>0</v>
      </c>
      <c r="K371" s="159"/>
      <c r="L371" s="159">
        <f t="shared" si="109"/>
        <v>0</v>
      </c>
      <c r="M371" s="159"/>
      <c r="N371" s="159">
        <f t="shared" si="109"/>
        <v>0</v>
      </c>
      <c r="O371" s="159">
        <f t="shared" si="109"/>
        <v>0</v>
      </c>
      <c r="P371" s="159"/>
      <c r="Q371" s="159">
        <f t="shared" si="109"/>
        <v>0</v>
      </c>
    </row>
    <row r="372" spans="1:17" ht="26.25" hidden="1" x14ac:dyDescent="0.25">
      <c r="A372" s="202">
        <v>5291</v>
      </c>
      <c r="B372" s="165">
        <v>454100</v>
      </c>
      <c r="C372" s="166" t="s">
        <v>320</v>
      </c>
      <c r="D372" s="166"/>
      <c r="E372" s="182"/>
      <c r="F372" s="182"/>
      <c r="G372" s="183">
        <f t="shared" si="90"/>
        <v>0</v>
      </c>
      <c r="H372" s="183"/>
      <c r="I372" s="182"/>
      <c r="J372" s="182"/>
      <c r="K372" s="182"/>
      <c r="L372" s="182"/>
      <c r="M372" s="182"/>
      <c r="N372" s="182"/>
      <c r="O372" s="182"/>
      <c r="P372" s="182"/>
      <c r="Q372" s="182"/>
    </row>
    <row r="373" spans="1:17" ht="26.25" hidden="1" x14ac:dyDescent="0.25">
      <c r="A373" s="202">
        <v>5292</v>
      </c>
      <c r="B373" s="165">
        <v>454200</v>
      </c>
      <c r="C373" s="166" t="s">
        <v>321</v>
      </c>
      <c r="D373" s="166"/>
      <c r="E373" s="182"/>
      <c r="F373" s="182"/>
      <c r="G373" s="183">
        <f t="shared" si="90"/>
        <v>0</v>
      </c>
      <c r="H373" s="183"/>
      <c r="I373" s="182"/>
      <c r="J373" s="182"/>
      <c r="K373" s="182"/>
      <c r="L373" s="182"/>
      <c r="M373" s="182"/>
      <c r="N373" s="182"/>
      <c r="O373" s="182"/>
      <c r="P373" s="182"/>
      <c r="Q373" s="182"/>
    </row>
    <row r="374" spans="1:17" ht="39" x14ac:dyDescent="0.25">
      <c r="A374" s="180">
        <v>5293</v>
      </c>
      <c r="B374" s="154">
        <v>460000</v>
      </c>
      <c r="C374" s="158" t="s">
        <v>322</v>
      </c>
      <c r="D374" s="158"/>
      <c r="E374" s="159">
        <f>E379+E382+E385+E388+E391</f>
        <v>7410</v>
      </c>
      <c r="F374" s="159">
        <f t="shared" ref="F374:Q374" si="110">F379+F382+F385+F388+F391</f>
        <v>7710</v>
      </c>
      <c r="G374" s="159">
        <f t="shared" si="110"/>
        <v>7410</v>
      </c>
      <c r="H374" s="183">
        <f t="shared" si="110"/>
        <v>0</v>
      </c>
      <c r="I374" s="159">
        <f t="shared" si="110"/>
        <v>0</v>
      </c>
      <c r="J374" s="159">
        <f t="shared" si="110"/>
        <v>0</v>
      </c>
      <c r="K374" s="159">
        <f t="shared" si="110"/>
        <v>0</v>
      </c>
      <c r="L374" s="159">
        <f t="shared" si="110"/>
        <v>0</v>
      </c>
      <c r="M374" s="159">
        <f t="shared" si="110"/>
        <v>7710</v>
      </c>
      <c r="N374" s="159">
        <f t="shared" si="110"/>
        <v>7410</v>
      </c>
      <c r="O374" s="159">
        <f t="shared" si="110"/>
        <v>0</v>
      </c>
      <c r="P374" s="159">
        <f t="shared" si="110"/>
        <v>0</v>
      </c>
      <c r="Q374" s="159">
        <f t="shared" si="110"/>
        <v>0</v>
      </c>
    </row>
    <row r="375" spans="1:17" hidden="1" x14ac:dyDescent="0.25">
      <c r="A375" s="598" t="s">
        <v>0</v>
      </c>
      <c r="B375" s="599" t="s">
        <v>1</v>
      </c>
      <c r="C375" s="598" t="s">
        <v>2</v>
      </c>
      <c r="D375" s="179"/>
      <c r="E375" s="598" t="s">
        <v>217</v>
      </c>
      <c r="F375" s="179"/>
      <c r="G375" s="600" t="s">
        <v>198</v>
      </c>
      <c r="H375" s="600"/>
      <c r="I375" s="601"/>
      <c r="J375" s="601"/>
      <c r="K375" s="601"/>
      <c r="L375" s="601"/>
      <c r="M375" s="601"/>
      <c r="N375" s="601"/>
      <c r="O375" s="601"/>
      <c r="P375" s="601"/>
      <c r="Q375" s="601"/>
    </row>
    <row r="376" spans="1:17" hidden="1" x14ac:dyDescent="0.25">
      <c r="A376" s="598"/>
      <c r="B376" s="599"/>
      <c r="C376" s="598"/>
      <c r="D376" s="179"/>
      <c r="E376" s="598"/>
      <c r="F376" s="179"/>
      <c r="G376" s="600" t="s">
        <v>199</v>
      </c>
      <c r="H376" s="154"/>
      <c r="I376" s="600" t="s">
        <v>200</v>
      </c>
      <c r="J376" s="601"/>
      <c r="K376" s="601"/>
      <c r="L376" s="601"/>
      <c r="M376" s="601"/>
      <c r="N376" s="601"/>
      <c r="O376" s="600" t="s">
        <v>7</v>
      </c>
      <c r="P376" s="154"/>
      <c r="Q376" s="600" t="s">
        <v>8</v>
      </c>
    </row>
    <row r="377" spans="1:17" ht="39" hidden="1" x14ac:dyDescent="0.25">
      <c r="A377" s="598"/>
      <c r="B377" s="599"/>
      <c r="C377" s="598"/>
      <c r="D377" s="179"/>
      <c r="E377" s="598"/>
      <c r="F377" s="179"/>
      <c r="G377" s="601"/>
      <c r="H377" s="203"/>
      <c r="I377" s="154" t="s">
        <v>201</v>
      </c>
      <c r="J377" s="154" t="s">
        <v>10</v>
      </c>
      <c r="K377" s="154"/>
      <c r="L377" s="154" t="s">
        <v>11</v>
      </c>
      <c r="M377" s="154"/>
      <c r="N377" s="154" t="s">
        <v>12</v>
      </c>
      <c r="O377" s="601"/>
      <c r="P377" s="203"/>
      <c r="Q377" s="601"/>
    </row>
    <row r="378" spans="1:17" ht="26.25" hidden="1" x14ac:dyDescent="0.25">
      <c r="A378" s="176" t="s">
        <v>18</v>
      </c>
      <c r="B378" s="176" t="s">
        <v>19</v>
      </c>
      <c r="C378" s="176" t="s">
        <v>20</v>
      </c>
      <c r="D378" s="176"/>
      <c r="E378" s="176" t="s">
        <v>21</v>
      </c>
      <c r="F378" s="176"/>
      <c r="G378" s="176" t="s">
        <v>22</v>
      </c>
      <c r="H378" s="176"/>
      <c r="I378" s="176" t="s">
        <v>23</v>
      </c>
      <c r="J378" s="176" t="s">
        <v>24</v>
      </c>
      <c r="K378" s="176"/>
      <c r="L378" s="176" t="s">
        <v>25</v>
      </c>
      <c r="M378" s="176"/>
      <c r="N378" s="176" t="s">
        <v>26</v>
      </c>
      <c r="O378" s="176" t="s">
        <v>27</v>
      </c>
      <c r="P378" s="176"/>
      <c r="Q378" s="176" t="s">
        <v>28</v>
      </c>
    </row>
    <row r="379" spans="1:17" ht="26.25" hidden="1" x14ac:dyDescent="0.25">
      <c r="A379" s="180">
        <v>5294</v>
      </c>
      <c r="B379" s="154">
        <v>461000</v>
      </c>
      <c r="C379" s="158" t="s">
        <v>323</v>
      </c>
      <c r="D379" s="158"/>
      <c r="E379" s="159">
        <f>E380+E381</f>
        <v>0</v>
      </c>
      <c r="F379" s="159"/>
      <c r="G379" s="159">
        <f t="shared" si="90"/>
        <v>0</v>
      </c>
      <c r="H379" s="159"/>
      <c r="I379" s="159">
        <f t="shared" ref="I379:Q379" si="111">I380+I381</f>
        <v>0</v>
      </c>
      <c r="J379" s="159">
        <f t="shared" si="111"/>
        <v>0</v>
      </c>
      <c r="K379" s="159"/>
      <c r="L379" s="159">
        <f t="shared" si="111"/>
        <v>0</v>
      </c>
      <c r="M379" s="159"/>
      <c r="N379" s="159">
        <f t="shared" si="111"/>
        <v>0</v>
      </c>
      <c r="O379" s="159">
        <f t="shared" si="111"/>
        <v>0</v>
      </c>
      <c r="P379" s="159"/>
      <c r="Q379" s="159">
        <f t="shared" si="111"/>
        <v>0</v>
      </c>
    </row>
    <row r="380" spans="1:17" ht="26.25" hidden="1" x14ac:dyDescent="0.25">
      <c r="A380" s="202">
        <v>5295</v>
      </c>
      <c r="B380" s="165">
        <v>461100</v>
      </c>
      <c r="C380" s="166" t="s">
        <v>324</v>
      </c>
      <c r="D380" s="166"/>
      <c r="E380" s="182"/>
      <c r="F380" s="182"/>
      <c r="G380" s="183">
        <f t="shared" si="90"/>
        <v>0</v>
      </c>
      <c r="H380" s="183"/>
      <c r="I380" s="182"/>
      <c r="J380" s="182"/>
      <c r="K380" s="182"/>
      <c r="L380" s="182"/>
      <c r="M380" s="182"/>
      <c r="N380" s="182"/>
      <c r="O380" s="182"/>
      <c r="P380" s="182"/>
      <c r="Q380" s="182"/>
    </row>
    <row r="381" spans="1:17" ht="26.25" hidden="1" x14ac:dyDescent="0.25">
      <c r="A381" s="202">
        <v>5296</v>
      </c>
      <c r="B381" s="165">
        <v>461200</v>
      </c>
      <c r="C381" s="166" t="s">
        <v>325</v>
      </c>
      <c r="D381" s="166"/>
      <c r="E381" s="182"/>
      <c r="F381" s="182"/>
      <c r="G381" s="183">
        <f t="shared" si="90"/>
        <v>0</v>
      </c>
      <c r="H381" s="183"/>
      <c r="I381" s="182"/>
      <c r="J381" s="182"/>
      <c r="K381" s="182"/>
      <c r="L381" s="182"/>
      <c r="M381" s="182"/>
      <c r="N381" s="182"/>
      <c r="O381" s="182"/>
      <c r="P381" s="182"/>
      <c r="Q381" s="182"/>
    </row>
    <row r="382" spans="1:17" ht="39" hidden="1" x14ac:dyDescent="0.25">
      <c r="A382" s="180">
        <v>5297</v>
      </c>
      <c r="B382" s="154">
        <v>462000</v>
      </c>
      <c r="C382" s="158" t="s">
        <v>326</v>
      </c>
      <c r="D382" s="158"/>
      <c r="E382" s="159">
        <f>E383+E384</f>
        <v>0</v>
      </c>
      <c r="F382" s="159"/>
      <c r="G382" s="159">
        <f t="shared" si="90"/>
        <v>0</v>
      </c>
      <c r="H382" s="159"/>
      <c r="I382" s="159">
        <f t="shared" ref="I382:Q382" si="112">I383+I384</f>
        <v>0</v>
      </c>
      <c r="J382" s="159">
        <f t="shared" si="112"/>
        <v>0</v>
      </c>
      <c r="K382" s="159"/>
      <c r="L382" s="159">
        <f t="shared" si="112"/>
        <v>0</v>
      </c>
      <c r="M382" s="159"/>
      <c r="N382" s="159">
        <f t="shared" si="112"/>
        <v>0</v>
      </c>
      <c r="O382" s="159">
        <f t="shared" si="112"/>
        <v>0</v>
      </c>
      <c r="P382" s="159"/>
      <c r="Q382" s="159">
        <f t="shared" si="112"/>
        <v>0</v>
      </c>
    </row>
    <row r="383" spans="1:17" ht="26.25" hidden="1" x14ac:dyDescent="0.25">
      <c r="A383" s="202">
        <v>5298</v>
      </c>
      <c r="B383" s="165">
        <v>462100</v>
      </c>
      <c r="C383" s="166" t="s">
        <v>327</v>
      </c>
      <c r="D383" s="166"/>
      <c r="E383" s="182"/>
      <c r="F383" s="182"/>
      <c r="G383" s="183">
        <f t="shared" si="90"/>
        <v>0</v>
      </c>
      <c r="H383" s="183"/>
      <c r="I383" s="182"/>
      <c r="J383" s="182"/>
      <c r="K383" s="182"/>
      <c r="L383" s="182"/>
      <c r="M383" s="182"/>
      <c r="N383" s="182"/>
      <c r="O383" s="182"/>
      <c r="P383" s="182"/>
      <c r="Q383" s="182"/>
    </row>
    <row r="384" spans="1:17" ht="26.25" hidden="1" x14ac:dyDescent="0.25">
      <c r="A384" s="202">
        <v>5299</v>
      </c>
      <c r="B384" s="165">
        <v>462200</v>
      </c>
      <c r="C384" s="166" t="s">
        <v>328</v>
      </c>
      <c r="D384" s="166"/>
      <c r="E384" s="182"/>
      <c r="F384" s="182"/>
      <c r="G384" s="183">
        <f t="shared" si="90"/>
        <v>0</v>
      </c>
      <c r="H384" s="183"/>
      <c r="I384" s="182"/>
      <c r="J384" s="182"/>
      <c r="K384" s="182"/>
      <c r="L384" s="182"/>
      <c r="M384" s="182"/>
      <c r="N384" s="182"/>
      <c r="O384" s="182"/>
      <c r="P384" s="182"/>
      <c r="Q384" s="182"/>
    </row>
    <row r="385" spans="1:17" ht="39" hidden="1" x14ac:dyDescent="0.25">
      <c r="A385" s="180">
        <v>5300</v>
      </c>
      <c r="B385" s="154">
        <v>463000</v>
      </c>
      <c r="C385" s="158" t="s">
        <v>329</v>
      </c>
      <c r="D385" s="158"/>
      <c r="E385" s="159">
        <f>E386+E387</f>
        <v>0</v>
      </c>
      <c r="F385" s="159"/>
      <c r="G385" s="159">
        <f t="shared" ref="G385:G457" si="113">SUM(I385:Q385)</f>
        <v>0</v>
      </c>
      <c r="H385" s="159"/>
      <c r="I385" s="159">
        <f t="shared" ref="I385:Q385" si="114">I386+I387</f>
        <v>0</v>
      </c>
      <c r="J385" s="159">
        <f t="shared" si="114"/>
        <v>0</v>
      </c>
      <c r="K385" s="159"/>
      <c r="L385" s="159">
        <f t="shared" si="114"/>
        <v>0</v>
      </c>
      <c r="M385" s="159"/>
      <c r="N385" s="159">
        <f t="shared" si="114"/>
        <v>0</v>
      </c>
      <c r="O385" s="159">
        <f t="shared" si="114"/>
        <v>0</v>
      </c>
      <c r="P385" s="159"/>
      <c r="Q385" s="159">
        <f t="shared" si="114"/>
        <v>0</v>
      </c>
    </row>
    <row r="386" spans="1:17" ht="26.25" hidden="1" x14ac:dyDescent="0.25">
      <c r="A386" s="202">
        <v>5301</v>
      </c>
      <c r="B386" s="165">
        <v>463100</v>
      </c>
      <c r="C386" s="166" t="s">
        <v>330</v>
      </c>
      <c r="D386" s="166"/>
      <c r="E386" s="182"/>
      <c r="F386" s="182"/>
      <c r="G386" s="183">
        <f t="shared" si="113"/>
        <v>0</v>
      </c>
      <c r="H386" s="183"/>
      <c r="I386" s="182"/>
      <c r="J386" s="182"/>
      <c r="K386" s="182"/>
      <c r="L386" s="182"/>
      <c r="M386" s="182"/>
      <c r="N386" s="182"/>
      <c r="O386" s="182"/>
      <c r="P386" s="182"/>
      <c r="Q386" s="182"/>
    </row>
    <row r="387" spans="1:17" ht="26.25" hidden="1" x14ac:dyDescent="0.25">
      <c r="A387" s="202">
        <v>5302</v>
      </c>
      <c r="B387" s="165">
        <v>463200</v>
      </c>
      <c r="C387" s="166" t="s">
        <v>331</v>
      </c>
      <c r="D387" s="166"/>
      <c r="E387" s="182"/>
      <c r="F387" s="182"/>
      <c r="G387" s="183">
        <f t="shared" si="113"/>
        <v>0</v>
      </c>
      <c r="H387" s="183"/>
      <c r="I387" s="182"/>
      <c r="J387" s="182"/>
      <c r="K387" s="182"/>
      <c r="L387" s="182"/>
      <c r="M387" s="182"/>
      <c r="N387" s="182"/>
      <c r="O387" s="182"/>
      <c r="P387" s="182"/>
      <c r="Q387" s="182"/>
    </row>
    <row r="388" spans="1:17" ht="51.75" hidden="1" x14ac:dyDescent="0.25">
      <c r="A388" s="180">
        <v>5303</v>
      </c>
      <c r="B388" s="154">
        <v>464000</v>
      </c>
      <c r="C388" s="158" t="s">
        <v>332</v>
      </c>
      <c r="D388" s="158"/>
      <c r="E388" s="159">
        <f>E389+E390</f>
        <v>0</v>
      </c>
      <c r="F388" s="159"/>
      <c r="G388" s="159">
        <f t="shared" si="113"/>
        <v>0</v>
      </c>
      <c r="H388" s="159"/>
      <c r="I388" s="159">
        <f t="shared" ref="I388:Q388" si="115">I389+I390</f>
        <v>0</v>
      </c>
      <c r="J388" s="159">
        <f t="shared" si="115"/>
        <v>0</v>
      </c>
      <c r="K388" s="159"/>
      <c r="L388" s="159">
        <f t="shared" si="115"/>
        <v>0</v>
      </c>
      <c r="M388" s="159"/>
      <c r="N388" s="159">
        <f t="shared" si="115"/>
        <v>0</v>
      </c>
      <c r="O388" s="159">
        <f t="shared" si="115"/>
        <v>0</v>
      </c>
      <c r="P388" s="159"/>
      <c r="Q388" s="159">
        <f t="shared" si="115"/>
        <v>0</v>
      </c>
    </row>
    <row r="389" spans="1:17" ht="26.25" hidden="1" x14ac:dyDescent="0.25">
      <c r="A389" s="202">
        <v>5304</v>
      </c>
      <c r="B389" s="165">
        <v>464100</v>
      </c>
      <c r="C389" s="166" t="s">
        <v>333</v>
      </c>
      <c r="D389" s="166"/>
      <c r="E389" s="182"/>
      <c r="F389" s="182"/>
      <c r="G389" s="183">
        <f t="shared" si="113"/>
        <v>0</v>
      </c>
      <c r="H389" s="183"/>
      <c r="I389" s="182"/>
      <c r="J389" s="182"/>
      <c r="K389" s="182"/>
      <c r="L389" s="182"/>
      <c r="M389" s="182"/>
      <c r="N389" s="182"/>
      <c r="O389" s="182"/>
      <c r="P389" s="182"/>
      <c r="Q389" s="182"/>
    </row>
    <row r="390" spans="1:17" ht="39" hidden="1" x14ac:dyDescent="0.25">
      <c r="A390" s="202">
        <v>5305</v>
      </c>
      <c r="B390" s="165">
        <v>464200</v>
      </c>
      <c r="C390" s="166" t="s">
        <v>334</v>
      </c>
      <c r="D390" s="166"/>
      <c r="E390" s="182"/>
      <c r="F390" s="182"/>
      <c r="G390" s="183">
        <f t="shared" si="113"/>
        <v>0</v>
      </c>
      <c r="H390" s="183"/>
      <c r="I390" s="182"/>
      <c r="J390" s="182"/>
      <c r="K390" s="182"/>
      <c r="L390" s="182"/>
      <c r="M390" s="182"/>
      <c r="N390" s="182"/>
      <c r="O390" s="182"/>
      <c r="P390" s="182"/>
      <c r="Q390" s="182"/>
    </row>
    <row r="391" spans="1:17" ht="26.25" x14ac:dyDescent="0.25">
      <c r="A391" s="180">
        <v>5306</v>
      </c>
      <c r="B391" s="154">
        <v>465000</v>
      </c>
      <c r="C391" s="158" t="s">
        <v>335</v>
      </c>
      <c r="D391" s="158"/>
      <c r="E391" s="159">
        <f>E392+E393</f>
        <v>7410</v>
      </c>
      <c r="F391" s="159">
        <f t="shared" ref="F391:Q391" si="116">F392+F393</f>
        <v>7710</v>
      </c>
      <c r="G391" s="159">
        <f t="shared" si="116"/>
        <v>7410</v>
      </c>
      <c r="H391" s="159">
        <f t="shared" si="116"/>
        <v>0</v>
      </c>
      <c r="I391" s="159">
        <f t="shared" si="116"/>
        <v>0</v>
      </c>
      <c r="J391" s="159">
        <f t="shared" si="116"/>
        <v>0</v>
      </c>
      <c r="K391" s="159">
        <f t="shared" si="116"/>
        <v>0</v>
      </c>
      <c r="L391" s="159">
        <f t="shared" si="116"/>
        <v>0</v>
      </c>
      <c r="M391" s="159">
        <f t="shared" si="116"/>
        <v>7710</v>
      </c>
      <c r="N391" s="159">
        <f t="shared" si="116"/>
        <v>7410</v>
      </c>
      <c r="O391" s="159">
        <f t="shared" si="116"/>
        <v>0</v>
      </c>
      <c r="P391" s="159">
        <f t="shared" si="116"/>
        <v>0</v>
      </c>
      <c r="Q391" s="159">
        <f t="shared" si="116"/>
        <v>0</v>
      </c>
    </row>
    <row r="392" spans="1:17" ht="26.25" x14ac:dyDescent="0.25">
      <c r="A392" s="202">
        <v>5307</v>
      </c>
      <c r="B392" s="165">
        <v>465100</v>
      </c>
      <c r="C392" s="166" t="s">
        <v>336</v>
      </c>
      <c r="D392" s="166"/>
      <c r="E392" s="182">
        <v>7410</v>
      </c>
      <c r="F392" s="182">
        <f>H392+K392+M392+P392</f>
        <v>7710</v>
      </c>
      <c r="G392" s="183">
        <f t="shared" ref="G392" si="117">SUM(I392:Q392)-K392-M392-P392</f>
        <v>7410</v>
      </c>
      <c r="H392" s="183"/>
      <c r="I392" s="182"/>
      <c r="J392" s="182"/>
      <c r="K392" s="182"/>
      <c r="L392" s="182"/>
      <c r="M392" s="182">
        <v>7710</v>
      </c>
      <c r="N392" s="182">
        <v>7410</v>
      </c>
      <c r="O392" s="182"/>
      <c r="P392" s="182"/>
      <c r="Q392" s="182"/>
    </row>
    <row r="393" spans="1:17" ht="26.25" hidden="1" x14ac:dyDescent="0.25">
      <c r="A393" s="202">
        <v>5308</v>
      </c>
      <c r="B393" s="165">
        <v>465200</v>
      </c>
      <c r="C393" s="166" t="s">
        <v>337</v>
      </c>
      <c r="D393" s="166"/>
      <c r="E393" s="182"/>
      <c r="F393" s="182"/>
      <c r="G393" s="183">
        <f t="shared" si="113"/>
        <v>0</v>
      </c>
      <c r="H393" s="183"/>
      <c r="I393" s="182"/>
      <c r="J393" s="182"/>
      <c r="K393" s="182"/>
      <c r="L393" s="182"/>
      <c r="M393" s="182"/>
      <c r="N393" s="182"/>
      <c r="O393" s="182"/>
      <c r="P393" s="182"/>
      <c r="Q393" s="182"/>
    </row>
    <row r="394" spans="1:17" ht="39" hidden="1" x14ac:dyDescent="0.25">
      <c r="A394" s="180">
        <v>5309</v>
      </c>
      <c r="B394" s="154">
        <v>470000</v>
      </c>
      <c r="C394" s="158" t="s">
        <v>338</v>
      </c>
      <c r="D394" s="158"/>
      <c r="E394" s="159">
        <f>E395+E399</f>
        <v>0</v>
      </c>
      <c r="F394" s="159"/>
      <c r="G394" s="159">
        <f t="shared" si="113"/>
        <v>0</v>
      </c>
      <c r="H394" s="159"/>
      <c r="I394" s="159">
        <f t="shared" ref="I394:Q394" si="118">I395+I399</f>
        <v>0</v>
      </c>
      <c r="J394" s="159">
        <f t="shared" si="118"/>
        <v>0</v>
      </c>
      <c r="K394" s="159"/>
      <c r="L394" s="159">
        <f t="shared" si="118"/>
        <v>0</v>
      </c>
      <c r="M394" s="159"/>
      <c r="N394" s="159">
        <f t="shared" si="118"/>
        <v>0</v>
      </c>
      <c r="O394" s="159">
        <f t="shared" si="118"/>
        <v>0</v>
      </c>
      <c r="P394" s="159"/>
      <c r="Q394" s="159">
        <f t="shared" si="118"/>
        <v>0</v>
      </c>
    </row>
    <row r="395" spans="1:17" ht="64.5" hidden="1" x14ac:dyDescent="0.25">
      <c r="A395" s="180">
        <v>5310</v>
      </c>
      <c r="B395" s="154">
        <v>471000</v>
      </c>
      <c r="C395" s="158" t="s">
        <v>339</v>
      </c>
      <c r="D395" s="158"/>
      <c r="E395" s="159">
        <f>SUM(E396:E398)</f>
        <v>0</v>
      </c>
      <c r="F395" s="159"/>
      <c r="G395" s="159">
        <f t="shared" si="113"/>
        <v>0</v>
      </c>
      <c r="H395" s="159"/>
      <c r="I395" s="159">
        <f t="shared" ref="I395:Q395" si="119">SUM(I396:I398)</f>
        <v>0</v>
      </c>
      <c r="J395" s="159">
        <f t="shared" si="119"/>
        <v>0</v>
      </c>
      <c r="K395" s="159"/>
      <c r="L395" s="159">
        <f t="shared" si="119"/>
        <v>0</v>
      </c>
      <c r="M395" s="159"/>
      <c r="N395" s="159">
        <f t="shared" si="119"/>
        <v>0</v>
      </c>
      <c r="O395" s="159">
        <f t="shared" si="119"/>
        <v>0</v>
      </c>
      <c r="P395" s="159"/>
      <c r="Q395" s="159">
        <f t="shared" si="119"/>
        <v>0</v>
      </c>
    </row>
    <row r="396" spans="1:17" ht="39" hidden="1" x14ac:dyDescent="0.25">
      <c r="A396" s="202">
        <v>5311</v>
      </c>
      <c r="B396" s="165">
        <v>471100</v>
      </c>
      <c r="C396" s="166" t="s">
        <v>340</v>
      </c>
      <c r="D396" s="166"/>
      <c r="E396" s="182"/>
      <c r="F396" s="182"/>
      <c r="G396" s="183">
        <f t="shared" si="113"/>
        <v>0</v>
      </c>
      <c r="H396" s="183"/>
      <c r="I396" s="182"/>
      <c r="J396" s="182"/>
      <c r="K396" s="182"/>
      <c r="L396" s="182"/>
      <c r="M396" s="182"/>
      <c r="N396" s="182"/>
      <c r="O396" s="182"/>
      <c r="P396" s="182"/>
      <c r="Q396" s="182"/>
    </row>
    <row r="397" spans="1:17" ht="39" hidden="1" x14ac:dyDescent="0.25">
      <c r="A397" s="202">
        <v>5312</v>
      </c>
      <c r="B397" s="165">
        <v>471200</v>
      </c>
      <c r="C397" s="166" t="s">
        <v>341</v>
      </c>
      <c r="D397" s="166"/>
      <c r="E397" s="182"/>
      <c r="F397" s="182"/>
      <c r="G397" s="183">
        <f t="shared" si="113"/>
        <v>0</v>
      </c>
      <c r="H397" s="183"/>
      <c r="I397" s="182"/>
      <c r="J397" s="182"/>
      <c r="K397" s="182"/>
      <c r="L397" s="182"/>
      <c r="M397" s="182"/>
      <c r="N397" s="182"/>
      <c r="O397" s="182"/>
      <c r="P397" s="182"/>
      <c r="Q397" s="182"/>
    </row>
    <row r="398" spans="1:17" ht="51.75" hidden="1" x14ac:dyDescent="0.25">
      <c r="A398" s="202">
        <v>5313</v>
      </c>
      <c r="B398" s="165">
        <v>471900</v>
      </c>
      <c r="C398" s="166" t="s">
        <v>342</v>
      </c>
      <c r="D398" s="166"/>
      <c r="E398" s="182"/>
      <c r="F398" s="182"/>
      <c r="G398" s="183">
        <f t="shared" si="113"/>
        <v>0</v>
      </c>
      <c r="H398" s="183"/>
      <c r="I398" s="182"/>
      <c r="J398" s="182"/>
      <c r="K398" s="182"/>
      <c r="L398" s="182"/>
      <c r="M398" s="182"/>
      <c r="N398" s="182"/>
      <c r="O398" s="182"/>
      <c r="P398" s="182"/>
      <c r="Q398" s="182"/>
    </row>
    <row r="399" spans="1:17" ht="39" hidden="1" x14ac:dyDescent="0.25">
      <c r="A399" s="180">
        <v>5314</v>
      </c>
      <c r="B399" s="154">
        <v>472000</v>
      </c>
      <c r="C399" s="158" t="s">
        <v>343</v>
      </c>
      <c r="D399" s="158"/>
      <c r="E399" s="159">
        <f>SUM(E404:E412)</f>
        <v>0</v>
      </c>
      <c r="F399" s="159"/>
      <c r="G399" s="159">
        <f t="shared" si="113"/>
        <v>0</v>
      </c>
      <c r="H399" s="159"/>
      <c r="I399" s="159">
        <f t="shared" ref="I399:Q399" si="120">SUM(I404:I412)</f>
        <v>0</v>
      </c>
      <c r="J399" s="159">
        <f t="shared" si="120"/>
        <v>0</v>
      </c>
      <c r="K399" s="159"/>
      <c r="L399" s="159">
        <f t="shared" si="120"/>
        <v>0</v>
      </c>
      <c r="M399" s="159"/>
      <c r="N399" s="159">
        <f t="shared" si="120"/>
        <v>0</v>
      </c>
      <c r="O399" s="159">
        <f t="shared" si="120"/>
        <v>0</v>
      </c>
      <c r="P399" s="159"/>
      <c r="Q399" s="159">
        <f t="shared" si="120"/>
        <v>0</v>
      </c>
    </row>
    <row r="400" spans="1:17" hidden="1" x14ac:dyDescent="0.25">
      <c r="A400" s="598" t="s">
        <v>0</v>
      </c>
      <c r="B400" s="599" t="s">
        <v>1</v>
      </c>
      <c r="C400" s="598" t="s">
        <v>2</v>
      </c>
      <c r="D400" s="179"/>
      <c r="E400" s="598" t="s">
        <v>217</v>
      </c>
      <c r="F400" s="179"/>
      <c r="G400" s="600" t="s">
        <v>198</v>
      </c>
      <c r="H400" s="600"/>
      <c r="I400" s="601"/>
      <c r="J400" s="601"/>
      <c r="K400" s="601"/>
      <c r="L400" s="601"/>
      <c r="M400" s="601"/>
      <c r="N400" s="601"/>
      <c r="O400" s="601"/>
      <c r="P400" s="601"/>
      <c r="Q400" s="601"/>
    </row>
    <row r="401" spans="1:17" hidden="1" x14ac:dyDescent="0.25">
      <c r="A401" s="598"/>
      <c r="B401" s="599"/>
      <c r="C401" s="598"/>
      <c r="D401" s="179"/>
      <c r="E401" s="598"/>
      <c r="F401" s="179"/>
      <c r="G401" s="600" t="s">
        <v>199</v>
      </c>
      <c r="H401" s="154"/>
      <c r="I401" s="600" t="s">
        <v>200</v>
      </c>
      <c r="J401" s="601"/>
      <c r="K401" s="601"/>
      <c r="L401" s="601"/>
      <c r="M401" s="601"/>
      <c r="N401" s="601"/>
      <c r="O401" s="600" t="s">
        <v>7</v>
      </c>
      <c r="P401" s="154"/>
      <c r="Q401" s="600" t="s">
        <v>8</v>
      </c>
    </row>
    <row r="402" spans="1:17" ht="39" hidden="1" x14ac:dyDescent="0.25">
      <c r="A402" s="598"/>
      <c r="B402" s="599"/>
      <c r="C402" s="598"/>
      <c r="D402" s="179"/>
      <c r="E402" s="598"/>
      <c r="F402" s="179"/>
      <c r="G402" s="601"/>
      <c r="H402" s="203"/>
      <c r="I402" s="154" t="s">
        <v>201</v>
      </c>
      <c r="J402" s="154" t="s">
        <v>10</v>
      </c>
      <c r="K402" s="154"/>
      <c r="L402" s="154" t="s">
        <v>11</v>
      </c>
      <c r="M402" s="154"/>
      <c r="N402" s="154" t="s">
        <v>12</v>
      </c>
      <c r="O402" s="601"/>
      <c r="P402" s="203"/>
      <c r="Q402" s="601"/>
    </row>
    <row r="403" spans="1:17" ht="26.25" hidden="1" x14ac:dyDescent="0.25">
      <c r="A403" s="176" t="s">
        <v>18</v>
      </c>
      <c r="B403" s="176" t="s">
        <v>19</v>
      </c>
      <c r="C403" s="176" t="s">
        <v>20</v>
      </c>
      <c r="D403" s="176"/>
      <c r="E403" s="176" t="s">
        <v>21</v>
      </c>
      <c r="F403" s="176"/>
      <c r="G403" s="176" t="s">
        <v>22</v>
      </c>
      <c r="H403" s="176"/>
      <c r="I403" s="176" t="s">
        <v>23</v>
      </c>
      <c r="J403" s="176" t="s">
        <v>24</v>
      </c>
      <c r="K403" s="176"/>
      <c r="L403" s="176" t="s">
        <v>25</v>
      </c>
      <c r="M403" s="176"/>
      <c r="N403" s="176" t="s">
        <v>26</v>
      </c>
      <c r="O403" s="176" t="s">
        <v>27</v>
      </c>
      <c r="P403" s="176"/>
      <c r="Q403" s="176" t="s">
        <v>28</v>
      </c>
    </row>
    <row r="404" spans="1:17" ht="26.25" hidden="1" x14ac:dyDescent="0.25">
      <c r="A404" s="202">
        <v>5315</v>
      </c>
      <c r="B404" s="165">
        <v>472100</v>
      </c>
      <c r="C404" s="166" t="s">
        <v>344</v>
      </c>
      <c r="D404" s="166"/>
      <c r="E404" s="182"/>
      <c r="F404" s="182"/>
      <c r="G404" s="183">
        <f t="shared" si="113"/>
        <v>0</v>
      </c>
      <c r="H404" s="183"/>
      <c r="I404" s="182"/>
      <c r="J404" s="182"/>
      <c r="K404" s="182"/>
      <c r="L404" s="182"/>
      <c r="M404" s="182"/>
      <c r="N404" s="182"/>
      <c r="O404" s="182"/>
      <c r="P404" s="182"/>
      <c r="Q404" s="182"/>
    </row>
    <row r="405" spans="1:17" ht="26.25" hidden="1" x14ac:dyDescent="0.25">
      <c r="A405" s="202">
        <v>5316</v>
      </c>
      <c r="B405" s="165">
        <v>472200</v>
      </c>
      <c r="C405" s="166" t="s">
        <v>345</v>
      </c>
      <c r="D405" s="166"/>
      <c r="E405" s="182"/>
      <c r="F405" s="182"/>
      <c r="G405" s="183">
        <f t="shared" si="113"/>
        <v>0</v>
      </c>
      <c r="H405" s="183"/>
      <c r="I405" s="182"/>
      <c r="J405" s="182"/>
      <c r="K405" s="182"/>
      <c r="L405" s="182"/>
      <c r="M405" s="182"/>
      <c r="N405" s="182"/>
      <c r="O405" s="182"/>
      <c r="P405" s="182"/>
      <c r="Q405" s="182"/>
    </row>
    <row r="406" spans="1:17" ht="26.25" hidden="1" x14ac:dyDescent="0.25">
      <c r="A406" s="202">
        <v>5317</v>
      </c>
      <c r="B406" s="165">
        <v>472300</v>
      </c>
      <c r="C406" s="166" t="s">
        <v>346</v>
      </c>
      <c r="D406" s="166"/>
      <c r="E406" s="182"/>
      <c r="F406" s="182"/>
      <c r="G406" s="183">
        <f t="shared" si="113"/>
        <v>0</v>
      </c>
      <c r="H406" s="183"/>
      <c r="I406" s="182"/>
      <c r="J406" s="182"/>
      <c r="K406" s="182"/>
      <c r="L406" s="182"/>
      <c r="M406" s="182"/>
      <c r="N406" s="182"/>
      <c r="O406" s="182"/>
      <c r="P406" s="182"/>
      <c r="Q406" s="182"/>
    </row>
    <row r="407" spans="1:17" ht="26.25" hidden="1" x14ac:dyDescent="0.25">
      <c r="A407" s="202">
        <v>5318</v>
      </c>
      <c r="B407" s="165">
        <v>472400</v>
      </c>
      <c r="C407" s="166" t="s">
        <v>347</v>
      </c>
      <c r="D407" s="166"/>
      <c r="E407" s="182"/>
      <c r="F407" s="182"/>
      <c r="G407" s="183">
        <f t="shared" si="113"/>
        <v>0</v>
      </c>
      <c r="H407" s="183"/>
      <c r="I407" s="182"/>
      <c r="J407" s="182"/>
      <c r="K407" s="182"/>
      <c r="L407" s="182"/>
      <c r="M407" s="182"/>
      <c r="N407" s="182"/>
      <c r="O407" s="182"/>
      <c r="P407" s="182"/>
      <c r="Q407" s="182"/>
    </row>
    <row r="408" spans="1:17" ht="26.25" hidden="1" x14ac:dyDescent="0.25">
      <c r="A408" s="202">
        <v>5319</v>
      </c>
      <c r="B408" s="165">
        <v>472500</v>
      </c>
      <c r="C408" s="166" t="s">
        <v>348</v>
      </c>
      <c r="D408" s="166"/>
      <c r="E408" s="182"/>
      <c r="F408" s="182"/>
      <c r="G408" s="183">
        <f t="shared" si="113"/>
        <v>0</v>
      </c>
      <c r="H408" s="183"/>
      <c r="I408" s="182"/>
      <c r="J408" s="182"/>
      <c r="K408" s="182"/>
      <c r="L408" s="182"/>
      <c r="M408" s="182"/>
      <c r="N408" s="182"/>
      <c r="O408" s="182"/>
      <c r="P408" s="182"/>
      <c r="Q408" s="182"/>
    </row>
    <row r="409" spans="1:17" ht="26.25" hidden="1" x14ac:dyDescent="0.25">
      <c r="A409" s="202">
        <v>5320</v>
      </c>
      <c r="B409" s="165">
        <v>472600</v>
      </c>
      <c r="C409" s="166" t="s">
        <v>349</v>
      </c>
      <c r="D409" s="166"/>
      <c r="E409" s="182"/>
      <c r="F409" s="182"/>
      <c r="G409" s="183">
        <f t="shared" si="113"/>
        <v>0</v>
      </c>
      <c r="H409" s="183"/>
      <c r="I409" s="182"/>
      <c r="J409" s="182"/>
      <c r="K409" s="182"/>
      <c r="L409" s="182"/>
      <c r="M409" s="182"/>
      <c r="N409" s="182"/>
      <c r="O409" s="182"/>
      <c r="P409" s="182"/>
      <c r="Q409" s="182"/>
    </row>
    <row r="410" spans="1:17" ht="26.25" hidden="1" x14ac:dyDescent="0.25">
      <c r="A410" s="202">
        <v>5321</v>
      </c>
      <c r="B410" s="165">
        <v>472700</v>
      </c>
      <c r="C410" s="166" t="s">
        <v>350</v>
      </c>
      <c r="D410" s="166"/>
      <c r="E410" s="182"/>
      <c r="F410" s="182"/>
      <c r="G410" s="183">
        <f t="shared" si="113"/>
        <v>0</v>
      </c>
      <c r="H410" s="183"/>
      <c r="I410" s="182"/>
      <c r="J410" s="182"/>
      <c r="K410" s="182"/>
      <c r="L410" s="182"/>
      <c r="M410" s="182"/>
      <c r="N410" s="182"/>
      <c r="O410" s="182"/>
      <c r="P410" s="182"/>
      <c r="Q410" s="182"/>
    </row>
    <row r="411" spans="1:17" ht="26.25" hidden="1" x14ac:dyDescent="0.25">
      <c r="A411" s="202">
        <v>5322</v>
      </c>
      <c r="B411" s="165">
        <v>472800</v>
      </c>
      <c r="C411" s="166" t="s">
        <v>351</v>
      </c>
      <c r="D411" s="166"/>
      <c r="E411" s="182"/>
      <c r="F411" s="182"/>
      <c r="G411" s="183">
        <f t="shared" si="113"/>
        <v>0</v>
      </c>
      <c r="H411" s="183"/>
      <c r="I411" s="182"/>
      <c r="J411" s="182"/>
      <c r="K411" s="182"/>
      <c r="L411" s="182"/>
      <c r="M411" s="182"/>
      <c r="N411" s="182"/>
      <c r="O411" s="182"/>
      <c r="P411" s="182"/>
      <c r="Q411" s="182"/>
    </row>
    <row r="412" spans="1:17" hidden="1" x14ac:dyDescent="0.25">
      <c r="A412" s="202">
        <v>5323</v>
      </c>
      <c r="B412" s="165">
        <v>472900</v>
      </c>
      <c r="C412" s="166" t="s">
        <v>352</v>
      </c>
      <c r="D412" s="166"/>
      <c r="E412" s="182"/>
      <c r="F412" s="182"/>
      <c r="G412" s="183">
        <f t="shared" si="113"/>
        <v>0</v>
      </c>
      <c r="H412" s="183"/>
      <c r="I412" s="182"/>
      <c r="J412" s="182"/>
      <c r="K412" s="182"/>
      <c r="L412" s="182"/>
      <c r="M412" s="182"/>
      <c r="N412" s="182"/>
      <c r="O412" s="182"/>
      <c r="P412" s="182"/>
      <c r="Q412" s="182"/>
    </row>
    <row r="413" spans="1:17" ht="39" x14ac:dyDescent="0.25">
      <c r="A413" s="180">
        <v>5324</v>
      </c>
      <c r="B413" s="154">
        <v>480000</v>
      </c>
      <c r="C413" s="158" t="s">
        <v>353</v>
      </c>
      <c r="D413" s="158"/>
      <c r="E413" s="159">
        <f>E414+E417+E421+E423+E426+E432</f>
        <v>125</v>
      </c>
      <c r="F413" s="159">
        <f t="shared" ref="F413:Q413" si="121">F414+F417+F421+F423+F426+F432</f>
        <v>135</v>
      </c>
      <c r="G413" s="159">
        <f t="shared" si="121"/>
        <v>118</v>
      </c>
      <c r="H413" s="159">
        <f t="shared" si="121"/>
        <v>0</v>
      </c>
      <c r="I413" s="159">
        <f t="shared" si="121"/>
        <v>0</v>
      </c>
      <c r="J413" s="159">
        <f t="shared" si="121"/>
        <v>0</v>
      </c>
      <c r="K413" s="159">
        <f t="shared" si="121"/>
        <v>0</v>
      </c>
      <c r="L413" s="159">
        <f t="shared" si="121"/>
        <v>0</v>
      </c>
      <c r="M413" s="159">
        <f t="shared" si="121"/>
        <v>0</v>
      </c>
      <c r="N413" s="159">
        <f t="shared" si="121"/>
        <v>8</v>
      </c>
      <c r="O413" s="159">
        <f t="shared" si="121"/>
        <v>0</v>
      </c>
      <c r="P413" s="159">
        <f t="shared" si="121"/>
        <v>135</v>
      </c>
      <c r="Q413" s="159">
        <f t="shared" si="121"/>
        <v>100</v>
      </c>
    </row>
    <row r="414" spans="1:17" ht="39" x14ac:dyDescent="0.25">
      <c r="A414" s="180">
        <v>5325</v>
      </c>
      <c r="B414" s="154">
        <v>481000</v>
      </c>
      <c r="C414" s="158" t="s">
        <v>354</v>
      </c>
      <c r="D414" s="158"/>
      <c r="E414" s="159">
        <f>E415+E416</f>
        <v>35</v>
      </c>
      <c r="F414" s="159">
        <f t="shared" ref="F414:Q414" si="122">F415+F416</f>
        <v>35</v>
      </c>
      <c r="G414" s="159">
        <f t="shared" si="122"/>
        <v>35</v>
      </c>
      <c r="H414" s="159">
        <f t="shared" si="122"/>
        <v>0</v>
      </c>
      <c r="I414" s="159">
        <f t="shared" si="122"/>
        <v>0</v>
      </c>
      <c r="J414" s="159">
        <f t="shared" si="122"/>
        <v>0</v>
      </c>
      <c r="K414" s="159">
        <f t="shared" si="122"/>
        <v>0</v>
      </c>
      <c r="L414" s="159">
        <f t="shared" si="122"/>
        <v>0</v>
      </c>
      <c r="M414" s="159">
        <f t="shared" si="122"/>
        <v>0</v>
      </c>
      <c r="N414" s="159">
        <f t="shared" si="122"/>
        <v>0</v>
      </c>
      <c r="O414" s="159">
        <f t="shared" si="122"/>
        <v>0</v>
      </c>
      <c r="P414" s="159">
        <f t="shared" si="122"/>
        <v>35</v>
      </c>
      <c r="Q414" s="159">
        <f t="shared" si="122"/>
        <v>35</v>
      </c>
    </row>
    <row r="415" spans="1:17" ht="39" hidden="1" x14ac:dyDescent="0.25">
      <c r="A415" s="202">
        <v>5326</v>
      </c>
      <c r="B415" s="165">
        <v>481100</v>
      </c>
      <c r="C415" s="166" t="s">
        <v>355</v>
      </c>
      <c r="D415" s="166"/>
      <c r="E415" s="182"/>
      <c r="F415" s="182"/>
      <c r="G415" s="183">
        <f t="shared" si="113"/>
        <v>0</v>
      </c>
      <c r="H415" s="183"/>
      <c r="I415" s="182"/>
      <c r="J415" s="182"/>
      <c r="K415" s="182"/>
      <c r="L415" s="182"/>
      <c r="M415" s="182"/>
      <c r="N415" s="182"/>
      <c r="O415" s="182"/>
      <c r="P415" s="182"/>
      <c r="Q415" s="182"/>
    </row>
    <row r="416" spans="1:17" ht="26.25" x14ac:dyDescent="0.25">
      <c r="A416" s="202">
        <v>5327</v>
      </c>
      <c r="B416" s="165">
        <v>481900</v>
      </c>
      <c r="C416" s="166" t="s">
        <v>356</v>
      </c>
      <c r="D416" s="166"/>
      <c r="E416" s="182">
        <v>35</v>
      </c>
      <c r="F416" s="182">
        <f>H416+K416+M416+P416</f>
        <v>35</v>
      </c>
      <c r="G416" s="183">
        <f t="shared" ref="G416" si="123">SUM(I416:Q416)-K416-M416-P416</f>
        <v>35</v>
      </c>
      <c r="H416" s="183"/>
      <c r="I416" s="182"/>
      <c r="J416" s="182"/>
      <c r="K416" s="182"/>
      <c r="L416" s="182"/>
      <c r="M416" s="182"/>
      <c r="N416" s="182"/>
      <c r="O416" s="182"/>
      <c r="P416" s="182">
        <v>35</v>
      </c>
      <c r="Q416" s="182">
        <v>35</v>
      </c>
    </row>
    <row r="417" spans="1:22" ht="39" x14ac:dyDescent="0.25">
      <c r="A417" s="180">
        <v>5328</v>
      </c>
      <c r="B417" s="154">
        <v>482000</v>
      </c>
      <c r="C417" s="158" t="s">
        <v>357</v>
      </c>
      <c r="D417" s="158"/>
      <c r="E417" s="159">
        <f>SUM(E418:E420)</f>
        <v>70</v>
      </c>
      <c r="F417" s="159">
        <f t="shared" ref="F417:Q417" si="124">SUM(F418:F420)</f>
        <v>50</v>
      </c>
      <c r="G417" s="159">
        <f t="shared" si="124"/>
        <v>68</v>
      </c>
      <c r="H417" s="159">
        <f t="shared" si="124"/>
        <v>0</v>
      </c>
      <c r="I417" s="159">
        <f t="shared" si="124"/>
        <v>0</v>
      </c>
      <c r="J417" s="159">
        <f t="shared" si="124"/>
        <v>0</v>
      </c>
      <c r="K417" s="159">
        <f t="shared" si="124"/>
        <v>0</v>
      </c>
      <c r="L417" s="159">
        <f t="shared" si="124"/>
        <v>0</v>
      </c>
      <c r="M417" s="159">
        <f t="shared" si="124"/>
        <v>0</v>
      </c>
      <c r="N417" s="159">
        <f t="shared" si="124"/>
        <v>8</v>
      </c>
      <c r="O417" s="159">
        <f t="shared" si="124"/>
        <v>0</v>
      </c>
      <c r="P417" s="159">
        <f t="shared" si="124"/>
        <v>50</v>
      </c>
      <c r="Q417" s="159">
        <f t="shared" si="124"/>
        <v>50</v>
      </c>
    </row>
    <row r="418" spans="1:22" x14ac:dyDescent="0.25">
      <c r="A418" s="202">
        <v>5329</v>
      </c>
      <c r="B418" s="165">
        <v>482100</v>
      </c>
      <c r="C418" s="166" t="s">
        <v>358</v>
      </c>
      <c r="D418" s="166"/>
      <c r="E418" s="182">
        <v>20</v>
      </c>
      <c r="F418" s="182">
        <f>H418+K418+M418+P418</f>
        <v>20</v>
      </c>
      <c r="G418" s="183">
        <f t="shared" ref="G418:G419" si="125">SUM(I418:Q418)-K418-M418-P418</f>
        <v>17</v>
      </c>
      <c r="H418" s="183"/>
      <c r="I418" s="182"/>
      <c r="J418" s="182"/>
      <c r="K418" s="182"/>
      <c r="L418" s="182"/>
      <c r="M418" s="182"/>
      <c r="N418" s="182">
        <v>8</v>
      </c>
      <c r="O418" s="182"/>
      <c r="P418" s="182">
        <v>20</v>
      </c>
      <c r="Q418" s="182">
        <v>9</v>
      </c>
    </row>
    <row r="419" spans="1:22" x14ac:dyDescent="0.25">
      <c r="A419" s="202">
        <v>5330</v>
      </c>
      <c r="B419" s="165">
        <v>482200</v>
      </c>
      <c r="C419" s="166" t="s">
        <v>359</v>
      </c>
      <c r="D419" s="166"/>
      <c r="E419" s="182">
        <v>50</v>
      </c>
      <c r="F419" s="182">
        <f>H419+K419+M419+P419</f>
        <v>20</v>
      </c>
      <c r="G419" s="183">
        <f t="shared" si="125"/>
        <v>41</v>
      </c>
      <c r="H419" s="183"/>
      <c r="I419" s="182"/>
      <c r="J419" s="182"/>
      <c r="K419" s="182"/>
      <c r="L419" s="182"/>
      <c r="M419" s="182"/>
      <c r="N419" s="182"/>
      <c r="O419" s="182"/>
      <c r="P419" s="182">
        <v>20</v>
      </c>
      <c r="Q419" s="182">
        <v>41</v>
      </c>
      <c r="V419" s="152" t="s">
        <v>539</v>
      </c>
    </row>
    <row r="420" spans="1:22" x14ac:dyDescent="0.25">
      <c r="A420" s="202">
        <v>5331</v>
      </c>
      <c r="B420" s="165">
        <v>482300</v>
      </c>
      <c r="C420" s="166" t="s">
        <v>360</v>
      </c>
      <c r="D420" s="166"/>
      <c r="E420" s="182"/>
      <c r="F420" s="182">
        <f>H420+K420+M420+P420</f>
        <v>10</v>
      </c>
      <c r="G420" s="183">
        <f t="shared" si="113"/>
        <v>10</v>
      </c>
      <c r="H420" s="183"/>
      <c r="I420" s="182"/>
      <c r="J420" s="182"/>
      <c r="K420" s="182"/>
      <c r="L420" s="182"/>
      <c r="M420" s="182"/>
      <c r="N420" s="182"/>
      <c r="O420" s="182"/>
      <c r="P420" s="182">
        <v>10</v>
      </c>
      <c r="Q420" s="182"/>
    </row>
    <row r="421" spans="1:22" ht="26.25" x14ac:dyDescent="0.25">
      <c r="A421" s="180">
        <v>5332</v>
      </c>
      <c r="B421" s="154">
        <v>483000</v>
      </c>
      <c r="C421" s="158" t="s">
        <v>361</v>
      </c>
      <c r="D421" s="158"/>
      <c r="E421" s="159">
        <f>E422</f>
        <v>20</v>
      </c>
      <c r="F421" s="159">
        <f t="shared" ref="F421:Q421" si="126">F422</f>
        <v>50</v>
      </c>
      <c r="G421" s="159">
        <f t="shared" si="126"/>
        <v>15</v>
      </c>
      <c r="H421" s="159">
        <f t="shared" si="126"/>
        <v>0</v>
      </c>
      <c r="I421" s="159">
        <f t="shared" si="126"/>
        <v>0</v>
      </c>
      <c r="J421" s="159">
        <f t="shared" si="126"/>
        <v>0</v>
      </c>
      <c r="K421" s="159">
        <f t="shared" si="126"/>
        <v>0</v>
      </c>
      <c r="L421" s="159">
        <f t="shared" si="126"/>
        <v>0</v>
      </c>
      <c r="M421" s="159">
        <f t="shared" si="126"/>
        <v>0</v>
      </c>
      <c r="N421" s="159">
        <f t="shared" si="126"/>
        <v>0</v>
      </c>
      <c r="O421" s="159">
        <f t="shared" si="126"/>
        <v>0</v>
      </c>
      <c r="P421" s="159">
        <f t="shared" si="126"/>
        <v>50</v>
      </c>
      <c r="Q421" s="159">
        <f t="shared" si="126"/>
        <v>15</v>
      </c>
    </row>
    <row r="422" spans="1:22" ht="26.25" x14ac:dyDescent="0.25">
      <c r="A422" s="202">
        <v>5333</v>
      </c>
      <c r="B422" s="165">
        <v>483100</v>
      </c>
      <c r="C422" s="166" t="s">
        <v>362</v>
      </c>
      <c r="D422" s="166"/>
      <c r="E422" s="182">
        <v>20</v>
      </c>
      <c r="F422" s="182">
        <f>H422+K422+M422+P422</f>
        <v>50</v>
      </c>
      <c r="G422" s="183">
        <f t="shared" ref="G422" si="127">SUM(I422:Q422)-K422-M422-P422</f>
        <v>15</v>
      </c>
      <c r="H422" s="183"/>
      <c r="I422" s="182"/>
      <c r="J422" s="182"/>
      <c r="K422" s="182"/>
      <c r="L422" s="182"/>
      <c r="M422" s="182"/>
      <c r="N422" s="182"/>
      <c r="O422" s="182"/>
      <c r="P422" s="182">
        <v>50</v>
      </c>
      <c r="Q422" s="182">
        <v>15</v>
      </c>
    </row>
    <row r="423" spans="1:22" ht="77.25" hidden="1" x14ac:dyDescent="0.25">
      <c r="A423" s="180">
        <v>5334</v>
      </c>
      <c r="B423" s="154">
        <v>484000</v>
      </c>
      <c r="C423" s="158" t="s">
        <v>363</v>
      </c>
      <c r="D423" s="158"/>
      <c r="E423" s="159">
        <f>E424+E425</f>
        <v>0</v>
      </c>
      <c r="F423" s="159"/>
      <c r="G423" s="159">
        <f t="shared" si="113"/>
        <v>0</v>
      </c>
      <c r="H423" s="159"/>
      <c r="I423" s="159">
        <f t="shared" ref="I423:Q423" si="128">I424+I425</f>
        <v>0</v>
      </c>
      <c r="J423" s="159">
        <f t="shared" si="128"/>
        <v>0</v>
      </c>
      <c r="K423" s="159"/>
      <c r="L423" s="159">
        <f t="shared" si="128"/>
        <v>0</v>
      </c>
      <c r="M423" s="159"/>
      <c r="N423" s="159">
        <f t="shared" si="128"/>
        <v>0</v>
      </c>
      <c r="O423" s="159">
        <f t="shared" si="128"/>
        <v>0</v>
      </c>
      <c r="P423" s="159"/>
      <c r="Q423" s="159">
        <f t="shared" si="128"/>
        <v>0</v>
      </c>
    </row>
    <row r="424" spans="1:22" ht="39" hidden="1" x14ac:dyDescent="0.25">
      <c r="A424" s="202">
        <v>5335</v>
      </c>
      <c r="B424" s="165">
        <v>484100</v>
      </c>
      <c r="C424" s="166" t="s">
        <v>364</v>
      </c>
      <c r="D424" s="166"/>
      <c r="E424" s="182"/>
      <c r="F424" s="182"/>
      <c r="G424" s="183">
        <f t="shared" si="113"/>
        <v>0</v>
      </c>
      <c r="H424" s="183"/>
      <c r="I424" s="182"/>
      <c r="J424" s="182"/>
      <c r="K424" s="182"/>
      <c r="L424" s="182"/>
      <c r="M424" s="182"/>
      <c r="N424" s="182"/>
      <c r="O424" s="182"/>
      <c r="P424" s="182"/>
      <c r="Q424" s="182"/>
    </row>
    <row r="425" spans="1:22" hidden="1" x14ac:dyDescent="0.25">
      <c r="A425" s="202">
        <v>5336</v>
      </c>
      <c r="B425" s="165">
        <v>484200</v>
      </c>
      <c r="C425" s="166" t="s">
        <v>365</v>
      </c>
      <c r="D425" s="166"/>
      <c r="E425" s="182"/>
      <c r="F425" s="182"/>
      <c r="G425" s="183">
        <f t="shared" si="113"/>
        <v>0</v>
      </c>
      <c r="H425" s="183"/>
      <c r="I425" s="182"/>
      <c r="J425" s="182"/>
      <c r="K425" s="182"/>
      <c r="L425" s="182"/>
      <c r="M425" s="182"/>
      <c r="N425" s="182"/>
      <c r="O425" s="182"/>
      <c r="P425" s="182"/>
      <c r="Q425" s="182"/>
    </row>
    <row r="426" spans="1:22" ht="51.75" hidden="1" x14ac:dyDescent="0.25">
      <c r="A426" s="180">
        <v>5337</v>
      </c>
      <c r="B426" s="154">
        <v>485000</v>
      </c>
      <c r="C426" s="158" t="s">
        <v>366</v>
      </c>
      <c r="D426" s="158"/>
      <c r="E426" s="159">
        <f>E427</f>
        <v>0</v>
      </c>
      <c r="F426" s="159"/>
      <c r="G426" s="159">
        <f t="shared" si="113"/>
        <v>0</v>
      </c>
      <c r="H426" s="159"/>
      <c r="I426" s="159">
        <f t="shared" ref="I426:Q426" si="129">I427</f>
        <v>0</v>
      </c>
      <c r="J426" s="159">
        <f t="shared" si="129"/>
        <v>0</v>
      </c>
      <c r="K426" s="159"/>
      <c r="L426" s="159">
        <f t="shared" si="129"/>
        <v>0</v>
      </c>
      <c r="M426" s="159"/>
      <c r="N426" s="159">
        <f t="shared" si="129"/>
        <v>0</v>
      </c>
      <c r="O426" s="159">
        <f t="shared" si="129"/>
        <v>0</v>
      </c>
      <c r="P426" s="159"/>
      <c r="Q426" s="159">
        <f t="shared" si="129"/>
        <v>0</v>
      </c>
    </row>
    <row r="427" spans="1:22" ht="39" hidden="1" x14ac:dyDescent="0.25">
      <c r="A427" s="202">
        <v>5338</v>
      </c>
      <c r="B427" s="165">
        <v>485100</v>
      </c>
      <c r="C427" s="166" t="s">
        <v>367</v>
      </c>
      <c r="D427" s="166"/>
      <c r="E427" s="182"/>
      <c r="F427" s="182"/>
      <c r="G427" s="183">
        <f t="shared" si="113"/>
        <v>0</v>
      </c>
      <c r="H427" s="183"/>
      <c r="I427" s="182"/>
      <c r="J427" s="182"/>
      <c r="K427" s="182"/>
      <c r="L427" s="182"/>
      <c r="M427" s="182"/>
      <c r="N427" s="182"/>
      <c r="O427" s="182"/>
      <c r="P427" s="182"/>
      <c r="Q427" s="182"/>
    </row>
    <row r="428" spans="1:22" hidden="1" x14ac:dyDescent="0.25">
      <c r="A428" s="598" t="s">
        <v>0</v>
      </c>
      <c r="B428" s="599" t="s">
        <v>1</v>
      </c>
      <c r="C428" s="598" t="s">
        <v>2</v>
      </c>
      <c r="D428" s="179"/>
      <c r="E428" s="598" t="s">
        <v>217</v>
      </c>
      <c r="F428" s="179"/>
      <c r="G428" s="600" t="s">
        <v>198</v>
      </c>
      <c r="H428" s="600"/>
      <c r="I428" s="601"/>
      <c r="J428" s="601"/>
      <c r="K428" s="601"/>
      <c r="L428" s="601"/>
      <c r="M428" s="601"/>
      <c r="N428" s="601"/>
      <c r="O428" s="601"/>
      <c r="P428" s="601"/>
      <c r="Q428" s="601"/>
    </row>
    <row r="429" spans="1:22" hidden="1" x14ac:dyDescent="0.25">
      <c r="A429" s="598"/>
      <c r="B429" s="599"/>
      <c r="C429" s="598"/>
      <c r="D429" s="179"/>
      <c r="E429" s="598"/>
      <c r="F429" s="179"/>
      <c r="G429" s="600" t="s">
        <v>199</v>
      </c>
      <c r="H429" s="154"/>
      <c r="I429" s="600" t="s">
        <v>200</v>
      </c>
      <c r="J429" s="601"/>
      <c r="K429" s="601"/>
      <c r="L429" s="601"/>
      <c r="M429" s="601"/>
      <c r="N429" s="601"/>
      <c r="O429" s="600" t="s">
        <v>7</v>
      </c>
      <c r="P429" s="154"/>
      <c r="Q429" s="600" t="s">
        <v>8</v>
      </c>
    </row>
    <row r="430" spans="1:22" ht="39" hidden="1" x14ac:dyDescent="0.25">
      <c r="A430" s="598"/>
      <c r="B430" s="599"/>
      <c r="C430" s="598"/>
      <c r="D430" s="179"/>
      <c r="E430" s="598"/>
      <c r="F430" s="179"/>
      <c r="G430" s="601"/>
      <c r="H430" s="203"/>
      <c r="I430" s="154" t="s">
        <v>201</v>
      </c>
      <c r="J430" s="154" t="s">
        <v>10</v>
      </c>
      <c r="K430" s="154"/>
      <c r="L430" s="154" t="s">
        <v>11</v>
      </c>
      <c r="M430" s="154"/>
      <c r="N430" s="154" t="s">
        <v>12</v>
      </c>
      <c r="O430" s="601"/>
      <c r="P430" s="203"/>
      <c r="Q430" s="601"/>
    </row>
    <row r="431" spans="1:22" ht="26.25" hidden="1" x14ac:dyDescent="0.25">
      <c r="A431" s="176" t="s">
        <v>18</v>
      </c>
      <c r="B431" s="176" t="s">
        <v>19</v>
      </c>
      <c r="C431" s="176" t="s">
        <v>20</v>
      </c>
      <c r="D431" s="176"/>
      <c r="E431" s="176" t="s">
        <v>21</v>
      </c>
      <c r="F431" s="176"/>
      <c r="G431" s="176" t="s">
        <v>22</v>
      </c>
      <c r="H431" s="176"/>
      <c r="I431" s="176" t="s">
        <v>23</v>
      </c>
      <c r="J431" s="176" t="s">
        <v>24</v>
      </c>
      <c r="K431" s="176"/>
      <c r="L431" s="176" t="s">
        <v>25</v>
      </c>
      <c r="M431" s="176"/>
      <c r="N431" s="176" t="s">
        <v>26</v>
      </c>
      <c r="O431" s="176" t="s">
        <v>27</v>
      </c>
      <c r="P431" s="176"/>
      <c r="Q431" s="176" t="s">
        <v>28</v>
      </c>
    </row>
    <row r="432" spans="1:22" ht="90" hidden="1" x14ac:dyDescent="0.25">
      <c r="A432" s="180">
        <v>5339</v>
      </c>
      <c r="B432" s="154">
        <v>489000</v>
      </c>
      <c r="C432" s="158" t="s">
        <v>368</v>
      </c>
      <c r="D432" s="158"/>
      <c r="E432" s="159">
        <f>E433</f>
        <v>0</v>
      </c>
      <c r="F432" s="159"/>
      <c r="G432" s="159">
        <f t="shared" si="113"/>
        <v>0</v>
      </c>
      <c r="H432" s="159"/>
      <c r="I432" s="159">
        <f t="shared" ref="I432:Q432" si="130">I433</f>
        <v>0</v>
      </c>
      <c r="J432" s="159">
        <f t="shared" si="130"/>
        <v>0</v>
      </c>
      <c r="K432" s="159"/>
      <c r="L432" s="159">
        <f t="shared" si="130"/>
        <v>0</v>
      </c>
      <c r="M432" s="159"/>
      <c r="N432" s="159">
        <f t="shared" si="130"/>
        <v>0</v>
      </c>
      <c r="O432" s="159">
        <f t="shared" si="130"/>
        <v>0</v>
      </c>
      <c r="P432" s="159"/>
      <c r="Q432" s="159">
        <f t="shared" si="130"/>
        <v>0</v>
      </c>
    </row>
    <row r="433" spans="1:22" ht="51.75" hidden="1" x14ac:dyDescent="0.25">
      <c r="A433" s="202">
        <v>5340</v>
      </c>
      <c r="B433" s="165">
        <v>489100</v>
      </c>
      <c r="C433" s="166" t="s">
        <v>369</v>
      </c>
      <c r="D433" s="166"/>
      <c r="E433" s="182"/>
      <c r="F433" s="182"/>
      <c r="G433" s="183">
        <f t="shared" si="113"/>
        <v>0</v>
      </c>
      <c r="H433" s="183"/>
      <c r="I433" s="182"/>
      <c r="J433" s="182"/>
      <c r="K433" s="182"/>
      <c r="L433" s="182"/>
      <c r="M433" s="182"/>
      <c r="N433" s="182"/>
      <c r="O433" s="182"/>
      <c r="P433" s="182"/>
      <c r="Q433" s="182"/>
    </row>
    <row r="434" spans="1:22" ht="51.75" x14ac:dyDescent="0.25">
      <c r="A434" s="180">
        <v>5341</v>
      </c>
      <c r="B434" s="154">
        <v>500000</v>
      </c>
      <c r="C434" s="158" t="s">
        <v>370</v>
      </c>
      <c r="D434" s="158"/>
      <c r="E434" s="159">
        <f>E435+E458+E471+E474+E482</f>
        <v>35552</v>
      </c>
      <c r="F434" s="159">
        <f t="shared" ref="F434:Q434" si="131">F435+F458+F471+F474+F482</f>
        <v>25745</v>
      </c>
      <c r="G434" s="159">
        <f t="shared" si="131"/>
        <v>17163</v>
      </c>
      <c r="H434" s="159">
        <f t="shared" si="131"/>
        <v>20000</v>
      </c>
      <c r="I434" s="159">
        <f t="shared" si="131"/>
        <v>15250</v>
      </c>
      <c r="J434" s="159">
        <f t="shared" si="131"/>
        <v>0</v>
      </c>
      <c r="K434" s="159">
        <f t="shared" si="131"/>
        <v>0</v>
      </c>
      <c r="L434" s="159">
        <f t="shared" si="131"/>
        <v>0</v>
      </c>
      <c r="M434" s="159">
        <f t="shared" si="131"/>
        <v>0</v>
      </c>
      <c r="N434" s="159">
        <f t="shared" si="131"/>
        <v>0</v>
      </c>
      <c r="O434" s="159">
        <f t="shared" si="131"/>
        <v>0</v>
      </c>
      <c r="P434" s="159">
        <f t="shared" si="131"/>
        <v>5745</v>
      </c>
      <c r="Q434" s="159">
        <f t="shared" si="131"/>
        <v>1813</v>
      </c>
    </row>
    <row r="435" spans="1:22" ht="26.25" x14ac:dyDescent="0.25">
      <c r="A435" s="180">
        <v>5342</v>
      </c>
      <c r="B435" s="154">
        <v>510000</v>
      </c>
      <c r="C435" s="158" t="s">
        <v>371</v>
      </c>
      <c r="D435" s="158"/>
      <c r="E435" s="159">
        <f>E436+E441+E452+E454+E456</f>
        <v>35552</v>
      </c>
      <c r="F435" s="159">
        <f t="shared" ref="F435:Q435" si="132">F436+F441+F452+F454+F456</f>
        <v>25745</v>
      </c>
      <c r="G435" s="159">
        <f t="shared" si="132"/>
        <v>17163</v>
      </c>
      <c r="H435" s="159">
        <f t="shared" si="132"/>
        <v>20000</v>
      </c>
      <c r="I435" s="159">
        <f t="shared" si="132"/>
        <v>15250</v>
      </c>
      <c r="J435" s="159">
        <f t="shared" si="132"/>
        <v>0</v>
      </c>
      <c r="K435" s="159">
        <f t="shared" si="132"/>
        <v>0</v>
      </c>
      <c r="L435" s="159">
        <f t="shared" si="132"/>
        <v>0</v>
      </c>
      <c r="M435" s="159">
        <f t="shared" si="132"/>
        <v>0</v>
      </c>
      <c r="N435" s="159">
        <f t="shared" si="132"/>
        <v>0</v>
      </c>
      <c r="O435" s="159">
        <f t="shared" si="132"/>
        <v>0</v>
      </c>
      <c r="P435" s="159">
        <f t="shared" si="132"/>
        <v>5745</v>
      </c>
      <c r="Q435" s="159">
        <f t="shared" si="132"/>
        <v>1813</v>
      </c>
    </row>
    <row r="436" spans="1:22" ht="26.25" x14ac:dyDescent="0.25">
      <c r="A436" s="180">
        <v>5343</v>
      </c>
      <c r="B436" s="154">
        <v>511000</v>
      </c>
      <c r="C436" s="158" t="s">
        <v>372</v>
      </c>
      <c r="D436" s="158"/>
      <c r="E436" s="159">
        <f>SUM(E437:E440)</f>
        <v>6000</v>
      </c>
      <c r="F436" s="159">
        <f t="shared" ref="F436:Q436" si="133">SUM(F437:F440)</f>
        <v>2124</v>
      </c>
      <c r="G436" s="159">
        <f t="shared" si="133"/>
        <v>1450</v>
      </c>
      <c r="H436" s="159">
        <f t="shared" si="133"/>
        <v>2000</v>
      </c>
      <c r="I436" s="159">
        <f t="shared" si="133"/>
        <v>1450</v>
      </c>
      <c r="J436" s="159">
        <f t="shared" si="133"/>
        <v>0</v>
      </c>
      <c r="K436" s="159">
        <f t="shared" si="133"/>
        <v>0</v>
      </c>
      <c r="L436" s="159">
        <f t="shared" si="133"/>
        <v>0</v>
      </c>
      <c r="M436" s="159">
        <f t="shared" si="133"/>
        <v>0</v>
      </c>
      <c r="N436" s="159">
        <f t="shared" si="133"/>
        <v>0</v>
      </c>
      <c r="O436" s="159">
        <f t="shared" si="133"/>
        <v>0</v>
      </c>
      <c r="P436" s="159">
        <f t="shared" si="133"/>
        <v>124</v>
      </c>
      <c r="Q436" s="159">
        <f t="shared" si="133"/>
        <v>0</v>
      </c>
    </row>
    <row r="437" spans="1:22" hidden="1" x14ac:dyDescent="0.25">
      <c r="A437" s="202">
        <v>5344</v>
      </c>
      <c r="B437" s="165">
        <v>511100</v>
      </c>
      <c r="C437" s="166" t="s">
        <v>373</v>
      </c>
      <c r="D437" s="166"/>
      <c r="E437" s="182"/>
      <c r="F437" s="182"/>
      <c r="G437" s="183">
        <f t="shared" si="113"/>
        <v>0</v>
      </c>
      <c r="H437" s="183"/>
      <c r="I437" s="182"/>
      <c r="J437" s="182"/>
      <c r="K437" s="182"/>
      <c r="L437" s="182"/>
      <c r="M437" s="182"/>
      <c r="N437" s="182"/>
      <c r="O437" s="182"/>
      <c r="P437" s="182"/>
      <c r="Q437" s="182"/>
    </row>
    <row r="438" spans="1:22" hidden="1" x14ac:dyDescent="0.25">
      <c r="A438" s="202">
        <v>5345</v>
      </c>
      <c r="B438" s="165">
        <v>511200</v>
      </c>
      <c r="C438" s="166" t="s">
        <v>374</v>
      </c>
      <c r="D438" s="166"/>
      <c r="E438" s="182"/>
      <c r="F438" s="182"/>
      <c r="G438" s="183">
        <f t="shared" si="113"/>
        <v>0</v>
      </c>
      <c r="H438" s="183"/>
      <c r="I438" s="182"/>
      <c r="J438" s="182"/>
      <c r="K438" s="182"/>
      <c r="L438" s="182"/>
      <c r="M438" s="182"/>
      <c r="N438" s="182"/>
      <c r="O438" s="182"/>
      <c r="P438" s="182"/>
      <c r="Q438" s="182"/>
    </row>
    <row r="439" spans="1:22" ht="24.75" customHeight="1" x14ac:dyDescent="0.25">
      <c r="A439" s="202">
        <v>5346</v>
      </c>
      <c r="B439" s="165">
        <v>511300</v>
      </c>
      <c r="C439" s="166" t="s">
        <v>375</v>
      </c>
      <c r="D439" s="166"/>
      <c r="E439" s="182">
        <v>6000</v>
      </c>
      <c r="F439" s="182">
        <f>H439+K439+M439+P439</f>
        <v>2124</v>
      </c>
      <c r="G439" s="183">
        <f t="shared" ref="G439" si="134">SUM(I439:Q439)-K439-M439-P439</f>
        <v>1450</v>
      </c>
      <c r="H439" s="183">
        <v>2000</v>
      </c>
      <c r="I439" s="182">
        <v>1450</v>
      </c>
      <c r="J439" s="182"/>
      <c r="K439" s="182"/>
      <c r="L439" s="182"/>
      <c r="M439" s="182"/>
      <c r="N439" s="182"/>
      <c r="O439" s="182"/>
      <c r="P439" s="182">
        <v>124</v>
      </c>
      <c r="Q439" s="182"/>
      <c r="V439" s="152" t="s">
        <v>469</v>
      </c>
    </row>
    <row r="440" spans="1:22" hidden="1" x14ac:dyDescent="0.25">
      <c r="A440" s="202">
        <v>5347</v>
      </c>
      <c r="B440" s="165">
        <v>511400</v>
      </c>
      <c r="C440" s="166" t="s">
        <v>376</v>
      </c>
      <c r="D440" s="166"/>
      <c r="E440" s="182"/>
      <c r="F440" s="182"/>
      <c r="G440" s="183">
        <f t="shared" si="113"/>
        <v>0</v>
      </c>
      <c r="H440" s="183"/>
      <c r="I440" s="182"/>
      <c r="J440" s="182"/>
      <c r="K440" s="182"/>
      <c r="L440" s="182"/>
      <c r="M440" s="182"/>
      <c r="N440" s="182"/>
      <c r="O440" s="182"/>
      <c r="P440" s="182"/>
      <c r="Q440" s="182"/>
    </row>
    <row r="441" spans="1:22" ht="26.25" x14ac:dyDescent="0.25">
      <c r="A441" s="180">
        <v>5348</v>
      </c>
      <c r="B441" s="154">
        <v>512000</v>
      </c>
      <c r="C441" s="158" t="s">
        <v>377</v>
      </c>
      <c r="D441" s="158"/>
      <c r="E441" s="159">
        <f>SUM(E442:E451)</f>
        <v>29312</v>
      </c>
      <c r="F441" s="159">
        <f t="shared" ref="F441:Q441" si="135">SUM(F442:F451)</f>
        <v>23521</v>
      </c>
      <c r="G441" s="159">
        <f t="shared" si="135"/>
        <v>15613</v>
      </c>
      <c r="H441" s="159">
        <f t="shared" si="135"/>
        <v>18000</v>
      </c>
      <c r="I441" s="159">
        <f t="shared" si="135"/>
        <v>13800</v>
      </c>
      <c r="J441" s="159">
        <f t="shared" si="135"/>
        <v>0</v>
      </c>
      <c r="K441" s="159">
        <f t="shared" si="135"/>
        <v>0</v>
      </c>
      <c r="L441" s="159">
        <f t="shared" si="135"/>
        <v>0</v>
      </c>
      <c r="M441" s="159">
        <f t="shared" si="135"/>
        <v>0</v>
      </c>
      <c r="N441" s="159">
        <f t="shared" si="135"/>
        <v>0</v>
      </c>
      <c r="O441" s="159">
        <f t="shared" si="135"/>
        <v>0</v>
      </c>
      <c r="P441" s="159">
        <f t="shared" si="135"/>
        <v>5521</v>
      </c>
      <c r="Q441" s="159">
        <f t="shared" si="135"/>
        <v>1813</v>
      </c>
    </row>
    <row r="442" spans="1:22" hidden="1" x14ac:dyDescent="0.25">
      <c r="A442" s="202">
        <v>5349</v>
      </c>
      <c r="B442" s="165">
        <v>512100</v>
      </c>
      <c r="C442" s="166" t="s">
        <v>378</v>
      </c>
      <c r="D442" s="166"/>
      <c r="E442" s="182"/>
      <c r="F442" s="182"/>
      <c r="G442" s="183">
        <f t="shared" si="113"/>
        <v>0</v>
      </c>
      <c r="H442" s="183"/>
      <c r="I442" s="182"/>
      <c r="J442" s="182"/>
      <c r="K442" s="182"/>
      <c r="L442" s="182"/>
      <c r="M442" s="182"/>
      <c r="N442" s="182"/>
      <c r="O442" s="182"/>
      <c r="P442" s="182"/>
      <c r="Q442" s="182"/>
    </row>
    <row r="443" spans="1:22" x14ac:dyDescent="0.25">
      <c r="A443" s="202">
        <v>5349</v>
      </c>
      <c r="B443" s="165">
        <v>512100</v>
      </c>
      <c r="C443" s="166" t="s">
        <v>378</v>
      </c>
      <c r="D443" s="166"/>
      <c r="E443" s="182"/>
      <c r="F443" s="182">
        <f>H443+K443+M443+P443</f>
        <v>3848</v>
      </c>
      <c r="G443" s="183"/>
      <c r="H443" s="183"/>
      <c r="I443" s="182"/>
      <c r="J443" s="182"/>
      <c r="K443" s="182"/>
      <c r="L443" s="182"/>
      <c r="M443" s="182"/>
      <c r="N443" s="182"/>
      <c r="O443" s="182"/>
      <c r="P443" s="185">
        <f>3960-112</f>
        <v>3848</v>
      </c>
      <c r="Q443" s="182"/>
    </row>
    <row r="444" spans="1:22" ht="28.5" x14ac:dyDescent="0.45">
      <c r="A444" s="202">
        <v>5350</v>
      </c>
      <c r="B444" s="165">
        <v>512200</v>
      </c>
      <c r="C444" s="166" t="s">
        <v>379</v>
      </c>
      <c r="D444" s="166"/>
      <c r="E444" s="182">
        <v>1312</v>
      </c>
      <c r="F444" s="182">
        <f>H444+K444+M444+P444</f>
        <v>1376</v>
      </c>
      <c r="G444" s="183">
        <f t="shared" ref="G444" si="136">SUM(I444:Q444)-K444-M444-P444</f>
        <v>1258</v>
      </c>
      <c r="H444" s="189"/>
      <c r="I444" s="182"/>
      <c r="J444" s="182"/>
      <c r="K444" s="182"/>
      <c r="L444" s="182"/>
      <c r="M444" s="182"/>
      <c r="N444" s="182"/>
      <c r="O444" s="182"/>
      <c r="P444" s="182">
        <f>2000-221-559-96+252</f>
        <v>1376</v>
      </c>
      <c r="Q444" s="182">
        <v>1258</v>
      </c>
      <c r="R444" s="152">
        <v>809</v>
      </c>
      <c r="S444" s="152">
        <v>1124</v>
      </c>
      <c r="T444" s="152">
        <f>S444-R444</f>
        <v>315</v>
      </c>
      <c r="V444" s="217" t="s">
        <v>538</v>
      </c>
    </row>
    <row r="445" spans="1:22" hidden="1" x14ac:dyDescent="0.25">
      <c r="A445" s="202">
        <v>5351</v>
      </c>
      <c r="B445" s="165">
        <v>512300</v>
      </c>
      <c r="C445" s="166" t="s">
        <v>380</v>
      </c>
      <c r="D445" s="166"/>
      <c r="E445" s="182"/>
      <c r="F445" s="182"/>
      <c r="G445" s="183">
        <f t="shared" si="113"/>
        <v>0</v>
      </c>
      <c r="H445" s="183"/>
      <c r="I445" s="182"/>
      <c r="J445" s="182"/>
      <c r="K445" s="182"/>
      <c r="L445" s="182"/>
      <c r="M445" s="182"/>
      <c r="N445" s="182"/>
      <c r="O445" s="182"/>
      <c r="P445" s="182"/>
      <c r="Q445" s="182"/>
    </row>
    <row r="446" spans="1:22" ht="26.25" hidden="1" x14ac:dyDescent="0.25">
      <c r="A446" s="202">
        <v>5352</v>
      </c>
      <c r="B446" s="165">
        <v>512400</v>
      </c>
      <c r="C446" s="166" t="s">
        <v>381</v>
      </c>
      <c r="D446" s="166"/>
      <c r="E446" s="182"/>
      <c r="F446" s="182"/>
      <c r="G446" s="183">
        <f t="shared" si="113"/>
        <v>0</v>
      </c>
      <c r="H446" s="183"/>
      <c r="I446" s="182"/>
      <c r="J446" s="182"/>
      <c r="K446" s="182"/>
      <c r="L446" s="182"/>
      <c r="M446" s="182"/>
      <c r="N446" s="182"/>
      <c r="O446" s="182"/>
      <c r="P446" s="182"/>
      <c r="Q446" s="182"/>
    </row>
    <row r="447" spans="1:22" ht="26.25" x14ac:dyDescent="0.25">
      <c r="A447" s="202">
        <v>5353</v>
      </c>
      <c r="B447" s="165">
        <v>512500</v>
      </c>
      <c r="C447" s="166" t="s">
        <v>382</v>
      </c>
      <c r="D447" s="166"/>
      <c r="E447" s="182">
        <v>28000</v>
      </c>
      <c r="F447" s="182">
        <f>H447+K447+M447+P447</f>
        <v>18297</v>
      </c>
      <c r="G447" s="183">
        <f t="shared" ref="G447" si="137">SUM(I447:Q447)-K447-M447-P447</f>
        <v>14355</v>
      </c>
      <c r="H447" s="183">
        <f>20000-2000</f>
        <v>18000</v>
      </c>
      <c r="I447" s="182">
        <v>13800</v>
      </c>
      <c r="J447" s="182"/>
      <c r="K447" s="182"/>
      <c r="L447" s="182"/>
      <c r="M447" s="182"/>
      <c r="N447" s="182"/>
      <c r="O447" s="182"/>
      <c r="P447" s="185">
        <f>157+140</f>
        <v>297</v>
      </c>
      <c r="Q447" s="182">
        <v>555</v>
      </c>
      <c r="V447" s="152" t="s">
        <v>469</v>
      </c>
    </row>
    <row r="448" spans="1:22" ht="26.25" hidden="1" x14ac:dyDescent="0.25">
      <c r="A448" s="202">
        <v>5354</v>
      </c>
      <c r="B448" s="165">
        <v>512600</v>
      </c>
      <c r="C448" s="166" t="s">
        <v>383</v>
      </c>
      <c r="D448" s="166"/>
      <c r="E448" s="182"/>
      <c r="F448" s="182"/>
      <c r="G448" s="183">
        <f t="shared" si="113"/>
        <v>0</v>
      </c>
      <c r="H448" s="183"/>
      <c r="I448" s="182"/>
      <c r="J448" s="182"/>
      <c r="K448" s="182"/>
      <c r="L448" s="182"/>
      <c r="M448" s="182"/>
      <c r="N448" s="182"/>
      <c r="O448" s="182"/>
      <c r="P448" s="182"/>
      <c r="Q448" s="182"/>
    </row>
    <row r="449" spans="1:17" hidden="1" x14ac:dyDescent="0.25">
      <c r="A449" s="202">
        <v>5355</v>
      </c>
      <c r="B449" s="165">
        <v>512700</v>
      </c>
      <c r="C449" s="166" t="s">
        <v>384</v>
      </c>
      <c r="D449" s="166"/>
      <c r="E449" s="182"/>
      <c r="F449" s="182"/>
      <c r="G449" s="183">
        <f t="shared" si="113"/>
        <v>0</v>
      </c>
      <c r="H449" s="183"/>
      <c r="I449" s="182"/>
      <c r="J449" s="182"/>
      <c r="K449" s="182"/>
      <c r="L449" s="182"/>
      <c r="M449" s="182"/>
      <c r="N449" s="182"/>
      <c r="O449" s="182"/>
      <c r="P449" s="182"/>
      <c r="Q449" s="182"/>
    </row>
    <row r="450" spans="1:17" hidden="1" x14ac:dyDescent="0.25">
      <c r="A450" s="202">
        <v>5356</v>
      </c>
      <c r="B450" s="165">
        <v>512800</v>
      </c>
      <c r="C450" s="166" t="s">
        <v>385</v>
      </c>
      <c r="D450" s="166"/>
      <c r="E450" s="182"/>
      <c r="F450" s="182"/>
      <c r="G450" s="183">
        <f t="shared" si="113"/>
        <v>0</v>
      </c>
      <c r="H450" s="183"/>
      <c r="I450" s="182"/>
      <c r="J450" s="182"/>
      <c r="K450" s="182"/>
      <c r="L450" s="182"/>
      <c r="M450" s="182"/>
      <c r="N450" s="182"/>
      <c r="O450" s="182"/>
      <c r="P450" s="182"/>
      <c r="Q450" s="182"/>
    </row>
    <row r="451" spans="1:17" ht="26.25" hidden="1" x14ac:dyDescent="0.25">
      <c r="A451" s="202">
        <v>5357</v>
      </c>
      <c r="B451" s="165">
        <v>512900</v>
      </c>
      <c r="C451" s="166" t="s">
        <v>386</v>
      </c>
      <c r="D451" s="166"/>
      <c r="E451" s="182"/>
      <c r="F451" s="182"/>
      <c r="G451" s="183">
        <f t="shared" si="113"/>
        <v>0</v>
      </c>
      <c r="H451" s="183"/>
      <c r="I451" s="182"/>
      <c r="J451" s="182"/>
      <c r="K451" s="182"/>
      <c r="L451" s="182"/>
      <c r="M451" s="182"/>
      <c r="N451" s="182"/>
      <c r="O451" s="182"/>
      <c r="P451" s="182"/>
      <c r="Q451" s="182"/>
    </row>
    <row r="452" spans="1:17" ht="26.25" hidden="1" x14ac:dyDescent="0.25">
      <c r="A452" s="180">
        <v>5358</v>
      </c>
      <c r="B452" s="154">
        <v>513000</v>
      </c>
      <c r="C452" s="158" t="s">
        <v>387</v>
      </c>
      <c r="D452" s="158"/>
      <c r="E452" s="159">
        <f>E453</f>
        <v>0</v>
      </c>
      <c r="F452" s="159"/>
      <c r="G452" s="159">
        <f t="shared" si="113"/>
        <v>0</v>
      </c>
      <c r="H452" s="159"/>
      <c r="I452" s="159">
        <f t="shared" ref="I452:Q452" si="138">I453</f>
        <v>0</v>
      </c>
      <c r="J452" s="159">
        <f t="shared" si="138"/>
        <v>0</v>
      </c>
      <c r="K452" s="159"/>
      <c r="L452" s="159">
        <f t="shared" si="138"/>
        <v>0</v>
      </c>
      <c r="M452" s="159"/>
      <c r="N452" s="159">
        <f t="shared" si="138"/>
        <v>0</v>
      </c>
      <c r="O452" s="159">
        <f t="shared" si="138"/>
        <v>0</v>
      </c>
      <c r="P452" s="159"/>
      <c r="Q452" s="159">
        <f t="shared" si="138"/>
        <v>0</v>
      </c>
    </row>
    <row r="453" spans="1:17" hidden="1" x14ac:dyDescent="0.25">
      <c r="A453" s="202">
        <v>5359</v>
      </c>
      <c r="B453" s="165">
        <v>513100</v>
      </c>
      <c r="C453" s="166" t="s">
        <v>388</v>
      </c>
      <c r="D453" s="166"/>
      <c r="E453" s="182"/>
      <c r="F453" s="182"/>
      <c r="G453" s="183">
        <f t="shared" si="113"/>
        <v>0</v>
      </c>
      <c r="H453" s="183"/>
      <c r="I453" s="182"/>
      <c r="J453" s="182"/>
      <c r="K453" s="182"/>
      <c r="L453" s="182"/>
      <c r="M453" s="182"/>
      <c r="N453" s="182"/>
      <c r="O453" s="182"/>
      <c r="P453" s="182"/>
      <c r="Q453" s="182"/>
    </row>
    <row r="454" spans="1:17" ht="26.25" hidden="1" x14ac:dyDescent="0.25">
      <c r="A454" s="180">
        <v>5360</v>
      </c>
      <c r="B454" s="154">
        <v>514000</v>
      </c>
      <c r="C454" s="158" t="s">
        <v>389</v>
      </c>
      <c r="D454" s="158"/>
      <c r="E454" s="159">
        <f>E455</f>
        <v>0</v>
      </c>
      <c r="F454" s="159"/>
      <c r="G454" s="159">
        <f t="shared" si="113"/>
        <v>0</v>
      </c>
      <c r="H454" s="159"/>
      <c r="I454" s="159">
        <f t="shared" ref="I454:Q454" si="139">I455</f>
        <v>0</v>
      </c>
      <c r="J454" s="159">
        <f t="shared" si="139"/>
        <v>0</v>
      </c>
      <c r="K454" s="159"/>
      <c r="L454" s="159">
        <f t="shared" si="139"/>
        <v>0</v>
      </c>
      <c r="M454" s="159"/>
      <c r="N454" s="159">
        <f t="shared" si="139"/>
        <v>0</v>
      </c>
      <c r="O454" s="159">
        <f t="shared" si="139"/>
        <v>0</v>
      </c>
      <c r="P454" s="159"/>
      <c r="Q454" s="159">
        <f t="shared" si="139"/>
        <v>0</v>
      </c>
    </row>
    <row r="455" spans="1:17" hidden="1" x14ac:dyDescent="0.25">
      <c r="A455" s="202">
        <v>5361</v>
      </c>
      <c r="B455" s="165">
        <v>514100</v>
      </c>
      <c r="C455" s="166" t="s">
        <v>390</v>
      </c>
      <c r="D455" s="166"/>
      <c r="E455" s="182"/>
      <c r="F455" s="182"/>
      <c r="G455" s="183">
        <f t="shared" si="113"/>
        <v>0</v>
      </c>
      <c r="H455" s="183"/>
      <c r="I455" s="182"/>
      <c r="J455" s="182"/>
      <c r="K455" s="182"/>
      <c r="L455" s="182"/>
      <c r="M455" s="182"/>
      <c r="N455" s="182"/>
      <c r="O455" s="182"/>
      <c r="P455" s="182"/>
      <c r="Q455" s="182"/>
    </row>
    <row r="456" spans="1:17" ht="26.25" x14ac:dyDescent="0.25">
      <c r="A456" s="180">
        <v>5362</v>
      </c>
      <c r="B456" s="154">
        <v>515000</v>
      </c>
      <c r="C456" s="158" t="s">
        <v>391</v>
      </c>
      <c r="D456" s="158"/>
      <c r="E456" s="159">
        <f>E457</f>
        <v>240</v>
      </c>
      <c r="F456" s="159">
        <f t="shared" ref="F456:Q456" si="140">F457</f>
        <v>100</v>
      </c>
      <c r="G456" s="159">
        <f t="shared" si="140"/>
        <v>100</v>
      </c>
      <c r="H456" s="159">
        <f t="shared" si="140"/>
        <v>0</v>
      </c>
      <c r="I456" s="159">
        <f t="shared" si="140"/>
        <v>0</v>
      </c>
      <c r="J456" s="159">
        <f t="shared" si="140"/>
        <v>0</v>
      </c>
      <c r="K456" s="159">
        <f t="shared" si="140"/>
        <v>0</v>
      </c>
      <c r="L456" s="159">
        <f t="shared" si="140"/>
        <v>0</v>
      </c>
      <c r="M456" s="159">
        <f t="shared" si="140"/>
        <v>0</v>
      </c>
      <c r="N456" s="159">
        <f t="shared" si="140"/>
        <v>0</v>
      </c>
      <c r="O456" s="159">
        <f t="shared" si="140"/>
        <v>0</v>
      </c>
      <c r="P456" s="159">
        <f t="shared" si="140"/>
        <v>100</v>
      </c>
      <c r="Q456" s="159">
        <f t="shared" si="140"/>
        <v>0</v>
      </c>
    </row>
    <row r="457" spans="1:17" x14ac:dyDescent="0.25">
      <c r="A457" s="202">
        <v>5363</v>
      </c>
      <c r="B457" s="165">
        <v>515100</v>
      </c>
      <c r="C457" s="166" t="s">
        <v>392</v>
      </c>
      <c r="D457" s="166"/>
      <c r="E457" s="182">
        <v>240</v>
      </c>
      <c r="F457" s="182">
        <f>H457+K457+M457+P457</f>
        <v>100</v>
      </c>
      <c r="G457" s="183">
        <f t="shared" si="113"/>
        <v>100</v>
      </c>
      <c r="H457" s="183"/>
      <c r="I457" s="182"/>
      <c r="J457" s="182"/>
      <c r="K457" s="182"/>
      <c r="L457" s="182"/>
      <c r="M457" s="182"/>
      <c r="N457" s="182"/>
      <c r="O457" s="182"/>
      <c r="P457" s="182">
        <v>100</v>
      </c>
      <c r="Q457" s="182"/>
    </row>
    <row r="458" spans="1:17" hidden="1" x14ac:dyDescent="0.25">
      <c r="A458" s="180">
        <v>5364</v>
      </c>
      <c r="B458" s="154">
        <v>520000</v>
      </c>
      <c r="C458" s="158" t="s">
        <v>393</v>
      </c>
      <c r="D458" s="158"/>
      <c r="E458" s="159">
        <f>E459+E461+E469</f>
        <v>0</v>
      </c>
      <c r="F458" s="159"/>
      <c r="G458" s="159">
        <f t="shared" ref="G458:G535" si="141">SUM(I458:Q458)</f>
        <v>0</v>
      </c>
      <c r="H458" s="159"/>
      <c r="I458" s="159">
        <f t="shared" ref="I458:Q458" si="142">I459+I461+I469</f>
        <v>0</v>
      </c>
      <c r="J458" s="159">
        <f t="shared" si="142"/>
        <v>0</v>
      </c>
      <c r="K458" s="159"/>
      <c r="L458" s="159">
        <f t="shared" si="142"/>
        <v>0</v>
      </c>
      <c r="M458" s="159"/>
      <c r="N458" s="159">
        <f t="shared" si="142"/>
        <v>0</v>
      </c>
      <c r="O458" s="159">
        <f t="shared" si="142"/>
        <v>0</v>
      </c>
      <c r="P458" s="159"/>
      <c r="Q458" s="159">
        <f t="shared" si="142"/>
        <v>0</v>
      </c>
    </row>
    <row r="459" spans="1:17" hidden="1" x14ac:dyDescent="0.25">
      <c r="A459" s="180">
        <v>5365</v>
      </c>
      <c r="B459" s="154">
        <v>521000</v>
      </c>
      <c r="C459" s="158" t="s">
        <v>394</v>
      </c>
      <c r="D459" s="158"/>
      <c r="E459" s="159">
        <f>E460</f>
        <v>0</v>
      </c>
      <c r="F459" s="159"/>
      <c r="G459" s="159">
        <f t="shared" si="141"/>
        <v>0</v>
      </c>
      <c r="H459" s="159"/>
      <c r="I459" s="159">
        <f t="shared" ref="I459:Q459" si="143">I460</f>
        <v>0</v>
      </c>
      <c r="J459" s="159">
        <f t="shared" si="143"/>
        <v>0</v>
      </c>
      <c r="K459" s="159"/>
      <c r="L459" s="159">
        <f t="shared" si="143"/>
        <v>0</v>
      </c>
      <c r="M459" s="159"/>
      <c r="N459" s="159">
        <f t="shared" si="143"/>
        <v>0</v>
      </c>
      <c r="O459" s="159">
        <f t="shared" si="143"/>
        <v>0</v>
      </c>
      <c r="P459" s="159"/>
      <c r="Q459" s="159">
        <f t="shared" si="143"/>
        <v>0</v>
      </c>
    </row>
    <row r="460" spans="1:17" hidden="1" x14ac:dyDescent="0.25">
      <c r="A460" s="202">
        <v>5366</v>
      </c>
      <c r="B460" s="165">
        <v>521100</v>
      </c>
      <c r="C460" s="166" t="s">
        <v>395</v>
      </c>
      <c r="D460" s="166"/>
      <c r="E460" s="182"/>
      <c r="F460" s="182"/>
      <c r="G460" s="183">
        <f t="shared" si="141"/>
        <v>0</v>
      </c>
      <c r="H460" s="183"/>
      <c r="I460" s="182"/>
      <c r="J460" s="182"/>
      <c r="K460" s="182"/>
      <c r="L460" s="182"/>
      <c r="M460" s="182"/>
      <c r="N460" s="182"/>
      <c r="O460" s="182"/>
      <c r="P460" s="182"/>
      <c r="Q460" s="182"/>
    </row>
    <row r="461" spans="1:17" ht="26.25" hidden="1" x14ac:dyDescent="0.25">
      <c r="A461" s="180">
        <v>5367</v>
      </c>
      <c r="B461" s="154">
        <v>522000</v>
      </c>
      <c r="C461" s="158" t="s">
        <v>396</v>
      </c>
      <c r="D461" s="158"/>
      <c r="E461" s="159">
        <f>SUM(E462:E468)</f>
        <v>0</v>
      </c>
      <c r="F461" s="159"/>
      <c r="G461" s="159">
        <f t="shared" si="141"/>
        <v>0</v>
      </c>
      <c r="H461" s="159"/>
      <c r="I461" s="159">
        <f t="shared" ref="I461:Q461" si="144">SUM(I462:I468)</f>
        <v>0</v>
      </c>
      <c r="J461" s="159">
        <f t="shared" si="144"/>
        <v>0</v>
      </c>
      <c r="K461" s="159"/>
      <c r="L461" s="159">
        <f t="shared" si="144"/>
        <v>0</v>
      </c>
      <c r="M461" s="159"/>
      <c r="N461" s="159">
        <f t="shared" si="144"/>
        <v>0</v>
      </c>
      <c r="O461" s="159">
        <f t="shared" si="144"/>
        <v>0</v>
      </c>
      <c r="P461" s="159"/>
      <c r="Q461" s="159">
        <f t="shared" si="144"/>
        <v>0</v>
      </c>
    </row>
    <row r="462" spans="1:17" hidden="1" x14ac:dyDescent="0.25">
      <c r="A462" s="202">
        <v>5368</v>
      </c>
      <c r="B462" s="165">
        <v>522100</v>
      </c>
      <c r="C462" s="166" t="s">
        <v>397</v>
      </c>
      <c r="D462" s="166"/>
      <c r="E462" s="182"/>
      <c r="F462" s="182"/>
      <c r="G462" s="183">
        <f t="shared" si="141"/>
        <v>0</v>
      </c>
      <c r="H462" s="183"/>
      <c r="I462" s="182"/>
      <c r="J462" s="182"/>
      <c r="K462" s="182"/>
      <c r="L462" s="182"/>
      <c r="M462" s="182"/>
      <c r="N462" s="182"/>
      <c r="O462" s="182"/>
      <c r="P462" s="182"/>
      <c r="Q462" s="182"/>
    </row>
    <row r="463" spans="1:17" hidden="1" x14ac:dyDescent="0.25">
      <c r="A463" s="598" t="s">
        <v>0</v>
      </c>
      <c r="B463" s="599" t="s">
        <v>1</v>
      </c>
      <c r="C463" s="598" t="s">
        <v>2</v>
      </c>
      <c r="D463" s="179"/>
      <c r="E463" s="598" t="s">
        <v>217</v>
      </c>
      <c r="F463" s="179"/>
      <c r="G463" s="600" t="s">
        <v>198</v>
      </c>
      <c r="H463" s="600"/>
      <c r="I463" s="601"/>
      <c r="J463" s="601"/>
      <c r="K463" s="601"/>
      <c r="L463" s="601"/>
      <c r="M463" s="601"/>
      <c r="N463" s="601"/>
      <c r="O463" s="601"/>
      <c r="P463" s="601"/>
      <c r="Q463" s="601"/>
    </row>
    <row r="464" spans="1:17" hidden="1" x14ac:dyDescent="0.25">
      <c r="A464" s="598"/>
      <c r="B464" s="599"/>
      <c r="C464" s="598"/>
      <c r="D464" s="179"/>
      <c r="E464" s="598"/>
      <c r="F464" s="179"/>
      <c r="G464" s="600" t="s">
        <v>199</v>
      </c>
      <c r="H464" s="154"/>
      <c r="I464" s="600" t="s">
        <v>200</v>
      </c>
      <c r="J464" s="601"/>
      <c r="K464" s="601"/>
      <c r="L464" s="601"/>
      <c r="M464" s="601"/>
      <c r="N464" s="601"/>
      <c r="O464" s="600" t="s">
        <v>7</v>
      </c>
      <c r="P464" s="154"/>
      <c r="Q464" s="600" t="s">
        <v>8</v>
      </c>
    </row>
    <row r="465" spans="1:17" ht="39" hidden="1" x14ac:dyDescent="0.25">
      <c r="A465" s="598"/>
      <c r="B465" s="599"/>
      <c r="C465" s="598"/>
      <c r="D465" s="179"/>
      <c r="E465" s="598"/>
      <c r="F465" s="179"/>
      <c r="G465" s="601"/>
      <c r="H465" s="203"/>
      <c r="I465" s="154" t="s">
        <v>201</v>
      </c>
      <c r="J465" s="154" t="s">
        <v>10</v>
      </c>
      <c r="K465" s="154"/>
      <c r="L465" s="154" t="s">
        <v>11</v>
      </c>
      <c r="M465" s="154"/>
      <c r="N465" s="154" t="s">
        <v>12</v>
      </c>
      <c r="O465" s="601"/>
      <c r="P465" s="203"/>
      <c r="Q465" s="601"/>
    </row>
    <row r="466" spans="1:17" ht="26.25" hidden="1" x14ac:dyDescent="0.25">
      <c r="A466" s="176" t="s">
        <v>18</v>
      </c>
      <c r="B466" s="176" t="s">
        <v>19</v>
      </c>
      <c r="C466" s="176" t="s">
        <v>20</v>
      </c>
      <c r="D466" s="176"/>
      <c r="E466" s="176" t="s">
        <v>21</v>
      </c>
      <c r="F466" s="176"/>
      <c r="G466" s="176" t="s">
        <v>22</v>
      </c>
      <c r="H466" s="176"/>
      <c r="I466" s="176" t="s">
        <v>23</v>
      </c>
      <c r="J466" s="176" t="s">
        <v>24</v>
      </c>
      <c r="K466" s="176"/>
      <c r="L466" s="176" t="s">
        <v>25</v>
      </c>
      <c r="M466" s="176"/>
      <c r="N466" s="176" t="s">
        <v>26</v>
      </c>
      <c r="O466" s="176" t="s">
        <v>27</v>
      </c>
      <c r="P466" s="176"/>
      <c r="Q466" s="176" t="s">
        <v>28</v>
      </c>
    </row>
    <row r="467" spans="1:17" hidden="1" x14ac:dyDescent="0.25">
      <c r="A467" s="202">
        <v>5369</v>
      </c>
      <c r="B467" s="165">
        <v>522200</v>
      </c>
      <c r="C467" s="166" t="s">
        <v>398</v>
      </c>
      <c r="D467" s="166"/>
      <c r="E467" s="182"/>
      <c r="F467" s="182"/>
      <c r="G467" s="183">
        <f t="shared" si="141"/>
        <v>0</v>
      </c>
      <c r="H467" s="183"/>
      <c r="I467" s="182"/>
      <c r="J467" s="182"/>
      <c r="K467" s="182"/>
      <c r="L467" s="182"/>
      <c r="M467" s="182"/>
      <c r="N467" s="182"/>
      <c r="O467" s="182"/>
      <c r="P467" s="182"/>
      <c r="Q467" s="182"/>
    </row>
    <row r="468" spans="1:17" hidden="1" x14ac:dyDescent="0.25">
      <c r="A468" s="202">
        <v>5370</v>
      </c>
      <c r="B468" s="165">
        <v>522300</v>
      </c>
      <c r="C468" s="166" t="s">
        <v>399</v>
      </c>
      <c r="D468" s="166"/>
      <c r="E468" s="182"/>
      <c r="F468" s="182"/>
      <c r="G468" s="183">
        <f t="shared" si="141"/>
        <v>0</v>
      </c>
      <c r="H468" s="183"/>
      <c r="I468" s="182"/>
      <c r="J468" s="182"/>
      <c r="K468" s="182"/>
      <c r="L468" s="182"/>
      <c r="M468" s="182"/>
      <c r="N468" s="182"/>
      <c r="O468" s="182"/>
      <c r="P468" s="182"/>
      <c r="Q468" s="182"/>
    </row>
    <row r="469" spans="1:17" ht="26.25" hidden="1" x14ac:dyDescent="0.25">
      <c r="A469" s="180">
        <v>5371</v>
      </c>
      <c r="B469" s="154">
        <v>523000</v>
      </c>
      <c r="C469" s="158" t="s">
        <v>400</v>
      </c>
      <c r="D469" s="158"/>
      <c r="E469" s="159">
        <f>E470</f>
        <v>0</v>
      </c>
      <c r="F469" s="159"/>
      <c r="G469" s="159">
        <f t="shared" si="141"/>
        <v>0</v>
      </c>
      <c r="H469" s="159"/>
      <c r="I469" s="159">
        <f t="shared" ref="I469:Q469" si="145">I470</f>
        <v>0</v>
      </c>
      <c r="J469" s="159">
        <f t="shared" si="145"/>
        <v>0</v>
      </c>
      <c r="K469" s="159"/>
      <c r="L469" s="159">
        <f t="shared" si="145"/>
        <v>0</v>
      </c>
      <c r="M469" s="159"/>
      <c r="N469" s="159">
        <f t="shared" si="145"/>
        <v>0</v>
      </c>
      <c r="O469" s="159">
        <f t="shared" si="145"/>
        <v>0</v>
      </c>
      <c r="P469" s="159"/>
      <c r="Q469" s="159">
        <f t="shared" si="145"/>
        <v>0</v>
      </c>
    </row>
    <row r="470" spans="1:17" hidden="1" x14ac:dyDescent="0.25">
      <c r="A470" s="202">
        <v>5372</v>
      </c>
      <c r="B470" s="165">
        <v>523100</v>
      </c>
      <c r="C470" s="166" t="s">
        <v>401</v>
      </c>
      <c r="D470" s="166"/>
      <c r="E470" s="182"/>
      <c r="F470" s="182"/>
      <c r="G470" s="183">
        <f t="shared" si="141"/>
        <v>0</v>
      </c>
      <c r="H470" s="183"/>
      <c r="I470" s="182"/>
      <c r="J470" s="182"/>
      <c r="K470" s="182"/>
      <c r="L470" s="182"/>
      <c r="M470" s="182"/>
      <c r="N470" s="182"/>
      <c r="O470" s="182"/>
      <c r="P470" s="182"/>
      <c r="Q470" s="182"/>
    </row>
    <row r="471" spans="1:17" hidden="1" x14ac:dyDescent="0.25">
      <c r="A471" s="180">
        <v>5373</v>
      </c>
      <c r="B471" s="154">
        <v>530000</v>
      </c>
      <c r="C471" s="158" t="s">
        <v>402</v>
      </c>
      <c r="D471" s="158"/>
      <c r="E471" s="159">
        <f>E472</f>
        <v>0</v>
      </c>
      <c r="F471" s="159"/>
      <c r="G471" s="159">
        <f t="shared" si="141"/>
        <v>0</v>
      </c>
      <c r="H471" s="159"/>
      <c r="I471" s="159">
        <f t="shared" ref="I471:Q472" si="146">I472</f>
        <v>0</v>
      </c>
      <c r="J471" s="159">
        <f t="shared" si="146"/>
        <v>0</v>
      </c>
      <c r="K471" s="159"/>
      <c r="L471" s="159">
        <f t="shared" si="146"/>
        <v>0</v>
      </c>
      <c r="M471" s="159"/>
      <c r="N471" s="159">
        <f t="shared" si="146"/>
        <v>0</v>
      </c>
      <c r="O471" s="159">
        <f t="shared" si="146"/>
        <v>0</v>
      </c>
      <c r="P471" s="159"/>
      <c r="Q471" s="159">
        <f t="shared" si="146"/>
        <v>0</v>
      </c>
    </row>
    <row r="472" spans="1:17" hidden="1" x14ac:dyDescent="0.25">
      <c r="A472" s="180">
        <v>5374</v>
      </c>
      <c r="B472" s="154">
        <v>531000</v>
      </c>
      <c r="C472" s="158" t="s">
        <v>403</v>
      </c>
      <c r="D472" s="158"/>
      <c r="E472" s="159">
        <f>E473</f>
        <v>0</v>
      </c>
      <c r="F472" s="159"/>
      <c r="G472" s="159">
        <f t="shared" si="141"/>
        <v>0</v>
      </c>
      <c r="H472" s="159"/>
      <c r="I472" s="159">
        <f t="shared" si="146"/>
        <v>0</v>
      </c>
      <c r="J472" s="159">
        <f t="shared" si="146"/>
        <v>0</v>
      </c>
      <c r="K472" s="159"/>
      <c r="L472" s="159">
        <f t="shared" si="146"/>
        <v>0</v>
      </c>
      <c r="M472" s="159"/>
      <c r="N472" s="159">
        <f t="shared" si="146"/>
        <v>0</v>
      </c>
      <c r="O472" s="159">
        <f t="shared" si="146"/>
        <v>0</v>
      </c>
      <c r="P472" s="159"/>
      <c r="Q472" s="159">
        <f t="shared" si="146"/>
        <v>0</v>
      </c>
    </row>
    <row r="473" spans="1:17" hidden="1" x14ac:dyDescent="0.25">
      <c r="A473" s="202">
        <v>5375</v>
      </c>
      <c r="B473" s="165">
        <v>531100</v>
      </c>
      <c r="C473" s="166" t="s">
        <v>404</v>
      </c>
      <c r="D473" s="166"/>
      <c r="E473" s="182"/>
      <c r="F473" s="182"/>
      <c r="G473" s="183">
        <f t="shared" si="141"/>
        <v>0</v>
      </c>
      <c r="H473" s="183"/>
      <c r="I473" s="182"/>
      <c r="J473" s="182"/>
      <c r="K473" s="182"/>
      <c r="L473" s="182"/>
      <c r="M473" s="182"/>
      <c r="N473" s="182"/>
      <c r="O473" s="182"/>
      <c r="P473" s="182"/>
      <c r="Q473" s="182"/>
    </row>
    <row r="474" spans="1:17" ht="26.25" hidden="1" x14ac:dyDescent="0.25">
      <c r="A474" s="180">
        <v>5376</v>
      </c>
      <c r="B474" s="154">
        <v>540000</v>
      </c>
      <c r="C474" s="158" t="s">
        <v>405</v>
      </c>
      <c r="D474" s="158"/>
      <c r="E474" s="159">
        <f>E475+E477+E479</f>
        <v>0</v>
      </c>
      <c r="F474" s="159"/>
      <c r="G474" s="159">
        <f t="shared" si="141"/>
        <v>0</v>
      </c>
      <c r="H474" s="159"/>
      <c r="I474" s="159">
        <f t="shared" ref="I474:Q474" si="147">I475+I477+I479</f>
        <v>0</v>
      </c>
      <c r="J474" s="159">
        <f t="shared" si="147"/>
        <v>0</v>
      </c>
      <c r="K474" s="159"/>
      <c r="L474" s="159">
        <f t="shared" si="147"/>
        <v>0</v>
      </c>
      <c r="M474" s="159"/>
      <c r="N474" s="159">
        <f t="shared" si="147"/>
        <v>0</v>
      </c>
      <c r="O474" s="159">
        <f t="shared" si="147"/>
        <v>0</v>
      </c>
      <c r="P474" s="159"/>
      <c r="Q474" s="159">
        <f t="shared" si="147"/>
        <v>0</v>
      </c>
    </row>
    <row r="475" spans="1:17" hidden="1" x14ac:dyDescent="0.25">
      <c r="A475" s="180">
        <v>5377</v>
      </c>
      <c r="B475" s="154">
        <v>541000</v>
      </c>
      <c r="C475" s="158" t="s">
        <v>406</v>
      </c>
      <c r="D475" s="158"/>
      <c r="E475" s="159">
        <f>E476</f>
        <v>0</v>
      </c>
      <c r="F475" s="159"/>
      <c r="G475" s="159">
        <f t="shared" si="141"/>
        <v>0</v>
      </c>
      <c r="H475" s="159"/>
      <c r="I475" s="159">
        <f t="shared" ref="I475:Q475" si="148">I476</f>
        <v>0</v>
      </c>
      <c r="J475" s="159">
        <f t="shared" si="148"/>
        <v>0</v>
      </c>
      <c r="K475" s="159"/>
      <c r="L475" s="159">
        <f t="shared" si="148"/>
        <v>0</v>
      </c>
      <c r="M475" s="159"/>
      <c r="N475" s="159">
        <f t="shared" si="148"/>
        <v>0</v>
      </c>
      <c r="O475" s="159">
        <f t="shared" si="148"/>
        <v>0</v>
      </c>
      <c r="P475" s="159"/>
      <c r="Q475" s="159">
        <f t="shared" si="148"/>
        <v>0</v>
      </c>
    </row>
    <row r="476" spans="1:17" hidden="1" x14ac:dyDescent="0.25">
      <c r="A476" s="202">
        <v>5378</v>
      </c>
      <c r="B476" s="165">
        <v>541100</v>
      </c>
      <c r="C476" s="166" t="s">
        <v>407</v>
      </c>
      <c r="D476" s="166"/>
      <c r="E476" s="182"/>
      <c r="F476" s="182"/>
      <c r="G476" s="183">
        <f t="shared" si="141"/>
        <v>0</v>
      </c>
      <c r="H476" s="183"/>
      <c r="I476" s="182"/>
      <c r="J476" s="182"/>
      <c r="K476" s="182"/>
      <c r="L476" s="182"/>
      <c r="M476" s="182"/>
      <c r="N476" s="182"/>
      <c r="O476" s="182"/>
      <c r="P476" s="182"/>
      <c r="Q476" s="182"/>
    </row>
    <row r="477" spans="1:17" hidden="1" x14ac:dyDescent="0.25">
      <c r="A477" s="180">
        <v>5379</v>
      </c>
      <c r="B477" s="154">
        <v>542000</v>
      </c>
      <c r="C477" s="158" t="s">
        <v>408</v>
      </c>
      <c r="D477" s="158"/>
      <c r="E477" s="159">
        <f>E478</f>
        <v>0</v>
      </c>
      <c r="F477" s="159"/>
      <c r="G477" s="159">
        <f t="shared" si="141"/>
        <v>0</v>
      </c>
      <c r="H477" s="159"/>
      <c r="I477" s="159">
        <f t="shared" ref="I477:Q477" si="149">I478</f>
        <v>0</v>
      </c>
      <c r="J477" s="159">
        <f t="shared" si="149"/>
        <v>0</v>
      </c>
      <c r="K477" s="159"/>
      <c r="L477" s="159">
        <f t="shared" si="149"/>
        <v>0</v>
      </c>
      <c r="M477" s="159"/>
      <c r="N477" s="159">
        <f t="shared" si="149"/>
        <v>0</v>
      </c>
      <c r="O477" s="159">
        <f t="shared" si="149"/>
        <v>0</v>
      </c>
      <c r="P477" s="159"/>
      <c r="Q477" s="159">
        <f t="shared" si="149"/>
        <v>0</v>
      </c>
    </row>
    <row r="478" spans="1:17" hidden="1" x14ac:dyDescent="0.25">
      <c r="A478" s="202">
        <v>5380</v>
      </c>
      <c r="B478" s="165">
        <v>542100</v>
      </c>
      <c r="C478" s="166" t="s">
        <v>409</v>
      </c>
      <c r="D478" s="166"/>
      <c r="E478" s="182"/>
      <c r="F478" s="182"/>
      <c r="G478" s="183">
        <f t="shared" si="141"/>
        <v>0</v>
      </c>
      <c r="H478" s="183"/>
      <c r="I478" s="182"/>
      <c r="J478" s="182"/>
      <c r="K478" s="182"/>
      <c r="L478" s="182"/>
      <c r="M478" s="182"/>
      <c r="N478" s="182"/>
      <c r="O478" s="182"/>
      <c r="P478" s="182"/>
      <c r="Q478" s="182"/>
    </row>
    <row r="479" spans="1:17" hidden="1" x14ac:dyDescent="0.25">
      <c r="A479" s="180">
        <v>5381</v>
      </c>
      <c r="B479" s="154">
        <v>543000</v>
      </c>
      <c r="C479" s="158" t="s">
        <v>410</v>
      </c>
      <c r="D479" s="158"/>
      <c r="E479" s="159">
        <f>E480+E481</f>
        <v>0</v>
      </c>
      <c r="F479" s="159"/>
      <c r="G479" s="159">
        <f t="shared" si="141"/>
        <v>0</v>
      </c>
      <c r="H479" s="159"/>
      <c r="I479" s="159">
        <f t="shared" ref="I479:Q479" si="150">I480+I481</f>
        <v>0</v>
      </c>
      <c r="J479" s="159">
        <f t="shared" si="150"/>
        <v>0</v>
      </c>
      <c r="K479" s="159"/>
      <c r="L479" s="159">
        <f t="shared" si="150"/>
        <v>0</v>
      </c>
      <c r="M479" s="159"/>
      <c r="N479" s="159">
        <f t="shared" si="150"/>
        <v>0</v>
      </c>
      <c r="O479" s="159">
        <f t="shared" si="150"/>
        <v>0</v>
      </c>
      <c r="P479" s="159"/>
      <c r="Q479" s="159">
        <f t="shared" si="150"/>
        <v>0</v>
      </c>
    </row>
    <row r="480" spans="1:17" hidden="1" x14ac:dyDescent="0.25">
      <c r="A480" s="202">
        <v>5382</v>
      </c>
      <c r="B480" s="165">
        <v>543100</v>
      </c>
      <c r="C480" s="166" t="s">
        <v>411</v>
      </c>
      <c r="D480" s="166"/>
      <c r="E480" s="182"/>
      <c r="F480" s="182"/>
      <c r="G480" s="183">
        <f t="shared" si="141"/>
        <v>0</v>
      </c>
      <c r="H480" s="183"/>
      <c r="I480" s="182"/>
      <c r="J480" s="182"/>
      <c r="K480" s="182"/>
      <c r="L480" s="182"/>
      <c r="M480" s="182"/>
      <c r="N480" s="182"/>
      <c r="O480" s="182"/>
      <c r="P480" s="182"/>
      <c r="Q480" s="182"/>
    </row>
    <row r="481" spans="1:17" hidden="1" x14ac:dyDescent="0.25">
      <c r="A481" s="202">
        <v>5383</v>
      </c>
      <c r="B481" s="165">
        <v>543200</v>
      </c>
      <c r="C481" s="166" t="s">
        <v>412</v>
      </c>
      <c r="D481" s="166"/>
      <c r="E481" s="182"/>
      <c r="F481" s="182"/>
      <c r="G481" s="183">
        <f t="shared" si="141"/>
        <v>0</v>
      </c>
      <c r="H481" s="183"/>
      <c r="I481" s="182"/>
      <c r="J481" s="182"/>
      <c r="K481" s="182"/>
      <c r="L481" s="182"/>
      <c r="M481" s="182"/>
      <c r="N481" s="182"/>
      <c r="O481" s="182"/>
      <c r="P481" s="182"/>
      <c r="Q481" s="182"/>
    </row>
    <row r="482" spans="1:17" ht="90" hidden="1" x14ac:dyDescent="0.25">
      <c r="A482" s="180">
        <v>5384</v>
      </c>
      <c r="B482" s="154">
        <v>550000</v>
      </c>
      <c r="C482" s="158" t="s">
        <v>413</v>
      </c>
      <c r="D482" s="158"/>
      <c r="E482" s="159">
        <f>E483</f>
        <v>0</v>
      </c>
      <c r="F482" s="159"/>
      <c r="G482" s="159">
        <f t="shared" si="141"/>
        <v>0</v>
      </c>
      <c r="H482" s="159"/>
      <c r="I482" s="159">
        <f t="shared" ref="I482:Q483" si="151">I483</f>
        <v>0</v>
      </c>
      <c r="J482" s="159">
        <f t="shared" si="151"/>
        <v>0</v>
      </c>
      <c r="K482" s="159"/>
      <c r="L482" s="159">
        <f t="shared" si="151"/>
        <v>0</v>
      </c>
      <c r="M482" s="159"/>
      <c r="N482" s="159">
        <f t="shared" si="151"/>
        <v>0</v>
      </c>
      <c r="O482" s="159">
        <f t="shared" si="151"/>
        <v>0</v>
      </c>
      <c r="P482" s="159"/>
      <c r="Q482" s="159">
        <f t="shared" si="151"/>
        <v>0</v>
      </c>
    </row>
    <row r="483" spans="1:17" ht="90" hidden="1" x14ac:dyDescent="0.25">
      <c r="A483" s="180">
        <v>5385</v>
      </c>
      <c r="B483" s="154">
        <v>551000</v>
      </c>
      <c r="C483" s="158" t="s">
        <v>414</v>
      </c>
      <c r="D483" s="158"/>
      <c r="E483" s="159">
        <f>E484</f>
        <v>0</v>
      </c>
      <c r="F483" s="159"/>
      <c r="G483" s="159">
        <f t="shared" si="141"/>
        <v>0</v>
      </c>
      <c r="H483" s="159"/>
      <c r="I483" s="159">
        <f t="shared" si="151"/>
        <v>0</v>
      </c>
      <c r="J483" s="159">
        <f t="shared" si="151"/>
        <v>0</v>
      </c>
      <c r="K483" s="159"/>
      <c r="L483" s="159">
        <f t="shared" si="151"/>
        <v>0</v>
      </c>
      <c r="M483" s="159"/>
      <c r="N483" s="159">
        <f t="shared" si="151"/>
        <v>0</v>
      </c>
      <c r="O483" s="159">
        <f t="shared" si="151"/>
        <v>0</v>
      </c>
      <c r="P483" s="159"/>
      <c r="Q483" s="159">
        <f t="shared" si="151"/>
        <v>0</v>
      </c>
    </row>
    <row r="484" spans="1:17" ht="51.75" hidden="1" x14ac:dyDescent="0.25">
      <c r="A484" s="202">
        <v>5386</v>
      </c>
      <c r="B484" s="165">
        <v>551100</v>
      </c>
      <c r="C484" s="166" t="s">
        <v>415</v>
      </c>
      <c r="D484" s="166"/>
      <c r="E484" s="182"/>
      <c r="F484" s="182"/>
      <c r="G484" s="183">
        <f t="shared" si="141"/>
        <v>0</v>
      </c>
      <c r="H484" s="183"/>
      <c r="I484" s="182"/>
      <c r="J484" s="182"/>
      <c r="K484" s="182"/>
      <c r="L484" s="182"/>
      <c r="M484" s="182"/>
      <c r="N484" s="182"/>
      <c r="O484" s="182"/>
      <c r="P484" s="182"/>
      <c r="Q484" s="182"/>
    </row>
    <row r="485" spans="1:17" ht="51.75" hidden="1" x14ac:dyDescent="0.25">
      <c r="A485" s="180">
        <v>5387</v>
      </c>
      <c r="B485" s="154">
        <v>600000</v>
      </c>
      <c r="C485" s="158" t="s">
        <v>416</v>
      </c>
      <c r="D485" s="158"/>
      <c r="E485" s="159">
        <f>E486+E515</f>
        <v>0</v>
      </c>
      <c r="F485" s="159"/>
      <c r="G485" s="159">
        <f t="shared" si="141"/>
        <v>0</v>
      </c>
      <c r="H485" s="159"/>
      <c r="I485" s="159">
        <f t="shared" ref="I485:Q485" si="152">I486+I515</f>
        <v>0</v>
      </c>
      <c r="J485" s="159">
        <f t="shared" si="152"/>
        <v>0</v>
      </c>
      <c r="K485" s="159"/>
      <c r="L485" s="159">
        <f t="shared" si="152"/>
        <v>0</v>
      </c>
      <c r="M485" s="159"/>
      <c r="N485" s="159">
        <f t="shared" si="152"/>
        <v>0</v>
      </c>
      <c r="O485" s="159">
        <f t="shared" si="152"/>
        <v>0</v>
      </c>
      <c r="P485" s="159"/>
      <c r="Q485" s="159">
        <f t="shared" si="152"/>
        <v>0</v>
      </c>
    </row>
    <row r="486" spans="1:17" ht="26.25" hidden="1" x14ac:dyDescent="0.25">
      <c r="A486" s="180">
        <v>5388</v>
      </c>
      <c r="B486" s="154">
        <v>610000</v>
      </c>
      <c r="C486" s="158" t="s">
        <v>417</v>
      </c>
      <c r="D486" s="158"/>
      <c r="E486" s="159">
        <f>E487+E501+E509+E511+E513</f>
        <v>0</v>
      </c>
      <c r="F486" s="159"/>
      <c r="G486" s="159">
        <f t="shared" si="141"/>
        <v>0</v>
      </c>
      <c r="H486" s="159"/>
      <c r="I486" s="159">
        <f t="shared" ref="I486:Q486" si="153">I487+I501+I509+I511+I513</f>
        <v>0</v>
      </c>
      <c r="J486" s="159">
        <f t="shared" si="153"/>
        <v>0</v>
      </c>
      <c r="K486" s="159"/>
      <c r="L486" s="159">
        <f t="shared" si="153"/>
        <v>0</v>
      </c>
      <c r="M486" s="159"/>
      <c r="N486" s="159">
        <f t="shared" si="153"/>
        <v>0</v>
      </c>
      <c r="O486" s="159">
        <f t="shared" si="153"/>
        <v>0</v>
      </c>
      <c r="P486" s="159"/>
      <c r="Q486" s="159">
        <f t="shared" si="153"/>
        <v>0</v>
      </c>
    </row>
    <row r="487" spans="1:17" ht="39" hidden="1" x14ac:dyDescent="0.25">
      <c r="A487" s="180">
        <v>5389</v>
      </c>
      <c r="B487" s="154">
        <v>611000</v>
      </c>
      <c r="C487" s="158" t="s">
        <v>418</v>
      </c>
      <c r="D487" s="158"/>
      <c r="E487" s="159">
        <f>SUM(E488:E500)</f>
        <v>0</v>
      </c>
      <c r="F487" s="159"/>
      <c r="G487" s="159">
        <f t="shared" si="141"/>
        <v>0</v>
      </c>
      <c r="H487" s="159"/>
      <c r="I487" s="159">
        <f t="shared" ref="I487:Q487" si="154">SUM(I488:I500)</f>
        <v>0</v>
      </c>
      <c r="J487" s="159">
        <f t="shared" si="154"/>
        <v>0</v>
      </c>
      <c r="K487" s="159"/>
      <c r="L487" s="159">
        <f t="shared" si="154"/>
        <v>0</v>
      </c>
      <c r="M487" s="159"/>
      <c r="N487" s="159">
        <f t="shared" si="154"/>
        <v>0</v>
      </c>
      <c r="O487" s="159">
        <f t="shared" si="154"/>
        <v>0</v>
      </c>
      <c r="P487" s="159"/>
      <c r="Q487" s="159">
        <f t="shared" si="154"/>
        <v>0</v>
      </c>
    </row>
    <row r="488" spans="1:17" ht="39" hidden="1" x14ac:dyDescent="0.25">
      <c r="A488" s="202">
        <v>5390</v>
      </c>
      <c r="B488" s="165">
        <v>611100</v>
      </c>
      <c r="C488" s="166" t="s">
        <v>419</v>
      </c>
      <c r="D488" s="166"/>
      <c r="E488" s="182"/>
      <c r="F488" s="182"/>
      <c r="G488" s="183">
        <f t="shared" si="141"/>
        <v>0</v>
      </c>
      <c r="H488" s="183"/>
      <c r="I488" s="182"/>
      <c r="J488" s="182"/>
      <c r="K488" s="182"/>
      <c r="L488" s="182"/>
      <c r="M488" s="182"/>
      <c r="N488" s="182"/>
      <c r="O488" s="182"/>
      <c r="P488" s="182"/>
      <c r="Q488" s="182"/>
    </row>
    <row r="489" spans="1:17" ht="26.25" hidden="1" x14ac:dyDescent="0.25">
      <c r="A489" s="202">
        <v>5391</v>
      </c>
      <c r="B489" s="165">
        <v>611200</v>
      </c>
      <c r="C489" s="166" t="s">
        <v>420</v>
      </c>
      <c r="D489" s="166"/>
      <c r="E489" s="182"/>
      <c r="F489" s="182"/>
      <c r="G489" s="183">
        <f t="shared" si="141"/>
        <v>0</v>
      </c>
      <c r="H489" s="183"/>
      <c r="I489" s="182"/>
      <c r="J489" s="182"/>
      <c r="K489" s="182"/>
      <c r="L489" s="182"/>
      <c r="M489" s="182"/>
      <c r="N489" s="182"/>
      <c r="O489" s="182"/>
      <c r="P489" s="182"/>
      <c r="Q489" s="182"/>
    </row>
    <row r="490" spans="1:17" ht="39" hidden="1" x14ac:dyDescent="0.25">
      <c r="A490" s="202">
        <v>5392</v>
      </c>
      <c r="B490" s="165">
        <v>611300</v>
      </c>
      <c r="C490" s="166" t="s">
        <v>421</v>
      </c>
      <c r="D490" s="166"/>
      <c r="E490" s="182"/>
      <c r="F490" s="182"/>
      <c r="G490" s="183">
        <f t="shared" si="141"/>
        <v>0</v>
      </c>
      <c r="H490" s="183"/>
      <c r="I490" s="182"/>
      <c r="J490" s="182"/>
      <c r="K490" s="182"/>
      <c r="L490" s="182"/>
      <c r="M490" s="182"/>
      <c r="N490" s="182"/>
      <c r="O490" s="182"/>
      <c r="P490" s="182"/>
      <c r="Q490" s="182"/>
    </row>
    <row r="491" spans="1:17" hidden="1" x14ac:dyDescent="0.25">
      <c r="A491" s="598" t="s">
        <v>0</v>
      </c>
      <c r="B491" s="599" t="s">
        <v>1</v>
      </c>
      <c r="C491" s="598" t="s">
        <v>2</v>
      </c>
      <c r="D491" s="179"/>
      <c r="E491" s="598" t="s">
        <v>217</v>
      </c>
      <c r="F491" s="179"/>
      <c r="G491" s="600" t="s">
        <v>198</v>
      </c>
      <c r="H491" s="600"/>
      <c r="I491" s="601"/>
      <c r="J491" s="601"/>
      <c r="K491" s="601"/>
      <c r="L491" s="601"/>
      <c r="M491" s="601"/>
      <c r="N491" s="601"/>
      <c r="O491" s="601"/>
      <c r="P491" s="601"/>
      <c r="Q491" s="601"/>
    </row>
    <row r="492" spans="1:17" hidden="1" x14ac:dyDescent="0.25">
      <c r="A492" s="598"/>
      <c r="B492" s="599"/>
      <c r="C492" s="598"/>
      <c r="D492" s="179"/>
      <c r="E492" s="598"/>
      <c r="F492" s="179"/>
      <c r="G492" s="600" t="s">
        <v>199</v>
      </c>
      <c r="H492" s="154"/>
      <c r="I492" s="600" t="s">
        <v>200</v>
      </c>
      <c r="J492" s="601"/>
      <c r="K492" s="601"/>
      <c r="L492" s="601"/>
      <c r="M492" s="601"/>
      <c r="N492" s="601"/>
      <c r="O492" s="600" t="s">
        <v>7</v>
      </c>
      <c r="P492" s="154"/>
      <c r="Q492" s="600" t="s">
        <v>8</v>
      </c>
    </row>
    <row r="493" spans="1:17" ht="39" hidden="1" x14ac:dyDescent="0.25">
      <c r="A493" s="598"/>
      <c r="B493" s="599"/>
      <c r="C493" s="598"/>
      <c r="D493" s="179"/>
      <c r="E493" s="598"/>
      <c r="F493" s="179"/>
      <c r="G493" s="601"/>
      <c r="H493" s="203"/>
      <c r="I493" s="154" t="s">
        <v>201</v>
      </c>
      <c r="J493" s="154" t="s">
        <v>10</v>
      </c>
      <c r="K493" s="154"/>
      <c r="L493" s="154" t="s">
        <v>11</v>
      </c>
      <c r="M493" s="154"/>
      <c r="N493" s="154" t="s">
        <v>12</v>
      </c>
      <c r="O493" s="601"/>
      <c r="P493" s="203"/>
      <c r="Q493" s="601"/>
    </row>
    <row r="494" spans="1:17" ht="26.25" hidden="1" x14ac:dyDescent="0.25">
      <c r="A494" s="176" t="s">
        <v>18</v>
      </c>
      <c r="B494" s="176" t="s">
        <v>19</v>
      </c>
      <c r="C494" s="176" t="s">
        <v>20</v>
      </c>
      <c r="D494" s="176"/>
      <c r="E494" s="176" t="s">
        <v>21</v>
      </c>
      <c r="F494" s="176"/>
      <c r="G494" s="176" t="s">
        <v>22</v>
      </c>
      <c r="H494" s="176"/>
      <c r="I494" s="176" t="s">
        <v>23</v>
      </c>
      <c r="J494" s="176" t="s">
        <v>24</v>
      </c>
      <c r="K494" s="176"/>
      <c r="L494" s="176" t="s">
        <v>25</v>
      </c>
      <c r="M494" s="176"/>
      <c r="N494" s="176" t="s">
        <v>26</v>
      </c>
      <c r="O494" s="176" t="s">
        <v>27</v>
      </c>
      <c r="P494" s="176"/>
      <c r="Q494" s="176" t="s">
        <v>28</v>
      </c>
    </row>
    <row r="495" spans="1:17" ht="26.25" hidden="1" x14ac:dyDescent="0.25">
      <c r="A495" s="202">
        <v>5393</v>
      </c>
      <c r="B495" s="165">
        <v>611400</v>
      </c>
      <c r="C495" s="166" t="s">
        <v>422</v>
      </c>
      <c r="D495" s="166"/>
      <c r="E495" s="182"/>
      <c r="F495" s="182"/>
      <c r="G495" s="183">
        <f t="shared" si="141"/>
        <v>0</v>
      </c>
      <c r="H495" s="183"/>
      <c r="I495" s="182"/>
      <c r="J495" s="182"/>
      <c r="K495" s="182"/>
      <c r="L495" s="182"/>
      <c r="M495" s="182"/>
      <c r="N495" s="182"/>
      <c r="O495" s="182"/>
      <c r="P495" s="182"/>
      <c r="Q495" s="182"/>
    </row>
    <row r="496" spans="1:17" ht="26.25" hidden="1" x14ac:dyDescent="0.25">
      <c r="A496" s="202">
        <v>5394</v>
      </c>
      <c r="B496" s="165">
        <v>611500</v>
      </c>
      <c r="C496" s="166" t="s">
        <v>423</v>
      </c>
      <c r="D496" s="166"/>
      <c r="E496" s="182"/>
      <c r="F496" s="182"/>
      <c r="G496" s="183">
        <f t="shared" si="141"/>
        <v>0</v>
      </c>
      <c r="H496" s="183"/>
      <c r="I496" s="182"/>
      <c r="J496" s="182"/>
      <c r="K496" s="182"/>
      <c r="L496" s="182"/>
      <c r="M496" s="182"/>
      <c r="N496" s="182"/>
      <c r="O496" s="182"/>
      <c r="P496" s="182"/>
      <c r="Q496" s="182"/>
    </row>
    <row r="497" spans="1:17" ht="26.25" hidden="1" x14ac:dyDescent="0.25">
      <c r="A497" s="202">
        <v>5395</v>
      </c>
      <c r="B497" s="165">
        <v>611600</v>
      </c>
      <c r="C497" s="166" t="s">
        <v>424</v>
      </c>
      <c r="D497" s="166"/>
      <c r="E497" s="182"/>
      <c r="F497" s="182"/>
      <c r="G497" s="183">
        <f t="shared" si="141"/>
        <v>0</v>
      </c>
      <c r="H497" s="183"/>
      <c r="I497" s="182"/>
      <c r="J497" s="182"/>
      <c r="K497" s="182"/>
      <c r="L497" s="182"/>
      <c r="M497" s="182"/>
      <c r="N497" s="182"/>
      <c r="O497" s="182"/>
      <c r="P497" s="182"/>
      <c r="Q497" s="182"/>
    </row>
    <row r="498" spans="1:17" ht="26.25" hidden="1" x14ac:dyDescent="0.25">
      <c r="A498" s="202">
        <v>5396</v>
      </c>
      <c r="B498" s="165">
        <v>611700</v>
      </c>
      <c r="C498" s="166" t="s">
        <v>425</v>
      </c>
      <c r="D498" s="166"/>
      <c r="E498" s="182"/>
      <c r="F498" s="182"/>
      <c r="G498" s="183">
        <f t="shared" si="141"/>
        <v>0</v>
      </c>
      <c r="H498" s="183"/>
      <c r="I498" s="182"/>
      <c r="J498" s="182"/>
      <c r="K498" s="182"/>
      <c r="L498" s="182"/>
      <c r="M498" s="182"/>
      <c r="N498" s="182"/>
      <c r="O498" s="182"/>
      <c r="P498" s="182"/>
      <c r="Q498" s="182"/>
    </row>
    <row r="499" spans="1:17" hidden="1" x14ac:dyDescent="0.25">
      <c r="A499" s="202">
        <v>5397</v>
      </c>
      <c r="B499" s="165">
        <v>611800</v>
      </c>
      <c r="C499" s="166" t="s">
        <v>426</v>
      </c>
      <c r="D499" s="166"/>
      <c r="E499" s="182"/>
      <c r="F499" s="182"/>
      <c r="G499" s="183">
        <f t="shared" si="141"/>
        <v>0</v>
      </c>
      <c r="H499" s="183"/>
      <c r="I499" s="182"/>
      <c r="J499" s="182"/>
      <c r="K499" s="182"/>
      <c r="L499" s="182"/>
      <c r="M499" s="182"/>
      <c r="N499" s="182"/>
      <c r="O499" s="182"/>
      <c r="P499" s="182"/>
      <c r="Q499" s="182"/>
    </row>
    <row r="500" spans="1:17" hidden="1" x14ac:dyDescent="0.25">
      <c r="A500" s="202">
        <v>5398</v>
      </c>
      <c r="B500" s="165">
        <v>611900</v>
      </c>
      <c r="C500" s="166" t="s">
        <v>165</v>
      </c>
      <c r="D500" s="166"/>
      <c r="E500" s="182"/>
      <c r="F500" s="182"/>
      <c r="G500" s="183">
        <f t="shared" si="141"/>
        <v>0</v>
      </c>
      <c r="H500" s="183"/>
      <c r="I500" s="182"/>
      <c r="J500" s="182"/>
      <c r="K500" s="182"/>
      <c r="L500" s="182"/>
      <c r="M500" s="182"/>
      <c r="N500" s="182"/>
      <c r="O500" s="182"/>
      <c r="P500" s="182"/>
      <c r="Q500" s="182"/>
    </row>
    <row r="501" spans="1:17" ht="39" hidden="1" x14ac:dyDescent="0.25">
      <c r="A501" s="180">
        <v>5399</v>
      </c>
      <c r="B501" s="154">
        <v>612000</v>
      </c>
      <c r="C501" s="158" t="s">
        <v>427</v>
      </c>
      <c r="D501" s="158"/>
      <c r="E501" s="159">
        <f>SUM(E502:E508)</f>
        <v>0</v>
      </c>
      <c r="F501" s="159"/>
      <c r="G501" s="159">
        <f t="shared" si="141"/>
        <v>0</v>
      </c>
      <c r="H501" s="159"/>
      <c r="I501" s="159">
        <f t="shared" ref="I501:Q501" si="155">SUM(I502:I508)</f>
        <v>0</v>
      </c>
      <c r="J501" s="159">
        <f t="shared" si="155"/>
        <v>0</v>
      </c>
      <c r="K501" s="159"/>
      <c r="L501" s="159">
        <f t="shared" si="155"/>
        <v>0</v>
      </c>
      <c r="M501" s="159"/>
      <c r="N501" s="159">
        <f t="shared" si="155"/>
        <v>0</v>
      </c>
      <c r="O501" s="159">
        <f t="shared" si="155"/>
        <v>0</v>
      </c>
      <c r="P501" s="159"/>
      <c r="Q501" s="159">
        <f t="shared" si="155"/>
        <v>0</v>
      </c>
    </row>
    <row r="502" spans="1:17" ht="51.75" hidden="1" x14ac:dyDescent="0.25">
      <c r="A502" s="202">
        <v>5400</v>
      </c>
      <c r="B502" s="165">
        <v>612100</v>
      </c>
      <c r="C502" s="166" t="s">
        <v>428</v>
      </c>
      <c r="D502" s="166"/>
      <c r="E502" s="182"/>
      <c r="F502" s="182"/>
      <c r="G502" s="183">
        <f t="shared" si="141"/>
        <v>0</v>
      </c>
      <c r="H502" s="183"/>
      <c r="I502" s="182"/>
      <c r="J502" s="182"/>
      <c r="K502" s="182"/>
      <c r="L502" s="182"/>
      <c r="M502" s="182"/>
      <c r="N502" s="182"/>
      <c r="O502" s="182"/>
      <c r="P502" s="182"/>
      <c r="Q502" s="182"/>
    </row>
    <row r="503" spans="1:17" ht="26.25" hidden="1" x14ac:dyDescent="0.25">
      <c r="A503" s="202">
        <v>5401</v>
      </c>
      <c r="B503" s="165">
        <v>612200</v>
      </c>
      <c r="C503" s="166" t="s">
        <v>429</v>
      </c>
      <c r="D503" s="166"/>
      <c r="E503" s="182"/>
      <c r="F503" s="182"/>
      <c r="G503" s="183">
        <f t="shared" si="141"/>
        <v>0</v>
      </c>
      <c r="H503" s="183"/>
      <c r="I503" s="182"/>
      <c r="J503" s="182"/>
      <c r="K503" s="182"/>
      <c r="L503" s="182"/>
      <c r="M503" s="182"/>
      <c r="N503" s="182"/>
      <c r="O503" s="182"/>
      <c r="P503" s="182"/>
      <c r="Q503" s="182"/>
    </row>
    <row r="504" spans="1:17" ht="26.25" hidden="1" x14ac:dyDescent="0.25">
      <c r="A504" s="202">
        <v>5402</v>
      </c>
      <c r="B504" s="165">
        <v>612300</v>
      </c>
      <c r="C504" s="166" t="s">
        <v>430</v>
      </c>
      <c r="D504" s="166"/>
      <c r="E504" s="182"/>
      <c r="F504" s="182"/>
      <c r="G504" s="183">
        <f t="shared" si="141"/>
        <v>0</v>
      </c>
      <c r="H504" s="183"/>
      <c r="I504" s="182"/>
      <c r="J504" s="182"/>
      <c r="K504" s="182"/>
      <c r="L504" s="182"/>
      <c r="M504" s="182"/>
      <c r="N504" s="182"/>
      <c r="O504" s="182"/>
      <c r="P504" s="182"/>
      <c r="Q504" s="182"/>
    </row>
    <row r="505" spans="1:17" ht="26.25" hidden="1" x14ac:dyDescent="0.25">
      <c r="A505" s="202">
        <v>5403</v>
      </c>
      <c r="B505" s="165">
        <v>612400</v>
      </c>
      <c r="C505" s="166" t="s">
        <v>431</v>
      </c>
      <c r="D505" s="166"/>
      <c r="E505" s="182"/>
      <c r="F505" s="182"/>
      <c r="G505" s="183">
        <f t="shared" si="141"/>
        <v>0</v>
      </c>
      <c r="H505" s="183"/>
      <c r="I505" s="182"/>
      <c r="J505" s="182"/>
      <c r="K505" s="182"/>
      <c r="L505" s="182"/>
      <c r="M505" s="182"/>
      <c r="N505" s="182"/>
      <c r="O505" s="182"/>
      <c r="P505" s="182"/>
      <c r="Q505" s="182"/>
    </row>
    <row r="506" spans="1:17" ht="26.25" hidden="1" x14ac:dyDescent="0.25">
      <c r="A506" s="202">
        <v>5404</v>
      </c>
      <c r="B506" s="165">
        <v>612500</v>
      </c>
      <c r="C506" s="166" t="s">
        <v>432</v>
      </c>
      <c r="D506" s="166"/>
      <c r="E506" s="182"/>
      <c r="F506" s="182"/>
      <c r="G506" s="183">
        <f t="shared" si="141"/>
        <v>0</v>
      </c>
      <c r="H506" s="183"/>
      <c r="I506" s="182"/>
      <c r="J506" s="182"/>
      <c r="K506" s="182"/>
      <c r="L506" s="182"/>
      <c r="M506" s="182"/>
      <c r="N506" s="182"/>
      <c r="O506" s="182"/>
      <c r="P506" s="182"/>
      <c r="Q506" s="182"/>
    </row>
    <row r="507" spans="1:17" ht="26.25" hidden="1" x14ac:dyDescent="0.25">
      <c r="A507" s="202">
        <v>5405</v>
      </c>
      <c r="B507" s="165">
        <v>612600</v>
      </c>
      <c r="C507" s="166" t="s">
        <v>433</v>
      </c>
      <c r="D507" s="166"/>
      <c r="E507" s="182"/>
      <c r="F507" s="182"/>
      <c r="G507" s="183">
        <f t="shared" si="141"/>
        <v>0</v>
      </c>
      <c r="H507" s="183"/>
      <c r="I507" s="182"/>
      <c r="J507" s="182"/>
      <c r="K507" s="182"/>
      <c r="L507" s="182"/>
      <c r="M507" s="182"/>
      <c r="N507" s="182"/>
      <c r="O507" s="182"/>
      <c r="P507" s="182"/>
      <c r="Q507" s="182"/>
    </row>
    <row r="508" spans="1:17" hidden="1" x14ac:dyDescent="0.25">
      <c r="A508" s="202">
        <v>5406</v>
      </c>
      <c r="B508" s="165">
        <v>612900</v>
      </c>
      <c r="C508" s="166" t="s">
        <v>173</v>
      </c>
      <c r="D508" s="166"/>
      <c r="E508" s="182"/>
      <c r="F508" s="182"/>
      <c r="G508" s="183">
        <f t="shared" si="141"/>
        <v>0</v>
      </c>
      <c r="H508" s="183"/>
      <c r="I508" s="182"/>
      <c r="J508" s="182"/>
      <c r="K508" s="182"/>
      <c r="L508" s="182"/>
      <c r="M508" s="182"/>
      <c r="N508" s="182"/>
      <c r="O508" s="182"/>
      <c r="P508" s="182"/>
      <c r="Q508" s="182"/>
    </row>
    <row r="509" spans="1:17" ht="26.25" hidden="1" x14ac:dyDescent="0.25">
      <c r="A509" s="180">
        <v>5407</v>
      </c>
      <c r="B509" s="154">
        <v>613000</v>
      </c>
      <c r="C509" s="158" t="s">
        <v>434</v>
      </c>
      <c r="D509" s="158"/>
      <c r="E509" s="159">
        <f>E510</f>
        <v>0</v>
      </c>
      <c r="F509" s="159"/>
      <c r="G509" s="159">
        <f t="shared" si="141"/>
        <v>0</v>
      </c>
      <c r="H509" s="159"/>
      <c r="I509" s="159">
        <f t="shared" ref="I509:Q509" si="156">I510</f>
        <v>0</v>
      </c>
      <c r="J509" s="159">
        <f t="shared" si="156"/>
        <v>0</v>
      </c>
      <c r="K509" s="159"/>
      <c r="L509" s="159">
        <f t="shared" si="156"/>
        <v>0</v>
      </c>
      <c r="M509" s="159"/>
      <c r="N509" s="159">
        <f t="shared" si="156"/>
        <v>0</v>
      </c>
      <c r="O509" s="159">
        <f t="shared" si="156"/>
        <v>0</v>
      </c>
      <c r="P509" s="159"/>
      <c r="Q509" s="159">
        <f t="shared" si="156"/>
        <v>0</v>
      </c>
    </row>
    <row r="510" spans="1:17" hidden="1" x14ac:dyDescent="0.25">
      <c r="A510" s="202">
        <v>5408</v>
      </c>
      <c r="B510" s="165">
        <v>613100</v>
      </c>
      <c r="C510" s="166" t="s">
        <v>435</v>
      </c>
      <c r="D510" s="166"/>
      <c r="E510" s="182"/>
      <c r="F510" s="182"/>
      <c r="G510" s="183">
        <f t="shared" si="141"/>
        <v>0</v>
      </c>
      <c r="H510" s="183"/>
      <c r="I510" s="182"/>
      <c r="J510" s="182"/>
      <c r="K510" s="182"/>
      <c r="L510" s="182"/>
      <c r="M510" s="182"/>
      <c r="N510" s="182"/>
      <c r="O510" s="182"/>
      <c r="P510" s="182"/>
      <c r="Q510" s="182"/>
    </row>
    <row r="511" spans="1:17" ht="39" hidden="1" x14ac:dyDescent="0.25">
      <c r="A511" s="180">
        <v>5409</v>
      </c>
      <c r="B511" s="154">
        <v>614000</v>
      </c>
      <c r="C511" s="158" t="s">
        <v>436</v>
      </c>
      <c r="D511" s="158"/>
      <c r="E511" s="159">
        <f>E512</f>
        <v>0</v>
      </c>
      <c r="F511" s="159"/>
      <c r="G511" s="159">
        <f t="shared" si="141"/>
        <v>0</v>
      </c>
      <c r="H511" s="159"/>
      <c r="I511" s="159">
        <f t="shared" ref="I511:Q513" si="157">I512</f>
        <v>0</v>
      </c>
      <c r="J511" s="159">
        <f t="shared" si="157"/>
        <v>0</v>
      </c>
      <c r="K511" s="159"/>
      <c r="L511" s="159">
        <f t="shared" si="157"/>
        <v>0</v>
      </c>
      <c r="M511" s="159"/>
      <c r="N511" s="159">
        <f t="shared" si="157"/>
        <v>0</v>
      </c>
      <c r="O511" s="159">
        <f t="shared" si="157"/>
        <v>0</v>
      </c>
      <c r="P511" s="159"/>
      <c r="Q511" s="159">
        <f t="shared" si="157"/>
        <v>0</v>
      </c>
    </row>
    <row r="512" spans="1:17" ht="26.25" hidden="1" x14ac:dyDescent="0.25">
      <c r="A512" s="202">
        <v>5410</v>
      </c>
      <c r="B512" s="165">
        <v>614100</v>
      </c>
      <c r="C512" s="166" t="s">
        <v>437</v>
      </c>
      <c r="D512" s="166"/>
      <c r="E512" s="182"/>
      <c r="F512" s="182"/>
      <c r="G512" s="183">
        <f t="shared" si="141"/>
        <v>0</v>
      </c>
      <c r="H512" s="183"/>
      <c r="I512" s="182"/>
      <c r="J512" s="182"/>
      <c r="K512" s="182"/>
      <c r="L512" s="182"/>
      <c r="M512" s="182"/>
      <c r="N512" s="182"/>
      <c r="O512" s="182"/>
      <c r="P512" s="182"/>
      <c r="Q512" s="182"/>
    </row>
    <row r="513" spans="1:17" ht="39" hidden="1" x14ac:dyDescent="0.25">
      <c r="A513" s="180">
        <v>5411</v>
      </c>
      <c r="B513" s="154">
        <v>615000</v>
      </c>
      <c r="C513" s="158" t="s">
        <v>438</v>
      </c>
      <c r="D513" s="158"/>
      <c r="E513" s="159">
        <f>E514</f>
        <v>0</v>
      </c>
      <c r="F513" s="159"/>
      <c r="G513" s="159">
        <f t="shared" si="141"/>
        <v>0</v>
      </c>
      <c r="H513" s="159"/>
      <c r="I513" s="159">
        <f t="shared" si="157"/>
        <v>0</v>
      </c>
      <c r="J513" s="159">
        <f t="shared" si="157"/>
        <v>0</v>
      </c>
      <c r="K513" s="159"/>
      <c r="L513" s="159">
        <f t="shared" si="157"/>
        <v>0</v>
      </c>
      <c r="M513" s="159"/>
      <c r="N513" s="159">
        <f t="shared" si="157"/>
        <v>0</v>
      </c>
      <c r="O513" s="159">
        <f t="shared" si="157"/>
        <v>0</v>
      </c>
      <c r="P513" s="159"/>
      <c r="Q513" s="159">
        <f t="shared" si="157"/>
        <v>0</v>
      </c>
    </row>
    <row r="514" spans="1:17" ht="26.25" hidden="1" x14ac:dyDescent="0.25">
      <c r="A514" s="202">
        <v>5412</v>
      </c>
      <c r="B514" s="165">
        <v>615100</v>
      </c>
      <c r="C514" s="166" t="s">
        <v>439</v>
      </c>
      <c r="D514" s="166"/>
      <c r="E514" s="182"/>
      <c r="F514" s="182"/>
      <c r="G514" s="183">
        <f t="shared" si="141"/>
        <v>0</v>
      </c>
      <c r="H514" s="183"/>
      <c r="I514" s="182"/>
      <c r="J514" s="182"/>
      <c r="K514" s="182"/>
      <c r="L514" s="182"/>
      <c r="M514" s="182"/>
      <c r="N514" s="182"/>
      <c r="O514" s="182"/>
      <c r="P514" s="182"/>
      <c r="Q514" s="182"/>
    </row>
    <row r="515" spans="1:17" ht="26.25" hidden="1" x14ac:dyDescent="0.25">
      <c r="A515" s="180">
        <v>5413</v>
      </c>
      <c r="B515" s="154">
        <v>620000</v>
      </c>
      <c r="C515" s="158" t="s">
        <v>440</v>
      </c>
      <c r="D515" s="158"/>
      <c r="E515" s="159">
        <f>E516+E530+E539</f>
        <v>0</v>
      </c>
      <c r="F515" s="159"/>
      <c r="G515" s="159">
        <f t="shared" si="141"/>
        <v>0</v>
      </c>
      <c r="H515" s="159"/>
      <c r="I515" s="159">
        <f t="shared" ref="I515:Q515" si="158">I516+I530+I539</f>
        <v>0</v>
      </c>
      <c r="J515" s="159">
        <f t="shared" si="158"/>
        <v>0</v>
      </c>
      <c r="K515" s="159"/>
      <c r="L515" s="159">
        <f t="shared" si="158"/>
        <v>0</v>
      </c>
      <c r="M515" s="159"/>
      <c r="N515" s="159">
        <f t="shared" si="158"/>
        <v>0</v>
      </c>
      <c r="O515" s="159">
        <f t="shared" si="158"/>
        <v>0</v>
      </c>
      <c r="P515" s="159"/>
      <c r="Q515" s="159">
        <f t="shared" si="158"/>
        <v>0</v>
      </c>
    </row>
    <row r="516" spans="1:17" ht="39" hidden="1" x14ac:dyDescent="0.25">
      <c r="A516" s="180">
        <v>5414</v>
      </c>
      <c r="B516" s="154">
        <v>621000</v>
      </c>
      <c r="C516" s="158" t="s">
        <v>441</v>
      </c>
      <c r="D516" s="158"/>
      <c r="E516" s="159">
        <f>SUM(E517:E529)</f>
        <v>0</v>
      </c>
      <c r="F516" s="159"/>
      <c r="G516" s="159">
        <f t="shared" si="141"/>
        <v>0</v>
      </c>
      <c r="H516" s="159"/>
      <c r="I516" s="159">
        <f t="shared" ref="I516:Q516" si="159">SUM(I517:I529)</f>
        <v>0</v>
      </c>
      <c r="J516" s="159">
        <f t="shared" si="159"/>
        <v>0</v>
      </c>
      <c r="K516" s="159"/>
      <c r="L516" s="159">
        <f t="shared" si="159"/>
        <v>0</v>
      </c>
      <c r="M516" s="159"/>
      <c r="N516" s="159">
        <f t="shared" si="159"/>
        <v>0</v>
      </c>
      <c r="O516" s="159">
        <f t="shared" si="159"/>
        <v>0</v>
      </c>
      <c r="P516" s="159"/>
      <c r="Q516" s="159">
        <f t="shared" si="159"/>
        <v>0</v>
      </c>
    </row>
    <row r="517" spans="1:17" ht="26.25" hidden="1" x14ac:dyDescent="0.25">
      <c r="A517" s="202">
        <v>5415</v>
      </c>
      <c r="B517" s="165">
        <v>621100</v>
      </c>
      <c r="C517" s="166" t="s">
        <v>442</v>
      </c>
      <c r="D517" s="166"/>
      <c r="E517" s="182"/>
      <c r="F517" s="182"/>
      <c r="G517" s="183">
        <f t="shared" si="141"/>
        <v>0</v>
      </c>
      <c r="H517" s="183"/>
      <c r="I517" s="182"/>
      <c r="J517" s="182"/>
      <c r="K517" s="182"/>
      <c r="L517" s="182"/>
      <c r="M517" s="182"/>
      <c r="N517" s="182"/>
      <c r="O517" s="182"/>
      <c r="P517" s="182"/>
      <c r="Q517" s="182"/>
    </row>
    <row r="518" spans="1:17" hidden="1" x14ac:dyDescent="0.25">
      <c r="A518" s="598" t="s">
        <v>0</v>
      </c>
      <c r="B518" s="599" t="s">
        <v>1</v>
      </c>
      <c r="C518" s="598" t="s">
        <v>2</v>
      </c>
      <c r="D518" s="179"/>
      <c r="E518" s="598" t="s">
        <v>217</v>
      </c>
      <c r="F518" s="179"/>
      <c r="G518" s="600" t="s">
        <v>198</v>
      </c>
      <c r="H518" s="600"/>
      <c r="I518" s="601"/>
      <c r="J518" s="601"/>
      <c r="K518" s="601"/>
      <c r="L518" s="601"/>
      <c r="M518" s="601"/>
      <c r="N518" s="601"/>
      <c r="O518" s="601"/>
      <c r="P518" s="601"/>
      <c r="Q518" s="601"/>
    </row>
    <row r="519" spans="1:17" hidden="1" x14ac:dyDescent="0.25">
      <c r="A519" s="598"/>
      <c r="B519" s="599"/>
      <c r="C519" s="598"/>
      <c r="D519" s="179"/>
      <c r="E519" s="598"/>
      <c r="F519" s="179"/>
      <c r="G519" s="600" t="s">
        <v>199</v>
      </c>
      <c r="H519" s="154"/>
      <c r="I519" s="600" t="s">
        <v>200</v>
      </c>
      <c r="J519" s="601"/>
      <c r="K519" s="601"/>
      <c r="L519" s="601"/>
      <c r="M519" s="601"/>
      <c r="N519" s="601"/>
      <c r="O519" s="600" t="s">
        <v>7</v>
      </c>
      <c r="P519" s="154"/>
      <c r="Q519" s="600" t="s">
        <v>8</v>
      </c>
    </row>
    <row r="520" spans="1:17" ht="39" hidden="1" x14ac:dyDescent="0.25">
      <c r="A520" s="598"/>
      <c r="B520" s="599"/>
      <c r="C520" s="598"/>
      <c r="D520" s="179"/>
      <c r="E520" s="598"/>
      <c r="F520" s="179"/>
      <c r="G520" s="601"/>
      <c r="H520" s="203"/>
      <c r="I520" s="154" t="s">
        <v>201</v>
      </c>
      <c r="J520" s="154" t="s">
        <v>10</v>
      </c>
      <c r="K520" s="154"/>
      <c r="L520" s="154" t="s">
        <v>11</v>
      </c>
      <c r="M520" s="154"/>
      <c r="N520" s="154" t="s">
        <v>12</v>
      </c>
      <c r="O520" s="601"/>
      <c r="P520" s="203"/>
      <c r="Q520" s="601"/>
    </row>
    <row r="521" spans="1:17" ht="26.25" hidden="1" x14ac:dyDescent="0.25">
      <c r="A521" s="176" t="s">
        <v>18</v>
      </c>
      <c r="B521" s="176" t="s">
        <v>19</v>
      </c>
      <c r="C521" s="176" t="s">
        <v>20</v>
      </c>
      <c r="D521" s="176"/>
      <c r="E521" s="176" t="s">
        <v>21</v>
      </c>
      <c r="F521" s="176"/>
      <c r="G521" s="176" t="s">
        <v>22</v>
      </c>
      <c r="H521" s="176"/>
      <c r="I521" s="176" t="s">
        <v>23</v>
      </c>
      <c r="J521" s="176" t="s">
        <v>24</v>
      </c>
      <c r="K521" s="176"/>
      <c r="L521" s="176" t="s">
        <v>25</v>
      </c>
      <c r="M521" s="176"/>
      <c r="N521" s="176" t="s">
        <v>26</v>
      </c>
      <c r="O521" s="176" t="s">
        <v>27</v>
      </c>
      <c r="P521" s="176"/>
      <c r="Q521" s="176" t="s">
        <v>28</v>
      </c>
    </row>
    <row r="522" spans="1:17" hidden="1" x14ac:dyDescent="0.25">
      <c r="A522" s="202">
        <v>5416</v>
      </c>
      <c r="B522" s="165">
        <v>621200</v>
      </c>
      <c r="C522" s="166" t="s">
        <v>443</v>
      </c>
      <c r="D522" s="166"/>
      <c r="E522" s="182"/>
      <c r="F522" s="182"/>
      <c r="G522" s="183">
        <f t="shared" si="141"/>
        <v>0</v>
      </c>
      <c r="H522" s="183"/>
      <c r="I522" s="182"/>
      <c r="J522" s="182"/>
      <c r="K522" s="182"/>
      <c r="L522" s="182"/>
      <c r="M522" s="182"/>
      <c r="N522" s="182"/>
      <c r="O522" s="182"/>
      <c r="P522" s="182"/>
      <c r="Q522" s="182"/>
    </row>
    <row r="523" spans="1:17" ht="26.25" hidden="1" x14ac:dyDescent="0.25">
      <c r="A523" s="202">
        <v>5417</v>
      </c>
      <c r="B523" s="165">
        <v>621300</v>
      </c>
      <c r="C523" s="166" t="s">
        <v>444</v>
      </c>
      <c r="D523" s="166"/>
      <c r="E523" s="182"/>
      <c r="F523" s="182"/>
      <c r="G523" s="183">
        <f t="shared" si="141"/>
        <v>0</v>
      </c>
      <c r="H523" s="183"/>
      <c r="I523" s="182"/>
      <c r="J523" s="182"/>
      <c r="K523" s="182"/>
      <c r="L523" s="182"/>
      <c r="M523" s="182"/>
      <c r="N523" s="182"/>
      <c r="O523" s="182"/>
      <c r="P523" s="182"/>
      <c r="Q523" s="182"/>
    </row>
    <row r="524" spans="1:17" ht="26.25" hidden="1" x14ac:dyDescent="0.25">
      <c r="A524" s="202">
        <v>5418</v>
      </c>
      <c r="B524" s="165">
        <v>621400</v>
      </c>
      <c r="C524" s="166" t="s">
        <v>445</v>
      </c>
      <c r="D524" s="166"/>
      <c r="E524" s="182"/>
      <c r="F524" s="182"/>
      <c r="G524" s="183">
        <f t="shared" si="141"/>
        <v>0</v>
      </c>
      <c r="H524" s="183"/>
      <c r="I524" s="182"/>
      <c r="J524" s="182"/>
      <c r="K524" s="182"/>
      <c r="L524" s="182"/>
      <c r="M524" s="182"/>
      <c r="N524" s="182"/>
      <c r="O524" s="182"/>
      <c r="P524" s="182"/>
      <c r="Q524" s="182"/>
    </row>
    <row r="525" spans="1:17" ht="39" hidden="1" x14ac:dyDescent="0.25">
      <c r="A525" s="202">
        <v>5419</v>
      </c>
      <c r="B525" s="165">
        <v>621500</v>
      </c>
      <c r="C525" s="166" t="s">
        <v>446</v>
      </c>
      <c r="D525" s="166"/>
      <c r="E525" s="182"/>
      <c r="F525" s="182"/>
      <c r="G525" s="183">
        <f t="shared" si="141"/>
        <v>0</v>
      </c>
      <c r="H525" s="183"/>
      <c r="I525" s="182"/>
      <c r="J525" s="182"/>
      <c r="K525" s="182"/>
      <c r="L525" s="182"/>
      <c r="M525" s="182"/>
      <c r="N525" s="182"/>
      <c r="O525" s="182"/>
      <c r="P525" s="182"/>
      <c r="Q525" s="182"/>
    </row>
    <row r="526" spans="1:17" ht="26.25" hidden="1" x14ac:dyDescent="0.25">
      <c r="A526" s="202">
        <v>5420</v>
      </c>
      <c r="B526" s="165">
        <v>621600</v>
      </c>
      <c r="C526" s="166" t="s">
        <v>447</v>
      </c>
      <c r="D526" s="166"/>
      <c r="E526" s="182"/>
      <c r="F526" s="182"/>
      <c r="G526" s="183">
        <f t="shared" si="141"/>
        <v>0</v>
      </c>
      <c r="H526" s="183"/>
      <c r="I526" s="182"/>
      <c r="J526" s="182"/>
      <c r="K526" s="182"/>
      <c r="L526" s="182"/>
      <c r="M526" s="182"/>
      <c r="N526" s="182"/>
      <c r="O526" s="182"/>
      <c r="P526" s="182"/>
      <c r="Q526" s="182"/>
    </row>
    <row r="527" spans="1:17" ht="26.25" hidden="1" x14ac:dyDescent="0.25">
      <c r="A527" s="202">
        <v>5421</v>
      </c>
      <c r="B527" s="165">
        <v>621700</v>
      </c>
      <c r="C527" s="166" t="s">
        <v>448</v>
      </c>
      <c r="D527" s="166"/>
      <c r="E527" s="182"/>
      <c r="F527" s="182"/>
      <c r="G527" s="183">
        <f t="shared" si="141"/>
        <v>0</v>
      </c>
      <c r="H527" s="183"/>
      <c r="I527" s="182"/>
      <c r="J527" s="182"/>
      <c r="K527" s="182"/>
      <c r="L527" s="182"/>
      <c r="M527" s="182"/>
      <c r="N527" s="182"/>
      <c r="O527" s="182"/>
      <c r="P527" s="182"/>
      <c r="Q527" s="182"/>
    </row>
    <row r="528" spans="1:17" ht="39" hidden="1" x14ac:dyDescent="0.25">
      <c r="A528" s="202">
        <v>5422</v>
      </c>
      <c r="B528" s="165">
        <v>621800</v>
      </c>
      <c r="C528" s="166" t="s">
        <v>449</v>
      </c>
      <c r="D528" s="166"/>
      <c r="E528" s="182"/>
      <c r="F528" s="182"/>
      <c r="G528" s="183">
        <f t="shared" si="141"/>
        <v>0</v>
      </c>
      <c r="H528" s="183"/>
      <c r="I528" s="182"/>
      <c r="J528" s="182"/>
      <c r="K528" s="182"/>
      <c r="L528" s="182"/>
      <c r="M528" s="182"/>
      <c r="N528" s="182"/>
      <c r="O528" s="182"/>
      <c r="P528" s="182"/>
      <c r="Q528" s="182"/>
    </row>
    <row r="529" spans="1:17" ht="26.25" hidden="1" x14ac:dyDescent="0.25">
      <c r="A529" s="202">
        <v>5423</v>
      </c>
      <c r="B529" s="165">
        <v>621900</v>
      </c>
      <c r="C529" s="166" t="s">
        <v>450</v>
      </c>
      <c r="D529" s="166"/>
      <c r="E529" s="182"/>
      <c r="F529" s="182"/>
      <c r="G529" s="183">
        <f t="shared" si="141"/>
        <v>0</v>
      </c>
      <c r="H529" s="183"/>
      <c r="I529" s="182"/>
      <c r="J529" s="182"/>
      <c r="K529" s="182"/>
      <c r="L529" s="182"/>
      <c r="M529" s="182"/>
      <c r="N529" s="182"/>
      <c r="O529" s="182"/>
      <c r="P529" s="182"/>
      <c r="Q529" s="182"/>
    </row>
    <row r="530" spans="1:17" ht="39" hidden="1" x14ac:dyDescent="0.25">
      <c r="A530" s="180">
        <v>5424</v>
      </c>
      <c r="B530" s="154">
        <v>622000</v>
      </c>
      <c r="C530" s="158" t="s">
        <v>451</v>
      </c>
      <c r="D530" s="158"/>
      <c r="E530" s="159">
        <f>SUM(E531:E538)</f>
        <v>0</v>
      </c>
      <c r="F530" s="159"/>
      <c r="G530" s="159">
        <f t="shared" si="141"/>
        <v>0</v>
      </c>
      <c r="H530" s="159"/>
      <c r="I530" s="159">
        <f t="shared" ref="I530:Q530" si="160">SUM(I531:I538)</f>
        <v>0</v>
      </c>
      <c r="J530" s="159">
        <f t="shared" si="160"/>
        <v>0</v>
      </c>
      <c r="K530" s="159"/>
      <c r="L530" s="159">
        <f t="shared" si="160"/>
        <v>0</v>
      </c>
      <c r="M530" s="159"/>
      <c r="N530" s="159">
        <f t="shared" si="160"/>
        <v>0</v>
      </c>
      <c r="O530" s="159">
        <f t="shared" si="160"/>
        <v>0</v>
      </c>
      <c r="P530" s="159"/>
      <c r="Q530" s="159">
        <f t="shared" si="160"/>
        <v>0</v>
      </c>
    </row>
    <row r="531" spans="1:17" ht="26.25" hidden="1" x14ac:dyDescent="0.25">
      <c r="A531" s="202">
        <v>5425</v>
      </c>
      <c r="B531" s="165">
        <v>622100</v>
      </c>
      <c r="C531" s="166" t="s">
        <v>452</v>
      </c>
      <c r="D531" s="166"/>
      <c r="E531" s="182"/>
      <c r="F531" s="182"/>
      <c r="G531" s="183">
        <f t="shared" si="141"/>
        <v>0</v>
      </c>
      <c r="H531" s="183"/>
      <c r="I531" s="182"/>
      <c r="J531" s="182"/>
      <c r="K531" s="182"/>
      <c r="L531" s="182"/>
      <c r="M531" s="182"/>
      <c r="N531" s="182"/>
      <c r="O531" s="182"/>
      <c r="P531" s="182"/>
      <c r="Q531" s="182"/>
    </row>
    <row r="532" spans="1:17" hidden="1" x14ac:dyDescent="0.25">
      <c r="A532" s="202">
        <v>5426</v>
      </c>
      <c r="B532" s="165">
        <v>622200</v>
      </c>
      <c r="C532" s="166" t="s">
        <v>453</v>
      </c>
      <c r="D532" s="166"/>
      <c r="E532" s="182"/>
      <c r="F532" s="182"/>
      <c r="G532" s="183">
        <f t="shared" si="141"/>
        <v>0</v>
      </c>
      <c r="H532" s="183"/>
      <c r="I532" s="182"/>
      <c r="J532" s="182"/>
      <c r="K532" s="182"/>
      <c r="L532" s="182"/>
      <c r="M532" s="182"/>
      <c r="N532" s="182"/>
      <c r="O532" s="182"/>
      <c r="P532" s="182"/>
      <c r="Q532" s="182"/>
    </row>
    <row r="533" spans="1:17" ht="26.25" hidden="1" x14ac:dyDescent="0.25">
      <c r="A533" s="202">
        <v>5427</v>
      </c>
      <c r="B533" s="165">
        <v>622300</v>
      </c>
      <c r="C533" s="166" t="s">
        <v>454</v>
      </c>
      <c r="D533" s="166"/>
      <c r="E533" s="182"/>
      <c r="F533" s="182"/>
      <c r="G533" s="183">
        <f t="shared" si="141"/>
        <v>0</v>
      </c>
      <c r="H533" s="183"/>
      <c r="I533" s="182"/>
      <c r="J533" s="182"/>
      <c r="K533" s="182"/>
      <c r="L533" s="182"/>
      <c r="M533" s="182"/>
      <c r="N533" s="182"/>
      <c r="O533" s="182"/>
      <c r="P533" s="182"/>
      <c r="Q533" s="182"/>
    </row>
    <row r="534" spans="1:17" ht="26.25" hidden="1" x14ac:dyDescent="0.25">
      <c r="A534" s="202">
        <v>5428</v>
      </c>
      <c r="B534" s="165">
        <v>622400</v>
      </c>
      <c r="C534" s="166" t="s">
        <v>455</v>
      </c>
      <c r="D534" s="166"/>
      <c r="E534" s="182"/>
      <c r="F534" s="182"/>
      <c r="G534" s="183">
        <f t="shared" si="141"/>
        <v>0</v>
      </c>
      <c r="H534" s="183"/>
      <c r="I534" s="182"/>
      <c r="J534" s="182"/>
      <c r="K534" s="182"/>
      <c r="L534" s="182"/>
      <c r="M534" s="182"/>
      <c r="N534" s="182"/>
      <c r="O534" s="182"/>
      <c r="P534" s="182"/>
      <c r="Q534" s="182"/>
    </row>
    <row r="535" spans="1:17" ht="26.25" hidden="1" x14ac:dyDescent="0.25">
      <c r="A535" s="202">
        <v>5429</v>
      </c>
      <c r="B535" s="165">
        <v>622500</v>
      </c>
      <c r="C535" s="166" t="s">
        <v>456</v>
      </c>
      <c r="D535" s="166"/>
      <c r="E535" s="182"/>
      <c r="F535" s="182"/>
      <c r="G535" s="183">
        <f t="shared" si="141"/>
        <v>0</v>
      </c>
      <c r="H535" s="183"/>
      <c r="I535" s="182"/>
      <c r="J535" s="182"/>
      <c r="K535" s="182"/>
      <c r="L535" s="182"/>
      <c r="M535" s="182"/>
      <c r="N535" s="182"/>
      <c r="O535" s="182"/>
      <c r="P535" s="182"/>
      <c r="Q535" s="182"/>
    </row>
    <row r="536" spans="1:17" ht="26.25" hidden="1" x14ac:dyDescent="0.25">
      <c r="A536" s="202">
        <v>5430</v>
      </c>
      <c r="B536" s="165">
        <v>622600</v>
      </c>
      <c r="C536" s="166" t="s">
        <v>457</v>
      </c>
      <c r="D536" s="166"/>
      <c r="E536" s="182"/>
      <c r="F536" s="182"/>
      <c r="G536" s="183">
        <f t="shared" ref="G536:G540" si="161">SUM(I536:Q536)</f>
        <v>0</v>
      </c>
      <c r="H536" s="183"/>
      <c r="I536" s="182"/>
      <c r="J536" s="182"/>
      <c r="K536" s="182"/>
      <c r="L536" s="182"/>
      <c r="M536" s="182"/>
      <c r="N536" s="182"/>
      <c r="O536" s="182"/>
      <c r="P536" s="182"/>
      <c r="Q536" s="182"/>
    </row>
    <row r="537" spans="1:17" ht="26.25" hidden="1" x14ac:dyDescent="0.25">
      <c r="A537" s="202">
        <v>5431</v>
      </c>
      <c r="B537" s="165">
        <v>622700</v>
      </c>
      <c r="C537" s="166" t="s">
        <v>458</v>
      </c>
      <c r="D537" s="166"/>
      <c r="E537" s="182"/>
      <c r="F537" s="182"/>
      <c r="G537" s="183">
        <f t="shared" si="161"/>
        <v>0</v>
      </c>
      <c r="H537" s="183"/>
      <c r="I537" s="182"/>
      <c r="J537" s="182"/>
      <c r="K537" s="182"/>
      <c r="L537" s="182"/>
      <c r="M537" s="182"/>
      <c r="N537" s="182"/>
      <c r="O537" s="182"/>
      <c r="P537" s="182"/>
      <c r="Q537" s="182"/>
    </row>
    <row r="538" spans="1:17" hidden="1" x14ac:dyDescent="0.25">
      <c r="A538" s="202">
        <v>5432</v>
      </c>
      <c r="B538" s="165">
        <v>622800</v>
      </c>
      <c r="C538" s="166" t="s">
        <v>459</v>
      </c>
      <c r="D538" s="166"/>
      <c r="E538" s="182"/>
      <c r="F538" s="182"/>
      <c r="G538" s="183">
        <f t="shared" si="161"/>
        <v>0</v>
      </c>
      <c r="H538" s="183"/>
      <c r="I538" s="182"/>
      <c r="J538" s="182"/>
      <c r="K538" s="182"/>
      <c r="L538" s="182"/>
      <c r="M538" s="182"/>
      <c r="N538" s="182"/>
      <c r="O538" s="182"/>
      <c r="P538" s="182"/>
      <c r="Q538" s="182"/>
    </row>
    <row r="539" spans="1:17" ht="90" hidden="1" x14ac:dyDescent="0.25">
      <c r="A539" s="180">
        <v>5433</v>
      </c>
      <c r="B539" s="154">
        <v>623000</v>
      </c>
      <c r="C539" s="158" t="s">
        <v>460</v>
      </c>
      <c r="D539" s="158"/>
      <c r="E539" s="159">
        <f>E540</f>
        <v>0</v>
      </c>
      <c r="F539" s="159"/>
      <c r="G539" s="159">
        <f t="shared" si="161"/>
        <v>0</v>
      </c>
      <c r="H539" s="159"/>
      <c r="I539" s="159">
        <f t="shared" ref="I539:Q539" si="162">I540</f>
        <v>0</v>
      </c>
      <c r="J539" s="159">
        <f t="shared" si="162"/>
        <v>0</v>
      </c>
      <c r="K539" s="159"/>
      <c r="L539" s="159">
        <f t="shared" si="162"/>
        <v>0</v>
      </c>
      <c r="M539" s="159"/>
      <c r="N539" s="159">
        <f t="shared" si="162"/>
        <v>0</v>
      </c>
      <c r="O539" s="159">
        <f t="shared" si="162"/>
        <v>0</v>
      </c>
      <c r="P539" s="159"/>
      <c r="Q539" s="159">
        <f t="shared" si="162"/>
        <v>0</v>
      </c>
    </row>
    <row r="540" spans="1:17" ht="51.75" hidden="1" x14ac:dyDescent="0.25">
      <c r="A540" s="202">
        <v>5434</v>
      </c>
      <c r="B540" s="165">
        <v>623100</v>
      </c>
      <c r="C540" s="166" t="s">
        <v>461</v>
      </c>
      <c r="D540" s="166"/>
      <c r="E540" s="182"/>
      <c r="F540" s="182"/>
      <c r="G540" s="183">
        <f t="shared" si="161"/>
        <v>0</v>
      </c>
      <c r="H540" s="183"/>
      <c r="I540" s="182"/>
      <c r="J540" s="182"/>
      <c r="K540" s="182"/>
      <c r="L540" s="182"/>
      <c r="M540" s="182"/>
      <c r="N540" s="182"/>
      <c r="O540" s="182"/>
      <c r="P540" s="182"/>
      <c r="Q540" s="182"/>
    </row>
    <row r="541" spans="1:17" ht="26.25" x14ac:dyDescent="0.25">
      <c r="A541" s="180">
        <v>5435</v>
      </c>
      <c r="B541" s="165"/>
      <c r="C541" s="158" t="s">
        <v>462</v>
      </c>
      <c r="D541" s="158"/>
      <c r="E541" s="159">
        <f t="shared" ref="E541:Q541" si="163">E219+E485</f>
        <v>1500538</v>
      </c>
      <c r="F541" s="159">
        <f t="shared" si="163"/>
        <v>1496372</v>
      </c>
      <c r="G541" s="159">
        <f t="shared" si="163"/>
        <v>1428226</v>
      </c>
      <c r="H541" s="159">
        <f t="shared" si="163"/>
        <v>25518</v>
      </c>
      <c r="I541" s="159">
        <f t="shared" si="163"/>
        <v>17657</v>
      </c>
      <c r="J541" s="159">
        <f t="shared" si="163"/>
        <v>0</v>
      </c>
      <c r="K541" s="159">
        <f t="shared" si="163"/>
        <v>1000</v>
      </c>
      <c r="L541" s="159">
        <f t="shared" si="163"/>
        <v>1273</v>
      </c>
      <c r="M541" s="159">
        <f t="shared" si="163"/>
        <v>1452813</v>
      </c>
      <c r="N541" s="159">
        <f t="shared" si="163"/>
        <v>1398024</v>
      </c>
      <c r="O541" s="159">
        <f t="shared" si="163"/>
        <v>0</v>
      </c>
      <c r="P541" s="159">
        <f t="shared" si="163"/>
        <v>17041</v>
      </c>
      <c r="Q541" s="159">
        <f t="shared" si="163"/>
        <v>11162</v>
      </c>
    </row>
    <row r="543" spans="1:17" hidden="1" x14ac:dyDescent="0.25">
      <c r="F543" s="201">
        <f>F210-F541</f>
        <v>-5385</v>
      </c>
      <c r="G543" s="201"/>
      <c r="H543" s="201">
        <f>H210-H541</f>
        <v>-1038</v>
      </c>
      <c r="I543" s="201"/>
      <c r="J543" s="201">
        <f>J210-J541</f>
        <v>0</v>
      </c>
      <c r="K543" s="201">
        <f>K210-K541</f>
        <v>0</v>
      </c>
      <c r="L543" s="201"/>
      <c r="M543" s="201">
        <f>M210-M541</f>
        <v>-106</v>
      </c>
      <c r="N543" s="201"/>
      <c r="O543" s="201">
        <f>O210-O541</f>
        <v>0</v>
      </c>
      <c r="P543" s="218">
        <f>P210-P541</f>
        <v>-4241</v>
      </c>
      <c r="Q543" s="201" t="s">
        <v>469</v>
      </c>
    </row>
    <row r="544" spans="1:17" hidden="1" x14ac:dyDescent="0.25"/>
    <row r="545" spans="1:16" hidden="1" x14ac:dyDescent="0.25"/>
    <row r="546" spans="1:16" hidden="1" x14ac:dyDescent="0.25">
      <c r="K546" s="152" t="s">
        <v>463</v>
      </c>
      <c r="L546" s="201">
        <v>50421</v>
      </c>
      <c r="M546" s="201">
        <f>M249+M251+M252+M253+M257+M264+M265+M266+M267+M269+M274+M278+M281+M282+M284+M285+M287+M289+M312+M313</f>
        <v>51241</v>
      </c>
      <c r="N546" s="201">
        <f>L546-M546</f>
        <v>-820</v>
      </c>
    </row>
    <row r="547" spans="1:16" s="222" customFormat="1" ht="24.75" hidden="1" customHeight="1" x14ac:dyDescent="0.25">
      <c r="A547" s="595" t="s">
        <v>509</v>
      </c>
      <c r="B547" s="596"/>
      <c r="C547" s="597"/>
      <c r="D547" s="219"/>
      <c r="E547" s="220"/>
      <c r="F547" s="220">
        <f>F210-F541</f>
        <v>-5385</v>
      </c>
      <c r="G547" s="220"/>
      <c r="H547" s="220">
        <f>H210-H541</f>
        <v>-1038</v>
      </c>
      <c r="I547" s="220">
        <f t="shared" ref="I547:P547" si="164">I210-I541</f>
        <v>1081</v>
      </c>
      <c r="J547" s="220">
        <f t="shared" si="164"/>
        <v>0</v>
      </c>
      <c r="K547" s="221">
        <f t="shared" si="164"/>
        <v>0</v>
      </c>
      <c r="L547" s="221">
        <f t="shared" si="164"/>
        <v>-768</v>
      </c>
      <c r="M547" s="221">
        <f t="shared" si="164"/>
        <v>-106</v>
      </c>
      <c r="N547" s="220">
        <f t="shared" si="164"/>
        <v>168</v>
      </c>
      <c r="O547" s="220">
        <f t="shared" si="164"/>
        <v>0</v>
      </c>
      <c r="P547" s="220">
        <f t="shared" si="164"/>
        <v>-4241</v>
      </c>
    </row>
    <row r="548" spans="1:16" hidden="1" x14ac:dyDescent="0.25"/>
    <row r="549" spans="1:16" hidden="1" x14ac:dyDescent="0.25">
      <c r="F549" s="201">
        <f>F210-F541</f>
        <v>-5385</v>
      </c>
      <c r="M549" s="201">
        <f>M249+M251+M252+M253+M257+M264+M265+M266+M267+M269+M274+M278+M281+M282+M284+M285+M287+M289+M312+M313</f>
        <v>51241</v>
      </c>
    </row>
  </sheetData>
  <mergeCells count="187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47:C547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H445:H462 H432:H443 I432:Q462 E432:G462 E104:E127 G120:M121 G104:Q119 E467:Q490 E379:Q399 E353:Q374 E323:Q348 E404:Q427 E522:Q541 E219:Q233 E238:Q269 E274:Q318 E132:E154 G132:Q154 G122:Q127 G74:Q99 E74:E99 E6:Q10 E207:Q211 E185:Q202 E159:Q180 E47:Q69 E15:Q42 F74:F154">
      <formula1>0</formula1>
      <formula2>999999999</formula2>
    </dataValidation>
  </dataValidations>
  <pageMargins left="0.16" right="0.21" top="0.72" bottom="0.75" header="0.24" footer="0.56999999999999995"/>
  <pageSetup paperSize="9" orientation="portrait" verticalDpi="4294967295" r:id="rId1"/>
  <headerFooter>
    <oddHeader>&amp;CФИНАНСИЈСКИ ПЛАН ОПШТЕ БОЛНИЦЕ ПИРОТ ЗА 2022. ГОДИНУ</oddHead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1"/>
  <sheetViews>
    <sheetView topLeftCell="A123" workbookViewId="0">
      <selection activeCell="E216" sqref="E216:K218"/>
    </sheetView>
  </sheetViews>
  <sheetFormatPr defaultRowHeight="12.75" customHeight="1" x14ac:dyDescent="0.25"/>
  <cols>
    <col min="1" max="1" width="5.85546875" style="80" customWidth="1"/>
    <col min="2" max="2" width="6.85546875" style="80" customWidth="1"/>
    <col min="3" max="3" width="64.28515625" style="80" customWidth="1"/>
    <col min="4" max="4" width="10.28515625" style="80" customWidth="1"/>
    <col min="5" max="5" width="10.5703125" style="80" customWidth="1"/>
    <col min="6" max="6" width="8.5703125" style="80" customWidth="1"/>
    <col min="7" max="7" width="8.7109375" style="80" hidden="1" customWidth="1"/>
    <col min="8" max="9" width="9.140625" style="80"/>
    <col min="10" max="10" width="0" style="80" hidden="1" customWidth="1"/>
    <col min="11" max="11" width="9.140625" style="80"/>
    <col min="12" max="12" width="9.85546875" style="115" customWidth="1"/>
    <col min="13" max="16384" width="9.140625" style="80"/>
  </cols>
  <sheetData>
    <row r="1" spans="1:12" ht="12.75" customHeight="1" x14ac:dyDescent="0.25">
      <c r="A1" s="78" t="s">
        <v>513</v>
      </c>
      <c r="B1" s="78"/>
      <c r="C1" s="78"/>
      <c r="D1" s="78"/>
      <c r="E1" s="78"/>
    </row>
    <row r="2" spans="1:12" ht="12.75" customHeight="1" x14ac:dyDescent="0.25">
      <c r="A2" s="116" t="s">
        <v>541</v>
      </c>
      <c r="B2" s="79"/>
      <c r="C2" s="79"/>
      <c r="D2" s="79"/>
      <c r="E2" s="79"/>
    </row>
    <row r="3" spans="1:12" ht="12.75" customHeight="1" x14ac:dyDescent="0.25">
      <c r="A3" s="92" t="s">
        <v>514</v>
      </c>
    </row>
    <row r="4" spans="1:12" ht="12.75" customHeight="1" thickBot="1" x14ac:dyDescent="0.3">
      <c r="A4" s="117"/>
      <c r="K4" s="118" t="s">
        <v>196</v>
      </c>
    </row>
    <row r="5" spans="1:12" ht="12.75" customHeight="1" x14ac:dyDescent="0.25">
      <c r="A5" s="572" t="s">
        <v>0</v>
      </c>
      <c r="B5" s="574" t="s">
        <v>1</v>
      </c>
      <c r="C5" s="574" t="s">
        <v>2</v>
      </c>
      <c r="D5" s="574" t="s">
        <v>3</v>
      </c>
      <c r="E5" s="574" t="s">
        <v>4</v>
      </c>
      <c r="F5" s="574"/>
      <c r="G5" s="574"/>
      <c r="H5" s="574"/>
      <c r="I5" s="574"/>
      <c r="J5" s="574"/>
      <c r="K5" s="577"/>
      <c r="L5" s="578" t="s">
        <v>530</v>
      </c>
    </row>
    <row r="6" spans="1:12" ht="12.75" customHeight="1" x14ac:dyDescent="0.25">
      <c r="A6" s="573"/>
      <c r="B6" s="575"/>
      <c r="C6" s="576"/>
      <c r="D6" s="575"/>
      <c r="E6" s="581" t="s">
        <v>5</v>
      </c>
      <c r="F6" s="575" t="s">
        <v>6</v>
      </c>
      <c r="G6" s="575"/>
      <c r="H6" s="575"/>
      <c r="I6" s="575"/>
      <c r="J6" s="575" t="s">
        <v>7</v>
      </c>
      <c r="K6" s="582" t="s">
        <v>8</v>
      </c>
      <c r="L6" s="579"/>
    </row>
    <row r="7" spans="1:12" ht="12.75" customHeight="1" x14ac:dyDescent="0.25">
      <c r="A7" s="573"/>
      <c r="B7" s="575"/>
      <c r="C7" s="576"/>
      <c r="D7" s="575"/>
      <c r="E7" s="581"/>
      <c r="F7" s="140" t="s">
        <v>9</v>
      </c>
      <c r="G7" s="140" t="s">
        <v>10</v>
      </c>
      <c r="H7" s="140" t="s">
        <v>11</v>
      </c>
      <c r="I7" s="140" t="s">
        <v>12</v>
      </c>
      <c r="J7" s="575"/>
      <c r="K7" s="582"/>
      <c r="L7" s="580"/>
    </row>
    <row r="8" spans="1:12" ht="12.75" customHeight="1" x14ac:dyDescent="0.25">
      <c r="A8" s="142">
        <v>1</v>
      </c>
      <c r="B8" s="140">
        <v>2</v>
      </c>
      <c r="C8" s="140">
        <v>3</v>
      </c>
      <c r="D8" s="140">
        <v>4</v>
      </c>
      <c r="E8" s="140">
        <v>5</v>
      </c>
      <c r="F8" s="140">
        <v>6</v>
      </c>
      <c r="G8" s="140">
        <v>7</v>
      </c>
      <c r="H8" s="140">
        <v>8</v>
      </c>
      <c r="I8" s="140">
        <v>9</v>
      </c>
      <c r="J8" s="140">
        <v>10</v>
      </c>
      <c r="K8" s="141">
        <v>11</v>
      </c>
      <c r="L8" s="143" t="s">
        <v>531</v>
      </c>
    </row>
    <row r="9" spans="1:12" ht="12.75" customHeight="1" x14ac:dyDescent="0.25">
      <c r="A9" s="81">
        <v>5001</v>
      </c>
      <c r="B9" s="140"/>
      <c r="C9" s="82" t="s">
        <v>13</v>
      </c>
      <c r="D9" s="100">
        <f>D10+D134</f>
        <v>1490987</v>
      </c>
      <c r="E9" s="100">
        <f t="shared" ref="E9:E72" si="0">SUM(F9:K9)</f>
        <v>770863</v>
      </c>
      <c r="F9" s="100">
        <f t="shared" ref="F9:K9" si="1">F10+F134</f>
        <v>7388</v>
      </c>
      <c r="G9" s="100">
        <f t="shared" si="1"/>
        <v>0</v>
      </c>
      <c r="H9" s="100">
        <f t="shared" si="1"/>
        <v>0</v>
      </c>
      <c r="I9" s="100">
        <f t="shared" si="1"/>
        <v>756658</v>
      </c>
      <c r="J9" s="100">
        <f t="shared" si="1"/>
        <v>0</v>
      </c>
      <c r="K9" s="101">
        <f t="shared" si="1"/>
        <v>6817</v>
      </c>
      <c r="L9" s="137">
        <f>E9/D9</f>
        <v>0.51701523889879653</v>
      </c>
    </row>
    <row r="10" spans="1:12" ht="12.75" customHeight="1" x14ac:dyDescent="0.25">
      <c r="A10" s="81">
        <v>5002</v>
      </c>
      <c r="B10" s="140">
        <v>700000</v>
      </c>
      <c r="C10" s="82" t="s">
        <v>532</v>
      </c>
      <c r="D10" s="100">
        <f>D11+D63+D77+D89+D118+D123+D127</f>
        <v>1490787</v>
      </c>
      <c r="E10" s="100">
        <f t="shared" si="0"/>
        <v>770793</v>
      </c>
      <c r="F10" s="100">
        <f t="shared" ref="F10:K10" si="2">F11+F63+F77+F89+F118+F123+F127</f>
        <v>7388</v>
      </c>
      <c r="G10" s="100">
        <f t="shared" si="2"/>
        <v>0</v>
      </c>
      <c r="H10" s="100">
        <f t="shared" si="2"/>
        <v>0</v>
      </c>
      <c r="I10" s="100">
        <f t="shared" si="2"/>
        <v>756658</v>
      </c>
      <c r="J10" s="100">
        <f t="shared" si="2"/>
        <v>0</v>
      </c>
      <c r="K10" s="101">
        <f t="shared" si="2"/>
        <v>6747</v>
      </c>
      <c r="L10" s="137">
        <f t="shared" ref="L10:L73" si="3">E10/D10</f>
        <v>0.5170376452169223</v>
      </c>
    </row>
    <row r="11" spans="1:12" ht="16.5" hidden="1" customHeight="1" x14ac:dyDescent="0.25">
      <c r="A11" s="142">
        <v>5003</v>
      </c>
      <c r="B11" s="140">
        <v>710000</v>
      </c>
      <c r="C11" s="82" t="s">
        <v>15</v>
      </c>
      <c r="D11" s="102">
        <f>D12+D20+D22+D29+D35+D42+D45+D56</f>
        <v>0</v>
      </c>
      <c r="E11" s="102">
        <f t="shared" si="0"/>
        <v>0</v>
      </c>
      <c r="F11" s="102">
        <f t="shared" ref="F11:K11" si="4">F12+F20+F22+F29+F35+F42+F45+F56</f>
        <v>0</v>
      </c>
      <c r="G11" s="102">
        <f t="shared" si="4"/>
        <v>0</v>
      </c>
      <c r="H11" s="102">
        <f t="shared" si="4"/>
        <v>0</v>
      </c>
      <c r="I11" s="102">
        <f t="shared" si="4"/>
        <v>0</v>
      </c>
      <c r="J11" s="102">
        <f t="shared" si="4"/>
        <v>0</v>
      </c>
      <c r="K11" s="103">
        <f t="shared" si="4"/>
        <v>0</v>
      </c>
      <c r="L11" s="137" t="e">
        <f t="shared" si="3"/>
        <v>#DIV/0!</v>
      </c>
    </row>
    <row r="12" spans="1:12" ht="16.5" hidden="1" customHeight="1" x14ac:dyDescent="0.25">
      <c r="A12" s="142">
        <v>5004</v>
      </c>
      <c r="B12" s="140">
        <v>711000</v>
      </c>
      <c r="C12" s="82" t="s">
        <v>16</v>
      </c>
      <c r="D12" s="102">
        <f>SUM(D13:D19)</f>
        <v>0</v>
      </c>
      <c r="E12" s="102">
        <f t="shared" si="0"/>
        <v>0</v>
      </c>
      <c r="F12" s="102">
        <f t="shared" ref="F12:K12" si="5">SUM(F13:F19)</f>
        <v>0</v>
      </c>
      <c r="G12" s="102">
        <f t="shared" si="5"/>
        <v>0</v>
      </c>
      <c r="H12" s="102">
        <f t="shared" si="5"/>
        <v>0</v>
      </c>
      <c r="I12" s="102">
        <f t="shared" si="5"/>
        <v>0</v>
      </c>
      <c r="J12" s="102">
        <f t="shared" si="5"/>
        <v>0</v>
      </c>
      <c r="K12" s="103">
        <f t="shared" si="5"/>
        <v>0</v>
      </c>
      <c r="L12" s="137" t="e">
        <f t="shared" si="3"/>
        <v>#DIV/0!</v>
      </c>
    </row>
    <row r="13" spans="1:12" ht="16.5" hidden="1" customHeight="1" x14ac:dyDescent="0.25">
      <c r="A13" s="83">
        <v>5005</v>
      </c>
      <c r="B13" s="145">
        <v>711100</v>
      </c>
      <c r="C13" s="84" t="s">
        <v>17</v>
      </c>
      <c r="D13" s="104"/>
      <c r="E13" s="104">
        <f t="shared" si="0"/>
        <v>0</v>
      </c>
      <c r="F13" s="104"/>
      <c r="G13" s="104"/>
      <c r="H13" s="104"/>
      <c r="I13" s="104"/>
      <c r="J13" s="104"/>
      <c r="K13" s="105"/>
      <c r="L13" s="137" t="e">
        <f t="shared" si="3"/>
        <v>#DIV/0!</v>
      </c>
    </row>
    <row r="14" spans="1:12" ht="16.5" hidden="1" customHeight="1" x14ac:dyDescent="0.25">
      <c r="A14" s="583" t="s">
        <v>0</v>
      </c>
      <c r="B14" s="584" t="s">
        <v>1</v>
      </c>
      <c r="C14" s="585" t="s">
        <v>2</v>
      </c>
      <c r="D14" s="575" t="s">
        <v>3</v>
      </c>
      <c r="E14" s="575" t="s">
        <v>4</v>
      </c>
      <c r="F14" s="575"/>
      <c r="G14" s="575"/>
      <c r="H14" s="575"/>
      <c r="I14" s="575"/>
      <c r="J14" s="575"/>
      <c r="K14" s="582"/>
      <c r="L14" s="137" t="e">
        <f t="shared" si="3"/>
        <v>#VALUE!</v>
      </c>
    </row>
    <row r="15" spans="1:12" ht="16.5" hidden="1" customHeight="1" x14ac:dyDescent="0.25">
      <c r="A15" s="583"/>
      <c r="B15" s="584"/>
      <c r="C15" s="585"/>
      <c r="D15" s="575"/>
      <c r="E15" s="581" t="s">
        <v>5</v>
      </c>
      <c r="F15" s="575" t="s">
        <v>6</v>
      </c>
      <c r="G15" s="575"/>
      <c r="H15" s="575"/>
      <c r="I15" s="575"/>
      <c r="J15" s="575" t="s">
        <v>7</v>
      </c>
      <c r="K15" s="582" t="s">
        <v>8</v>
      </c>
      <c r="L15" s="137" t="e">
        <f t="shared" si="3"/>
        <v>#VALUE!</v>
      </c>
    </row>
    <row r="16" spans="1:12" ht="16.5" hidden="1" customHeight="1" x14ac:dyDescent="0.25">
      <c r="A16" s="583"/>
      <c r="B16" s="584"/>
      <c r="C16" s="585"/>
      <c r="D16" s="575"/>
      <c r="E16" s="581"/>
      <c r="F16" s="140" t="s">
        <v>9</v>
      </c>
      <c r="G16" s="140" t="s">
        <v>10</v>
      </c>
      <c r="H16" s="140" t="s">
        <v>11</v>
      </c>
      <c r="I16" s="140" t="s">
        <v>12</v>
      </c>
      <c r="J16" s="575"/>
      <c r="K16" s="582"/>
      <c r="L16" s="137" t="e">
        <f t="shared" si="3"/>
        <v>#DIV/0!</v>
      </c>
    </row>
    <row r="17" spans="1:12" ht="16.5" hidden="1" customHeight="1" x14ac:dyDescent="0.25">
      <c r="A17" s="85" t="s">
        <v>18</v>
      </c>
      <c r="B17" s="139" t="s">
        <v>19</v>
      </c>
      <c r="C17" s="139" t="s">
        <v>20</v>
      </c>
      <c r="D17" s="86" t="s">
        <v>21</v>
      </c>
      <c r="E17" s="86" t="s">
        <v>22</v>
      </c>
      <c r="F17" s="86" t="s">
        <v>23</v>
      </c>
      <c r="G17" s="86" t="s">
        <v>24</v>
      </c>
      <c r="H17" s="86" t="s">
        <v>25</v>
      </c>
      <c r="I17" s="86" t="s">
        <v>26</v>
      </c>
      <c r="J17" s="86" t="s">
        <v>27</v>
      </c>
      <c r="K17" s="98" t="s">
        <v>28</v>
      </c>
      <c r="L17" s="137">
        <f t="shared" si="3"/>
        <v>1.25</v>
      </c>
    </row>
    <row r="18" spans="1:12" ht="16.5" hidden="1" customHeight="1" x14ac:dyDescent="0.25">
      <c r="A18" s="83">
        <v>5006</v>
      </c>
      <c r="B18" s="145">
        <v>711200</v>
      </c>
      <c r="C18" s="84" t="s">
        <v>29</v>
      </c>
      <c r="D18" s="106"/>
      <c r="E18" s="106">
        <f t="shared" si="0"/>
        <v>0</v>
      </c>
      <c r="F18" s="106"/>
      <c r="G18" s="106"/>
      <c r="H18" s="106"/>
      <c r="I18" s="106"/>
      <c r="J18" s="106"/>
      <c r="K18" s="107"/>
      <c r="L18" s="137" t="e">
        <f t="shared" si="3"/>
        <v>#DIV/0!</v>
      </c>
    </row>
    <row r="19" spans="1:12" ht="16.5" hidden="1" customHeight="1" x14ac:dyDescent="0.25">
      <c r="A19" s="83">
        <v>5007</v>
      </c>
      <c r="B19" s="145">
        <v>711300</v>
      </c>
      <c r="C19" s="84" t="s">
        <v>30</v>
      </c>
      <c r="D19" s="106"/>
      <c r="E19" s="106">
        <f t="shared" si="0"/>
        <v>0</v>
      </c>
      <c r="F19" s="106"/>
      <c r="G19" s="106"/>
      <c r="H19" s="106"/>
      <c r="I19" s="106"/>
      <c r="J19" s="106"/>
      <c r="K19" s="107"/>
      <c r="L19" s="137" t="e">
        <f t="shared" si="3"/>
        <v>#DIV/0!</v>
      </c>
    </row>
    <row r="20" spans="1:12" ht="16.5" hidden="1" customHeight="1" x14ac:dyDescent="0.25">
      <c r="A20" s="142">
        <v>5008</v>
      </c>
      <c r="B20" s="140">
        <v>712000</v>
      </c>
      <c r="C20" s="82" t="s">
        <v>31</v>
      </c>
      <c r="D20" s="102">
        <f>D21</f>
        <v>0</v>
      </c>
      <c r="E20" s="102">
        <f t="shared" si="0"/>
        <v>0</v>
      </c>
      <c r="F20" s="102">
        <f t="shared" ref="F20:K20" si="6">F21</f>
        <v>0</v>
      </c>
      <c r="G20" s="102">
        <f t="shared" si="6"/>
        <v>0</v>
      </c>
      <c r="H20" s="102">
        <f t="shared" si="6"/>
        <v>0</v>
      </c>
      <c r="I20" s="102">
        <f t="shared" si="6"/>
        <v>0</v>
      </c>
      <c r="J20" s="102">
        <f t="shared" si="6"/>
        <v>0</v>
      </c>
      <c r="K20" s="103">
        <f t="shared" si="6"/>
        <v>0</v>
      </c>
      <c r="L20" s="137" t="e">
        <f t="shared" si="3"/>
        <v>#DIV/0!</v>
      </c>
    </row>
    <row r="21" spans="1:12" ht="16.5" hidden="1" customHeight="1" x14ac:dyDescent="0.25">
      <c r="A21" s="83">
        <v>5009</v>
      </c>
      <c r="B21" s="145">
        <v>712100</v>
      </c>
      <c r="C21" s="84" t="s">
        <v>32</v>
      </c>
      <c r="D21" s="106"/>
      <c r="E21" s="106">
        <f t="shared" si="0"/>
        <v>0</v>
      </c>
      <c r="F21" s="106"/>
      <c r="G21" s="106"/>
      <c r="H21" s="106"/>
      <c r="I21" s="106"/>
      <c r="J21" s="106"/>
      <c r="K21" s="107"/>
      <c r="L21" s="137" t="e">
        <f t="shared" si="3"/>
        <v>#DIV/0!</v>
      </c>
    </row>
    <row r="22" spans="1:12" ht="16.5" hidden="1" customHeight="1" x14ac:dyDescent="0.25">
      <c r="A22" s="142">
        <v>5010</v>
      </c>
      <c r="B22" s="140">
        <v>713000</v>
      </c>
      <c r="C22" s="82" t="s">
        <v>33</v>
      </c>
      <c r="D22" s="102">
        <f>SUM(D23:D28)</f>
        <v>0</v>
      </c>
      <c r="E22" s="102">
        <f t="shared" si="0"/>
        <v>0</v>
      </c>
      <c r="F22" s="102">
        <f t="shared" ref="F22:K22" si="7">SUM(F23:F28)</f>
        <v>0</v>
      </c>
      <c r="G22" s="102">
        <f t="shared" si="7"/>
        <v>0</v>
      </c>
      <c r="H22" s="102">
        <f t="shared" si="7"/>
        <v>0</v>
      </c>
      <c r="I22" s="102">
        <f t="shared" si="7"/>
        <v>0</v>
      </c>
      <c r="J22" s="102">
        <f t="shared" si="7"/>
        <v>0</v>
      </c>
      <c r="K22" s="103">
        <f t="shared" si="7"/>
        <v>0</v>
      </c>
      <c r="L22" s="137" t="e">
        <f t="shared" si="3"/>
        <v>#DIV/0!</v>
      </c>
    </row>
    <row r="23" spans="1:12" ht="16.5" hidden="1" customHeight="1" x14ac:dyDescent="0.25">
      <c r="A23" s="83">
        <v>5011</v>
      </c>
      <c r="B23" s="145">
        <v>713100</v>
      </c>
      <c r="C23" s="84" t="s">
        <v>34</v>
      </c>
      <c r="D23" s="106"/>
      <c r="E23" s="106">
        <f t="shared" si="0"/>
        <v>0</v>
      </c>
      <c r="F23" s="106"/>
      <c r="G23" s="106"/>
      <c r="H23" s="106"/>
      <c r="I23" s="106"/>
      <c r="J23" s="106"/>
      <c r="K23" s="107"/>
      <c r="L23" s="137" t="e">
        <f t="shared" si="3"/>
        <v>#DIV/0!</v>
      </c>
    </row>
    <row r="24" spans="1:12" ht="16.5" hidden="1" customHeight="1" x14ac:dyDescent="0.25">
      <c r="A24" s="83">
        <v>5012</v>
      </c>
      <c r="B24" s="145">
        <v>713200</v>
      </c>
      <c r="C24" s="84" t="s">
        <v>35</v>
      </c>
      <c r="D24" s="106"/>
      <c r="E24" s="106">
        <f t="shared" si="0"/>
        <v>0</v>
      </c>
      <c r="F24" s="106"/>
      <c r="G24" s="106"/>
      <c r="H24" s="106"/>
      <c r="I24" s="106"/>
      <c r="J24" s="106"/>
      <c r="K24" s="107"/>
      <c r="L24" s="137" t="e">
        <f t="shared" si="3"/>
        <v>#DIV/0!</v>
      </c>
    </row>
    <row r="25" spans="1:12" ht="16.5" hidden="1" customHeight="1" x14ac:dyDescent="0.25">
      <c r="A25" s="83">
        <v>5013</v>
      </c>
      <c r="B25" s="145">
        <v>713300</v>
      </c>
      <c r="C25" s="84" t="s">
        <v>36</v>
      </c>
      <c r="D25" s="106"/>
      <c r="E25" s="106">
        <f t="shared" si="0"/>
        <v>0</v>
      </c>
      <c r="F25" s="106"/>
      <c r="G25" s="106"/>
      <c r="H25" s="106"/>
      <c r="I25" s="106"/>
      <c r="J25" s="106"/>
      <c r="K25" s="107"/>
      <c r="L25" s="137" t="e">
        <f t="shared" si="3"/>
        <v>#DIV/0!</v>
      </c>
    </row>
    <row r="26" spans="1:12" ht="16.5" hidden="1" customHeight="1" x14ac:dyDescent="0.25">
      <c r="A26" s="83">
        <v>5014</v>
      </c>
      <c r="B26" s="145">
        <v>713400</v>
      </c>
      <c r="C26" s="84" t="s">
        <v>37</v>
      </c>
      <c r="D26" s="106"/>
      <c r="E26" s="106">
        <f t="shared" si="0"/>
        <v>0</v>
      </c>
      <c r="F26" s="106"/>
      <c r="G26" s="106"/>
      <c r="H26" s="106"/>
      <c r="I26" s="106"/>
      <c r="J26" s="106"/>
      <c r="K26" s="107"/>
      <c r="L26" s="137" t="e">
        <f t="shared" si="3"/>
        <v>#DIV/0!</v>
      </c>
    </row>
    <row r="27" spans="1:12" ht="16.5" hidden="1" customHeight="1" x14ac:dyDescent="0.25">
      <c r="A27" s="83">
        <v>5015</v>
      </c>
      <c r="B27" s="145">
        <v>713500</v>
      </c>
      <c r="C27" s="84" t="s">
        <v>38</v>
      </c>
      <c r="D27" s="106"/>
      <c r="E27" s="106">
        <f t="shared" si="0"/>
        <v>0</v>
      </c>
      <c r="F27" s="106"/>
      <c r="G27" s="106"/>
      <c r="H27" s="106"/>
      <c r="I27" s="106"/>
      <c r="J27" s="106"/>
      <c r="K27" s="107"/>
      <c r="L27" s="137" t="e">
        <f t="shared" si="3"/>
        <v>#DIV/0!</v>
      </c>
    </row>
    <row r="28" spans="1:12" ht="16.5" hidden="1" customHeight="1" x14ac:dyDescent="0.25">
      <c r="A28" s="83">
        <v>5016</v>
      </c>
      <c r="B28" s="145">
        <v>713600</v>
      </c>
      <c r="C28" s="84" t="s">
        <v>39</v>
      </c>
      <c r="D28" s="102"/>
      <c r="E28" s="106">
        <f t="shared" si="0"/>
        <v>0</v>
      </c>
      <c r="F28" s="102"/>
      <c r="G28" s="102"/>
      <c r="H28" s="102"/>
      <c r="I28" s="102"/>
      <c r="J28" s="102"/>
      <c r="K28" s="103"/>
      <c r="L28" s="137" t="e">
        <f t="shared" si="3"/>
        <v>#DIV/0!</v>
      </c>
    </row>
    <row r="29" spans="1:12" ht="16.5" hidden="1" customHeight="1" x14ac:dyDescent="0.25">
      <c r="A29" s="142">
        <v>5017</v>
      </c>
      <c r="B29" s="140">
        <v>714000</v>
      </c>
      <c r="C29" s="82" t="s">
        <v>40</v>
      </c>
      <c r="D29" s="102">
        <f>SUM(D30:D34)</f>
        <v>0</v>
      </c>
      <c r="E29" s="102">
        <f t="shared" si="0"/>
        <v>0</v>
      </c>
      <c r="F29" s="102">
        <f t="shared" ref="F29:K29" si="8">SUM(F30:F34)</f>
        <v>0</v>
      </c>
      <c r="G29" s="102">
        <f t="shared" si="8"/>
        <v>0</v>
      </c>
      <c r="H29" s="102">
        <f t="shared" si="8"/>
        <v>0</v>
      </c>
      <c r="I29" s="102">
        <f t="shared" si="8"/>
        <v>0</v>
      </c>
      <c r="J29" s="102">
        <f t="shared" si="8"/>
        <v>0</v>
      </c>
      <c r="K29" s="103">
        <f t="shared" si="8"/>
        <v>0</v>
      </c>
      <c r="L29" s="137" t="e">
        <f t="shared" si="3"/>
        <v>#DIV/0!</v>
      </c>
    </row>
    <row r="30" spans="1:12" ht="16.5" hidden="1" customHeight="1" x14ac:dyDescent="0.25">
      <c r="A30" s="83">
        <v>5018</v>
      </c>
      <c r="B30" s="145">
        <v>714100</v>
      </c>
      <c r="C30" s="84" t="s">
        <v>41</v>
      </c>
      <c r="D30" s="106"/>
      <c r="E30" s="106">
        <f t="shared" si="0"/>
        <v>0</v>
      </c>
      <c r="F30" s="106"/>
      <c r="G30" s="106"/>
      <c r="H30" s="106"/>
      <c r="I30" s="106"/>
      <c r="J30" s="106"/>
      <c r="K30" s="107"/>
      <c r="L30" s="137" t="e">
        <f t="shared" si="3"/>
        <v>#DIV/0!</v>
      </c>
    </row>
    <row r="31" spans="1:12" ht="16.5" hidden="1" customHeight="1" x14ac:dyDescent="0.25">
      <c r="A31" s="83">
        <v>5019</v>
      </c>
      <c r="B31" s="145">
        <v>714300</v>
      </c>
      <c r="C31" s="84" t="s">
        <v>42</v>
      </c>
      <c r="D31" s="106"/>
      <c r="E31" s="106">
        <f t="shared" si="0"/>
        <v>0</v>
      </c>
      <c r="F31" s="106"/>
      <c r="G31" s="106"/>
      <c r="H31" s="106"/>
      <c r="I31" s="106"/>
      <c r="J31" s="106"/>
      <c r="K31" s="107"/>
      <c r="L31" s="137" t="e">
        <f t="shared" si="3"/>
        <v>#DIV/0!</v>
      </c>
    </row>
    <row r="32" spans="1:12" ht="16.5" hidden="1" customHeight="1" x14ac:dyDescent="0.25">
      <c r="A32" s="83">
        <v>5020</v>
      </c>
      <c r="B32" s="145">
        <v>714400</v>
      </c>
      <c r="C32" s="84" t="s">
        <v>43</v>
      </c>
      <c r="D32" s="106"/>
      <c r="E32" s="106">
        <f t="shared" si="0"/>
        <v>0</v>
      </c>
      <c r="F32" s="106"/>
      <c r="G32" s="106"/>
      <c r="H32" s="106"/>
      <c r="I32" s="106"/>
      <c r="J32" s="106"/>
      <c r="K32" s="107"/>
      <c r="L32" s="137" t="e">
        <f t="shared" si="3"/>
        <v>#DIV/0!</v>
      </c>
    </row>
    <row r="33" spans="1:12" ht="16.5" hidden="1" customHeight="1" x14ac:dyDescent="0.25">
      <c r="A33" s="83">
        <v>5021</v>
      </c>
      <c r="B33" s="145">
        <v>714500</v>
      </c>
      <c r="C33" s="84" t="s">
        <v>44</v>
      </c>
      <c r="D33" s="106"/>
      <c r="E33" s="106">
        <f t="shared" si="0"/>
        <v>0</v>
      </c>
      <c r="F33" s="106"/>
      <c r="G33" s="106"/>
      <c r="H33" s="106"/>
      <c r="I33" s="106"/>
      <c r="J33" s="106"/>
      <c r="K33" s="107"/>
      <c r="L33" s="137" t="e">
        <f t="shared" si="3"/>
        <v>#DIV/0!</v>
      </c>
    </row>
    <row r="34" spans="1:12" ht="16.5" hidden="1" customHeight="1" x14ac:dyDescent="0.25">
      <c r="A34" s="83">
        <v>5022</v>
      </c>
      <c r="B34" s="145">
        <v>714600</v>
      </c>
      <c r="C34" s="84" t="s">
        <v>45</v>
      </c>
      <c r="D34" s="106"/>
      <c r="E34" s="106">
        <f t="shared" si="0"/>
        <v>0</v>
      </c>
      <c r="F34" s="106"/>
      <c r="G34" s="106"/>
      <c r="H34" s="106"/>
      <c r="I34" s="106"/>
      <c r="J34" s="106"/>
      <c r="K34" s="107"/>
      <c r="L34" s="137" t="e">
        <f t="shared" si="3"/>
        <v>#DIV/0!</v>
      </c>
    </row>
    <row r="35" spans="1:12" ht="16.5" hidden="1" customHeight="1" x14ac:dyDescent="0.25">
      <c r="A35" s="142">
        <v>5023</v>
      </c>
      <c r="B35" s="140">
        <v>715000</v>
      </c>
      <c r="C35" s="82" t="s">
        <v>46</v>
      </c>
      <c r="D35" s="102">
        <f>SUM(D36:D41)</f>
        <v>0</v>
      </c>
      <c r="E35" s="102">
        <f t="shared" si="0"/>
        <v>0</v>
      </c>
      <c r="F35" s="102">
        <f t="shared" ref="F35:K35" si="9">SUM(F36:F41)</f>
        <v>0</v>
      </c>
      <c r="G35" s="102">
        <f t="shared" si="9"/>
        <v>0</v>
      </c>
      <c r="H35" s="102">
        <f t="shared" si="9"/>
        <v>0</v>
      </c>
      <c r="I35" s="102">
        <f t="shared" si="9"/>
        <v>0</v>
      </c>
      <c r="J35" s="102">
        <f t="shared" si="9"/>
        <v>0</v>
      </c>
      <c r="K35" s="103">
        <f t="shared" si="9"/>
        <v>0</v>
      </c>
      <c r="L35" s="137" t="e">
        <f t="shared" si="3"/>
        <v>#DIV/0!</v>
      </c>
    </row>
    <row r="36" spans="1:12" ht="16.5" hidden="1" customHeight="1" x14ac:dyDescent="0.25">
      <c r="A36" s="83">
        <v>5024</v>
      </c>
      <c r="B36" s="145">
        <v>715100</v>
      </c>
      <c r="C36" s="84" t="s">
        <v>47</v>
      </c>
      <c r="D36" s="106"/>
      <c r="E36" s="106">
        <f t="shared" si="0"/>
        <v>0</v>
      </c>
      <c r="F36" s="106"/>
      <c r="G36" s="106"/>
      <c r="H36" s="106"/>
      <c r="I36" s="106"/>
      <c r="J36" s="106"/>
      <c r="K36" s="107"/>
      <c r="L36" s="137" t="e">
        <f t="shared" si="3"/>
        <v>#DIV/0!</v>
      </c>
    </row>
    <row r="37" spans="1:12" ht="16.5" hidden="1" customHeight="1" x14ac:dyDescent="0.25">
      <c r="A37" s="83">
        <v>5025</v>
      </c>
      <c r="B37" s="145">
        <v>715200</v>
      </c>
      <c r="C37" s="84" t="s">
        <v>48</v>
      </c>
      <c r="D37" s="106"/>
      <c r="E37" s="106">
        <f t="shared" si="0"/>
        <v>0</v>
      </c>
      <c r="F37" s="106"/>
      <c r="G37" s="106"/>
      <c r="H37" s="106"/>
      <c r="I37" s="106"/>
      <c r="J37" s="106"/>
      <c r="K37" s="107"/>
      <c r="L37" s="137" t="e">
        <f t="shared" si="3"/>
        <v>#DIV/0!</v>
      </c>
    </row>
    <row r="38" spans="1:12" ht="16.5" hidden="1" customHeight="1" x14ac:dyDescent="0.25">
      <c r="A38" s="83">
        <v>5026</v>
      </c>
      <c r="B38" s="145">
        <v>715300</v>
      </c>
      <c r="C38" s="84" t="s">
        <v>49</v>
      </c>
      <c r="D38" s="106"/>
      <c r="E38" s="106">
        <f t="shared" si="0"/>
        <v>0</v>
      </c>
      <c r="F38" s="106"/>
      <c r="G38" s="106"/>
      <c r="H38" s="106"/>
      <c r="I38" s="106"/>
      <c r="J38" s="106"/>
      <c r="K38" s="107"/>
      <c r="L38" s="137" t="e">
        <f t="shared" si="3"/>
        <v>#DIV/0!</v>
      </c>
    </row>
    <row r="39" spans="1:12" ht="16.5" hidden="1" customHeight="1" x14ac:dyDescent="0.25">
      <c r="A39" s="83">
        <v>5027</v>
      </c>
      <c r="B39" s="145">
        <v>715400</v>
      </c>
      <c r="C39" s="84" t="s">
        <v>50</v>
      </c>
      <c r="D39" s="106"/>
      <c r="E39" s="106">
        <f t="shared" si="0"/>
        <v>0</v>
      </c>
      <c r="F39" s="106"/>
      <c r="G39" s="106"/>
      <c r="H39" s="106"/>
      <c r="I39" s="106"/>
      <c r="J39" s="106"/>
      <c r="K39" s="107"/>
      <c r="L39" s="137" t="e">
        <f t="shared" si="3"/>
        <v>#DIV/0!</v>
      </c>
    </row>
    <row r="40" spans="1:12" ht="16.5" hidden="1" customHeight="1" x14ac:dyDescent="0.25">
      <c r="A40" s="83">
        <v>5028</v>
      </c>
      <c r="B40" s="145">
        <v>715500</v>
      </c>
      <c r="C40" s="84" t="s">
        <v>51</v>
      </c>
      <c r="D40" s="106"/>
      <c r="E40" s="106">
        <f t="shared" si="0"/>
        <v>0</v>
      </c>
      <c r="F40" s="106"/>
      <c r="G40" s="106"/>
      <c r="H40" s="106"/>
      <c r="I40" s="106"/>
      <c r="J40" s="106"/>
      <c r="K40" s="107"/>
      <c r="L40" s="137" t="e">
        <f t="shared" si="3"/>
        <v>#DIV/0!</v>
      </c>
    </row>
    <row r="41" spans="1:12" ht="16.5" hidden="1" customHeight="1" x14ac:dyDescent="0.25">
      <c r="A41" s="83">
        <v>5029</v>
      </c>
      <c r="B41" s="145">
        <v>715600</v>
      </c>
      <c r="C41" s="84" t="s">
        <v>52</v>
      </c>
      <c r="D41" s="106"/>
      <c r="E41" s="106">
        <f t="shared" si="0"/>
        <v>0</v>
      </c>
      <c r="F41" s="106"/>
      <c r="G41" s="106"/>
      <c r="H41" s="106"/>
      <c r="I41" s="106"/>
      <c r="J41" s="106"/>
      <c r="K41" s="107"/>
      <c r="L41" s="137" t="e">
        <f t="shared" si="3"/>
        <v>#DIV/0!</v>
      </c>
    </row>
    <row r="42" spans="1:12" ht="16.5" hidden="1" customHeight="1" x14ac:dyDescent="0.25">
      <c r="A42" s="142">
        <v>5030</v>
      </c>
      <c r="B42" s="140">
        <v>716000</v>
      </c>
      <c r="C42" s="82" t="s">
        <v>53</v>
      </c>
      <c r="D42" s="102">
        <f>D43+D44</f>
        <v>0</v>
      </c>
      <c r="E42" s="102">
        <f t="shared" si="0"/>
        <v>0</v>
      </c>
      <c r="F42" s="102">
        <f t="shared" ref="F42:K42" si="10">F43+F44</f>
        <v>0</v>
      </c>
      <c r="G42" s="102">
        <f t="shared" si="10"/>
        <v>0</v>
      </c>
      <c r="H42" s="102">
        <f t="shared" si="10"/>
        <v>0</v>
      </c>
      <c r="I42" s="102">
        <f t="shared" si="10"/>
        <v>0</v>
      </c>
      <c r="J42" s="102">
        <f t="shared" si="10"/>
        <v>0</v>
      </c>
      <c r="K42" s="103">
        <f t="shared" si="10"/>
        <v>0</v>
      </c>
      <c r="L42" s="137" t="e">
        <f t="shared" si="3"/>
        <v>#DIV/0!</v>
      </c>
    </row>
    <row r="43" spans="1:12" ht="16.5" hidden="1" customHeight="1" x14ac:dyDescent="0.25">
      <c r="A43" s="83">
        <v>5031</v>
      </c>
      <c r="B43" s="145">
        <v>716100</v>
      </c>
      <c r="C43" s="84" t="s">
        <v>54</v>
      </c>
      <c r="D43" s="106"/>
      <c r="E43" s="106">
        <f t="shared" si="0"/>
        <v>0</v>
      </c>
      <c r="F43" s="106"/>
      <c r="G43" s="106"/>
      <c r="H43" s="106"/>
      <c r="I43" s="106"/>
      <c r="J43" s="106"/>
      <c r="K43" s="107"/>
      <c r="L43" s="137" t="e">
        <f t="shared" si="3"/>
        <v>#DIV/0!</v>
      </c>
    </row>
    <row r="44" spans="1:12" ht="16.5" hidden="1" customHeight="1" x14ac:dyDescent="0.25">
      <c r="A44" s="83">
        <v>5032</v>
      </c>
      <c r="B44" s="145">
        <v>716200</v>
      </c>
      <c r="C44" s="84" t="s">
        <v>55</v>
      </c>
      <c r="D44" s="106"/>
      <c r="E44" s="106">
        <f t="shared" si="0"/>
        <v>0</v>
      </c>
      <c r="F44" s="106"/>
      <c r="G44" s="106"/>
      <c r="H44" s="106"/>
      <c r="I44" s="106"/>
      <c r="J44" s="106"/>
      <c r="K44" s="107"/>
      <c r="L44" s="137" t="e">
        <f t="shared" si="3"/>
        <v>#DIV/0!</v>
      </c>
    </row>
    <row r="45" spans="1:12" ht="16.5" hidden="1" customHeight="1" x14ac:dyDescent="0.25">
      <c r="A45" s="142">
        <v>5033</v>
      </c>
      <c r="B45" s="140">
        <v>717000</v>
      </c>
      <c r="C45" s="82" t="s">
        <v>56</v>
      </c>
      <c r="D45" s="102">
        <f>SUM(D50:D55)</f>
        <v>0</v>
      </c>
      <c r="E45" s="102">
        <f t="shared" si="0"/>
        <v>0</v>
      </c>
      <c r="F45" s="102">
        <f t="shared" ref="F45:K45" si="11">SUM(F50:F55)</f>
        <v>0</v>
      </c>
      <c r="G45" s="102">
        <f t="shared" si="11"/>
        <v>0</v>
      </c>
      <c r="H45" s="102">
        <f t="shared" si="11"/>
        <v>0</v>
      </c>
      <c r="I45" s="102">
        <f t="shared" si="11"/>
        <v>0</v>
      </c>
      <c r="J45" s="102">
        <f t="shared" si="11"/>
        <v>0</v>
      </c>
      <c r="K45" s="103">
        <f t="shared" si="11"/>
        <v>0</v>
      </c>
      <c r="L45" s="137" t="e">
        <f t="shared" si="3"/>
        <v>#DIV/0!</v>
      </c>
    </row>
    <row r="46" spans="1:12" ht="16.5" hidden="1" customHeight="1" x14ac:dyDescent="0.25">
      <c r="A46" s="583" t="s">
        <v>0</v>
      </c>
      <c r="B46" s="584" t="s">
        <v>1</v>
      </c>
      <c r="C46" s="585" t="s">
        <v>2</v>
      </c>
      <c r="D46" s="586" t="s">
        <v>3</v>
      </c>
      <c r="E46" s="586" t="s">
        <v>4</v>
      </c>
      <c r="F46" s="586"/>
      <c r="G46" s="586"/>
      <c r="H46" s="586"/>
      <c r="I46" s="586"/>
      <c r="J46" s="586"/>
      <c r="K46" s="587"/>
      <c r="L46" s="137" t="e">
        <f t="shared" si="3"/>
        <v>#VALUE!</v>
      </c>
    </row>
    <row r="47" spans="1:12" ht="16.5" hidden="1" customHeight="1" x14ac:dyDescent="0.25">
      <c r="A47" s="583"/>
      <c r="B47" s="584"/>
      <c r="C47" s="585"/>
      <c r="D47" s="586"/>
      <c r="E47" s="585" t="s">
        <v>5</v>
      </c>
      <c r="F47" s="586" t="s">
        <v>6</v>
      </c>
      <c r="G47" s="586"/>
      <c r="H47" s="586"/>
      <c r="I47" s="586"/>
      <c r="J47" s="586" t="s">
        <v>7</v>
      </c>
      <c r="K47" s="587" t="s">
        <v>8</v>
      </c>
      <c r="L47" s="137" t="e">
        <f t="shared" si="3"/>
        <v>#VALUE!</v>
      </c>
    </row>
    <row r="48" spans="1:12" ht="16.5" hidden="1" customHeight="1" x14ac:dyDescent="0.25">
      <c r="A48" s="583"/>
      <c r="B48" s="584"/>
      <c r="C48" s="585"/>
      <c r="D48" s="586"/>
      <c r="E48" s="585"/>
      <c r="F48" s="144" t="s">
        <v>9</v>
      </c>
      <c r="G48" s="144" t="s">
        <v>10</v>
      </c>
      <c r="H48" s="144" t="s">
        <v>11</v>
      </c>
      <c r="I48" s="144" t="s">
        <v>12</v>
      </c>
      <c r="J48" s="586"/>
      <c r="K48" s="587"/>
      <c r="L48" s="137" t="e">
        <f t="shared" si="3"/>
        <v>#DIV/0!</v>
      </c>
    </row>
    <row r="49" spans="1:12" ht="16.5" hidden="1" customHeight="1" x14ac:dyDescent="0.25">
      <c r="A49" s="85" t="s">
        <v>18</v>
      </c>
      <c r="B49" s="139" t="s">
        <v>19</v>
      </c>
      <c r="C49" s="139" t="s">
        <v>20</v>
      </c>
      <c r="D49" s="139" t="s">
        <v>21</v>
      </c>
      <c r="E49" s="139" t="s">
        <v>22</v>
      </c>
      <c r="F49" s="139" t="s">
        <v>23</v>
      </c>
      <c r="G49" s="139" t="s">
        <v>24</v>
      </c>
      <c r="H49" s="139" t="s">
        <v>25</v>
      </c>
      <c r="I49" s="139" t="s">
        <v>26</v>
      </c>
      <c r="J49" s="139" t="s">
        <v>27</v>
      </c>
      <c r="K49" s="99" t="s">
        <v>28</v>
      </c>
      <c r="L49" s="137">
        <f t="shared" si="3"/>
        <v>1.25</v>
      </c>
    </row>
    <row r="50" spans="1:12" ht="16.5" hidden="1" customHeight="1" x14ac:dyDescent="0.25">
      <c r="A50" s="83">
        <v>5034</v>
      </c>
      <c r="B50" s="145">
        <v>717100</v>
      </c>
      <c r="C50" s="84" t="s">
        <v>57</v>
      </c>
      <c r="D50" s="106"/>
      <c r="E50" s="106">
        <f t="shared" si="0"/>
        <v>0</v>
      </c>
      <c r="F50" s="106"/>
      <c r="G50" s="106"/>
      <c r="H50" s="106"/>
      <c r="I50" s="106"/>
      <c r="J50" s="106"/>
      <c r="K50" s="107"/>
      <c r="L50" s="137" t="e">
        <f t="shared" si="3"/>
        <v>#DIV/0!</v>
      </c>
    </row>
    <row r="51" spans="1:12" ht="16.5" hidden="1" customHeight="1" x14ac:dyDescent="0.25">
      <c r="A51" s="83">
        <v>5035</v>
      </c>
      <c r="B51" s="145">
        <v>717200</v>
      </c>
      <c r="C51" s="84" t="s">
        <v>58</v>
      </c>
      <c r="D51" s="106"/>
      <c r="E51" s="106">
        <f t="shared" si="0"/>
        <v>0</v>
      </c>
      <c r="F51" s="106"/>
      <c r="G51" s="106"/>
      <c r="H51" s="106"/>
      <c r="I51" s="106"/>
      <c r="J51" s="106"/>
      <c r="K51" s="107"/>
      <c r="L51" s="137" t="e">
        <f t="shared" si="3"/>
        <v>#DIV/0!</v>
      </c>
    </row>
    <row r="52" spans="1:12" ht="16.5" hidden="1" customHeight="1" x14ac:dyDescent="0.25">
      <c r="A52" s="83">
        <v>5036</v>
      </c>
      <c r="B52" s="145">
        <v>717300</v>
      </c>
      <c r="C52" s="84" t="s">
        <v>59</v>
      </c>
      <c r="D52" s="106"/>
      <c r="E52" s="106">
        <f t="shared" si="0"/>
        <v>0</v>
      </c>
      <c r="F52" s="106"/>
      <c r="G52" s="106"/>
      <c r="H52" s="106"/>
      <c r="I52" s="106"/>
      <c r="J52" s="106"/>
      <c r="K52" s="107"/>
      <c r="L52" s="137" t="e">
        <f t="shared" si="3"/>
        <v>#DIV/0!</v>
      </c>
    </row>
    <row r="53" spans="1:12" ht="16.5" hidden="1" customHeight="1" x14ac:dyDescent="0.25">
      <c r="A53" s="83">
        <v>5037</v>
      </c>
      <c r="B53" s="145">
        <v>717400</v>
      </c>
      <c r="C53" s="84" t="s">
        <v>60</v>
      </c>
      <c r="D53" s="106"/>
      <c r="E53" s="106">
        <f t="shared" si="0"/>
        <v>0</v>
      </c>
      <c r="F53" s="106"/>
      <c r="G53" s="106"/>
      <c r="H53" s="106"/>
      <c r="I53" s="106"/>
      <c r="J53" s="106"/>
      <c r="K53" s="107"/>
      <c r="L53" s="137" t="e">
        <f t="shared" si="3"/>
        <v>#DIV/0!</v>
      </c>
    </row>
    <row r="54" spans="1:12" ht="16.5" hidden="1" customHeight="1" x14ac:dyDescent="0.25">
      <c r="A54" s="83">
        <v>5038</v>
      </c>
      <c r="B54" s="145">
        <v>717500</v>
      </c>
      <c r="C54" s="84" t="s">
        <v>61</v>
      </c>
      <c r="D54" s="106"/>
      <c r="E54" s="106">
        <f t="shared" si="0"/>
        <v>0</v>
      </c>
      <c r="F54" s="106"/>
      <c r="G54" s="106"/>
      <c r="H54" s="106"/>
      <c r="I54" s="106"/>
      <c r="J54" s="106"/>
      <c r="K54" s="107"/>
      <c r="L54" s="137" t="e">
        <f t="shared" si="3"/>
        <v>#DIV/0!</v>
      </c>
    </row>
    <row r="55" spans="1:12" ht="16.5" hidden="1" customHeight="1" x14ac:dyDescent="0.25">
      <c r="A55" s="83">
        <v>5039</v>
      </c>
      <c r="B55" s="145">
        <v>717600</v>
      </c>
      <c r="C55" s="84" t="s">
        <v>62</v>
      </c>
      <c r="D55" s="106"/>
      <c r="E55" s="106">
        <f t="shared" si="0"/>
        <v>0</v>
      </c>
      <c r="F55" s="106"/>
      <c r="G55" s="106"/>
      <c r="H55" s="106"/>
      <c r="I55" s="106"/>
      <c r="J55" s="106"/>
      <c r="K55" s="107"/>
      <c r="L55" s="137" t="e">
        <f t="shared" si="3"/>
        <v>#DIV/0!</v>
      </c>
    </row>
    <row r="56" spans="1:12" ht="16.5" hidden="1" customHeight="1" x14ac:dyDescent="0.25">
      <c r="A56" s="142">
        <v>5040</v>
      </c>
      <c r="B56" s="140">
        <v>719000</v>
      </c>
      <c r="C56" s="82" t="s">
        <v>63</v>
      </c>
      <c r="D56" s="102">
        <f>SUM(D57:D62)</f>
        <v>0</v>
      </c>
      <c r="E56" s="102">
        <f t="shared" si="0"/>
        <v>0</v>
      </c>
      <c r="F56" s="102">
        <f t="shared" ref="F56:K56" si="12">SUM(F57:F62)</f>
        <v>0</v>
      </c>
      <c r="G56" s="102">
        <f t="shared" si="12"/>
        <v>0</v>
      </c>
      <c r="H56" s="102">
        <f t="shared" si="12"/>
        <v>0</v>
      </c>
      <c r="I56" s="102">
        <f t="shared" si="12"/>
        <v>0</v>
      </c>
      <c r="J56" s="102">
        <f t="shared" si="12"/>
        <v>0</v>
      </c>
      <c r="K56" s="103">
        <f t="shared" si="12"/>
        <v>0</v>
      </c>
      <c r="L56" s="137" t="e">
        <f t="shared" si="3"/>
        <v>#DIV/0!</v>
      </c>
    </row>
    <row r="57" spans="1:12" ht="16.5" hidden="1" customHeight="1" x14ac:dyDescent="0.25">
      <c r="A57" s="83">
        <v>5041</v>
      </c>
      <c r="B57" s="145">
        <v>719100</v>
      </c>
      <c r="C57" s="84" t="s">
        <v>64</v>
      </c>
      <c r="D57" s="106"/>
      <c r="E57" s="106">
        <f t="shared" si="0"/>
        <v>0</v>
      </c>
      <c r="F57" s="106"/>
      <c r="G57" s="106"/>
      <c r="H57" s="106"/>
      <c r="I57" s="106"/>
      <c r="J57" s="106"/>
      <c r="K57" s="107"/>
      <c r="L57" s="137" t="e">
        <f t="shared" si="3"/>
        <v>#DIV/0!</v>
      </c>
    </row>
    <row r="58" spans="1:12" ht="16.5" hidden="1" customHeight="1" x14ac:dyDescent="0.25">
      <c r="A58" s="83">
        <v>5042</v>
      </c>
      <c r="B58" s="145">
        <v>719200</v>
      </c>
      <c r="C58" s="84" t="s">
        <v>65</v>
      </c>
      <c r="D58" s="106"/>
      <c r="E58" s="106">
        <f t="shared" si="0"/>
        <v>0</v>
      </c>
      <c r="F58" s="106"/>
      <c r="G58" s="106"/>
      <c r="H58" s="106"/>
      <c r="I58" s="106"/>
      <c r="J58" s="106"/>
      <c r="K58" s="107"/>
      <c r="L58" s="137" t="e">
        <f t="shared" si="3"/>
        <v>#DIV/0!</v>
      </c>
    </row>
    <row r="59" spans="1:12" ht="16.5" hidden="1" customHeight="1" x14ac:dyDescent="0.25">
      <c r="A59" s="83">
        <v>5043</v>
      </c>
      <c r="B59" s="145">
        <v>719300</v>
      </c>
      <c r="C59" s="84" t="s">
        <v>66</v>
      </c>
      <c r="D59" s="106"/>
      <c r="E59" s="106">
        <f t="shared" si="0"/>
        <v>0</v>
      </c>
      <c r="F59" s="106"/>
      <c r="G59" s="106"/>
      <c r="H59" s="106"/>
      <c r="I59" s="106"/>
      <c r="J59" s="106"/>
      <c r="K59" s="107"/>
      <c r="L59" s="137" t="e">
        <f t="shared" si="3"/>
        <v>#DIV/0!</v>
      </c>
    </row>
    <row r="60" spans="1:12" ht="16.5" hidden="1" customHeight="1" x14ac:dyDescent="0.25">
      <c r="A60" s="83">
        <v>5044</v>
      </c>
      <c r="B60" s="145">
        <v>719400</v>
      </c>
      <c r="C60" s="84" t="s">
        <v>67</v>
      </c>
      <c r="D60" s="106"/>
      <c r="E60" s="106">
        <f t="shared" si="0"/>
        <v>0</v>
      </c>
      <c r="F60" s="106"/>
      <c r="G60" s="106"/>
      <c r="H60" s="106"/>
      <c r="I60" s="106"/>
      <c r="J60" s="106"/>
      <c r="K60" s="107"/>
      <c r="L60" s="137" t="e">
        <f t="shared" si="3"/>
        <v>#DIV/0!</v>
      </c>
    </row>
    <row r="61" spans="1:12" ht="16.5" hidden="1" customHeight="1" x14ac:dyDescent="0.25">
      <c r="A61" s="83">
        <v>5045</v>
      </c>
      <c r="B61" s="145">
        <v>719500</v>
      </c>
      <c r="C61" s="84" t="s">
        <v>68</v>
      </c>
      <c r="D61" s="106"/>
      <c r="E61" s="106">
        <f t="shared" si="0"/>
        <v>0</v>
      </c>
      <c r="F61" s="106"/>
      <c r="G61" s="106"/>
      <c r="H61" s="106"/>
      <c r="I61" s="106"/>
      <c r="J61" s="106"/>
      <c r="K61" s="107"/>
      <c r="L61" s="137" t="e">
        <f t="shared" si="3"/>
        <v>#DIV/0!</v>
      </c>
    </row>
    <row r="62" spans="1:12" ht="16.5" hidden="1" customHeight="1" x14ac:dyDescent="0.25">
      <c r="A62" s="83">
        <v>5046</v>
      </c>
      <c r="B62" s="145">
        <v>719600</v>
      </c>
      <c r="C62" s="84" t="s">
        <v>69</v>
      </c>
      <c r="D62" s="106"/>
      <c r="E62" s="106">
        <f t="shared" si="0"/>
        <v>0</v>
      </c>
      <c r="F62" s="106"/>
      <c r="G62" s="106"/>
      <c r="H62" s="106"/>
      <c r="I62" s="106"/>
      <c r="J62" s="106"/>
      <c r="K62" s="107"/>
      <c r="L62" s="137" t="e">
        <f t="shared" si="3"/>
        <v>#DIV/0!</v>
      </c>
    </row>
    <row r="63" spans="1:12" ht="16.5" hidden="1" customHeight="1" x14ac:dyDescent="0.25">
      <c r="A63" s="142">
        <v>5047</v>
      </c>
      <c r="B63" s="140">
        <v>720000</v>
      </c>
      <c r="C63" s="82" t="s">
        <v>70</v>
      </c>
      <c r="D63" s="100">
        <f>D64+D69</f>
        <v>0</v>
      </c>
      <c r="E63" s="100">
        <f t="shared" si="0"/>
        <v>0</v>
      </c>
      <c r="F63" s="100">
        <f t="shared" ref="F63:K63" si="13">F64+F69</f>
        <v>0</v>
      </c>
      <c r="G63" s="100">
        <f t="shared" si="13"/>
        <v>0</v>
      </c>
      <c r="H63" s="100">
        <f t="shared" si="13"/>
        <v>0</v>
      </c>
      <c r="I63" s="100">
        <f t="shared" si="13"/>
        <v>0</v>
      </c>
      <c r="J63" s="100">
        <f t="shared" si="13"/>
        <v>0</v>
      </c>
      <c r="K63" s="101">
        <f t="shared" si="13"/>
        <v>0</v>
      </c>
      <c r="L63" s="137" t="e">
        <f t="shared" si="3"/>
        <v>#DIV/0!</v>
      </c>
    </row>
    <row r="64" spans="1:12" ht="16.5" hidden="1" customHeight="1" x14ac:dyDescent="0.25">
      <c r="A64" s="142">
        <v>5048</v>
      </c>
      <c r="B64" s="140">
        <v>721000</v>
      </c>
      <c r="C64" s="82" t="s">
        <v>71</v>
      </c>
      <c r="D64" s="100">
        <f>SUM(D65:D68)</f>
        <v>0</v>
      </c>
      <c r="E64" s="100">
        <f t="shared" si="0"/>
        <v>0</v>
      </c>
      <c r="F64" s="100">
        <f t="shared" ref="F64:K64" si="14">SUM(F65:F68)</f>
        <v>0</v>
      </c>
      <c r="G64" s="100">
        <f t="shared" si="14"/>
        <v>0</v>
      </c>
      <c r="H64" s="100">
        <f t="shared" si="14"/>
        <v>0</v>
      </c>
      <c r="I64" s="100">
        <f t="shared" si="14"/>
        <v>0</v>
      </c>
      <c r="J64" s="100">
        <f t="shared" si="14"/>
        <v>0</v>
      </c>
      <c r="K64" s="101">
        <f t="shared" si="14"/>
        <v>0</v>
      </c>
      <c r="L64" s="137" t="e">
        <f t="shared" si="3"/>
        <v>#DIV/0!</v>
      </c>
    </row>
    <row r="65" spans="1:12" ht="16.5" hidden="1" customHeight="1" x14ac:dyDescent="0.25">
      <c r="A65" s="83">
        <v>5049</v>
      </c>
      <c r="B65" s="145">
        <v>721100</v>
      </c>
      <c r="C65" s="84" t="s">
        <v>72</v>
      </c>
      <c r="D65" s="108"/>
      <c r="E65" s="109">
        <f t="shared" si="0"/>
        <v>0</v>
      </c>
      <c r="F65" s="108"/>
      <c r="G65" s="108"/>
      <c r="H65" s="108"/>
      <c r="I65" s="108"/>
      <c r="J65" s="108"/>
      <c r="K65" s="110"/>
      <c r="L65" s="137" t="e">
        <f t="shared" si="3"/>
        <v>#DIV/0!</v>
      </c>
    </row>
    <row r="66" spans="1:12" ht="16.5" hidden="1" customHeight="1" x14ac:dyDescent="0.25">
      <c r="A66" s="83">
        <v>5050</v>
      </c>
      <c r="B66" s="145">
        <v>721200</v>
      </c>
      <c r="C66" s="84" t="s">
        <v>73</v>
      </c>
      <c r="D66" s="108"/>
      <c r="E66" s="109">
        <f t="shared" si="0"/>
        <v>0</v>
      </c>
      <c r="F66" s="108"/>
      <c r="G66" s="108"/>
      <c r="H66" s="108"/>
      <c r="I66" s="108"/>
      <c r="J66" s="108"/>
      <c r="K66" s="110"/>
      <c r="L66" s="137" t="e">
        <f t="shared" si="3"/>
        <v>#DIV/0!</v>
      </c>
    </row>
    <row r="67" spans="1:12" ht="16.5" hidden="1" customHeight="1" x14ac:dyDescent="0.25">
      <c r="A67" s="83">
        <v>5051</v>
      </c>
      <c r="B67" s="145">
        <v>721300</v>
      </c>
      <c r="C67" s="84" t="s">
        <v>74</v>
      </c>
      <c r="D67" s="108"/>
      <c r="E67" s="109">
        <f t="shared" si="0"/>
        <v>0</v>
      </c>
      <c r="F67" s="108"/>
      <c r="G67" s="108"/>
      <c r="H67" s="108"/>
      <c r="I67" s="108"/>
      <c r="J67" s="108"/>
      <c r="K67" s="110"/>
      <c r="L67" s="137" t="e">
        <f t="shared" si="3"/>
        <v>#DIV/0!</v>
      </c>
    </row>
    <row r="68" spans="1:12" ht="16.5" hidden="1" customHeight="1" x14ac:dyDescent="0.25">
      <c r="A68" s="83">
        <v>5052</v>
      </c>
      <c r="B68" s="145">
        <v>721400</v>
      </c>
      <c r="C68" s="84" t="s">
        <v>75</v>
      </c>
      <c r="D68" s="108"/>
      <c r="E68" s="109">
        <f t="shared" si="0"/>
        <v>0</v>
      </c>
      <c r="F68" s="108"/>
      <c r="G68" s="108"/>
      <c r="H68" s="108"/>
      <c r="I68" s="108"/>
      <c r="J68" s="108"/>
      <c r="K68" s="110"/>
      <c r="L68" s="137" t="e">
        <f t="shared" si="3"/>
        <v>#DIV/0!</v>
      </c>
    </row>
    <row r="69" spans="1:12" ht="16.5" hidden="1" customHeight="1" x14ac:dyDescent="0.25">
      <c r="A69" s="142">
        <v>5053</v>
      </c>
      <c r="B69" s="140">
        <v>722000</v>
      </c>
      <c r="C69" s="82" t="s">
        <v>76</v>
      </c>
      <c r="D69" s="100">
        <f>SUM(D70:D72)</f>
        <v>0</v>
      </c>
      <c r="E69" s="100">
        <f t="shared" si="0"/>
        <v>0</v>
      </c>
      <c r="F69" s="100">
        <f t="shared" ref="F69:K69" si="15">SUM(F70:F72)</f>
        <v>0</v>
      </c>
      <c r="G69" s="100">
        <f t="shared" si="15"/>
        <v>0</v>
      </c>
      <c r="H69" s="100">
        <f t="shared" si="15"/>
        <v>0</v>
      </c>
      <c r="I69" s="100">
        <f t="shared" si="15"/>
        <v>0</v>
      </c>
      <c r="J69" s="100">
        <f t="shared" si="15"/>
        <v>0</v>
      </c>
      <c r="K69" s="101">
        <f t="shared" si="15"/>
        <v>0</v>
      </c>
      <c r="L69" s="137" t="e">
        <f t="shared" si="3"/>
        <v>#DIV/0!</v>
      </c>
    </row>
    <row r="70" spans="1:12" ht="16.5" hidden="1" customHeight="1" x14ac:dyDescent="0.25">
      <c r="A70" s="83">
        <v>5054</v>
      </c>
      <c r="B70" s="145">
        <v>722100</v>
      </c>
      <c r="C70" s="84" t="s">
        <v>77</v>
      </c>
      <c r="D70" s="108"/>
      <c r="E70" s="109">
        <f t="shared" si="0"/>
        <v>0</v>
      </c>
      <c r="F70" s="108"/>
      <c r="G70" s="108"/>
      <c r="H70" s="108"/>
      <c r="I70" s="108"/>
      <c r="J70" s="108"/>
      <c r="K70" s="110"/>
      <c r="L70" s="137" t="e">
        <f t="shared" si="3"/>
        <v>#DIV/0!</v>
      </c>
    </row>
    <row r="71" spans="1:12" ht="16.5" hidden="1" customHeight="1" x14ac:dyDescent="0.25">
      <c r="A71" s="83">
        <v>5055</v>
      </c>
      <c r="B71" s="145">
        <v>722200</v>
      </c>
      <c r="C71" s="84" t="s">
        <v>78</v>
      </c>
      <c r="D71" s="108"/>
      <c r="E71" s="109">
        <f t="shared" si="0"/>
        <v>0</v>
      </c>
      <c r="F71" s="108"/>
      <c r="G71" s="108"/>
      <c r="H71" s="108"/>
      <c r="I71" s="108"/>
      <c r="J71" s="108"/>
      <c r="K71" s="110"/>
      <c r="L71" s="137" t="e">
        <f t="shared" si="3"/>
        <v>#DIV/0!</v>
      </c>
    </row>
    <row r="72" spans="1:12" ht="16.5" hidden="1" customHeight="1" x14ac:dyDescent="0.25">
      <c r="A72" s="83">
        <v>5056</v>
      </c>
      <c r="B72" s="145">
        <v>722300</v>
      </c>
      <c r="C72" s="84" t="s">
        <v>79</v>
      </c>
      <c r="D72" s="108"/>
      <c r="E72" s="109">
        <f t="shared" si="0"/>
        <v>0</v>
      </c>
      <c r="F72" s="108"/>
      <c r="G72" s="108"/>
      <c r="H72" s="108"/>
      <c r="I72" s="108"/>
      <c r="J72" s="108"/>
      <c r="K72" s="110"/>
      <c r="L72" s="137" t="e">
        <f t="shared" si="3"/>
        <v>#DIV/0!</v>
      </c>
    </row>
    <row r="73" spans="1:12" ht="16.5" hidden="1" customHeight="1" x14ac:dyDescent="0.25">
      <c r="A73" s="583" t="s">
        <v>0</v>
      </c>
      <c r="B73" s="584" t="s">
        <v>1</v>
      </c>
      <c r="C73" s="585" t="s">
        <v>2</v>
      </c>
      <c r="D73" s="575" t="s">
        <v>3</v>
      </c>
      <c r="E73" s="575" t="s">
        <v>4</v>
      </c>
      <c r="F73" s="575"/>
      <c r="G73" s="575"/>
      <c r="H73" s="575"/>
      <c r="I73" s="575"/>
      <c r="J73" s="575"/>
      <c r="K73" s="582"/>
      <c r="L73" s="137" t="e">
        <f t="shared" si="3"/>
        <v>#VALUE!</v>
      </c>
    </row>
    <row r="74" spans="1:12" ht="16.5" hidden="1" customHeight="1" x14ac:dyDescent="0.25">
      <c r="A74" s="583"/>
      <c r="B74" s="584"/>
      <c r="C74" s="585"/>
      <c r="D74" s="575"/>
      <c r="E74" s="581" t="s">
        <v>5</v>
      </c>
      <c r="F74" s="575" t="s">
        <v>6</v>
      </c>
      <c r="G74" s="575"/>
      <c r="H74" s="575"/>
      <c r="I74" s="575"/>
      <c r="J74" s="575" t="s">
        <v>7</v>
      </c>
      <c r="K74" s="582" t="s">
        <v>8</v>
      </c>
      <c r="L74" s="137" t="e">
        <f t="shared" ref="L74:L137" si="16">E74/D74</f>
        <v>#VALUE!</v>
      </c>
    </row>
    <row r="75" spans="1:12" ht="16.5" hidden="1" customHeight="1" x14ac:dyDescent="0.25">
      <c r="A75" s="583"/>
      <c r="B75" s="584"/>
      <c r="C75" s="585"/>
      <c r="D75" s="575"/>
      <c r="E75" s="581"/>
      <c r="F75" s="140" t="s">
        <v>9</v>
      </c>
      <c r="G75" s="140" t="s">
        <v>10</v>
      </c>
      <c r="H75" s="140" t="s">
        <v>11</v>
      </c>
      <c r="I75" s="140" t="s">
        <v>12</v>
      </c>
      <c r="J75" s="575"/>
      <c r="K75" s="582"/>
      <c r="L75" s="137" t="e">
        <f t="shared" si="16"/>
        <v>#DIV/0!</v>
      </c>
    </row>
    <row r="76" spans="1:12" ht="16.5" hidden="1" customHeight="1" x14ac:dyDescent="0.25">
      <c r="A76" s="85" t="s">
        <v>18</v>
      </c>
      <c r="B76" s="139" t="s">
        <v>19</v>
      </c>
      <c r="C76" s="139" t="s">
        <v>20</v>
      </c>
      <c r="D76" s="86" t="s">
        <v>21</v>
      </c>
      <c r="E76" s="86" t="s">
        <v>22</v>
      </c>
      <c r="F76" s="86" t="s">
        <v>23</v>
      </c>
      <c r="G76" s="86" t="s">
        <v>24</v>
      </c>
      <c r="H76" s="86" t="s">
        <v>25</v>
      </c>
      <c r="I76" s="86" t="s">
        <v>26</v>
      </c>
      <c r="J76" s="86" t="s">
        <v>27</v>
      </c>
      <c r="K76" s="98" t="s">
        <v>28</v>
      </c>
      <c r="L76" s="137">
        <f t="shared" si="16"/>
        <v>1.25</v>
      </c>
    </row>
    <row r="77" spans="1:12" ht="16.5" hidden="1" customHeight="1" x14ac:dyDescent="0.25">
      <c r="A77" s="142">
        <v>5057</v>
      </c>
      <c r="B77" s="140">
        <v>730000</v>
      </c>
      <c r="C77" s="82" t="s">
        <v>80</v>
      </c>
      <c r="D77" s="100">
        <f>D78+D81+D86</f>
        <v>0</v>
      </c>
      <c r="E77" s="100">
        <f t="shared" ref="E77:E86" si="17">SUM(F77:K77)</f>
        <v>0</v>
      </c>
      <c r="F77" s="100">
        <f t="shared" ref="F77:K77" si="18">F78+F81+F86</f>
        <v>0</v>
      </c>
      <c r="G77" s="100">
        <f t="shared" si="18"/>
        <v>0</v>
      </c>
      <c r="H77" s="100">
        <f t="shared" si="18"/>
        <v>0</v>
      </c>
      <c r="I77" s="100">
        <f t="shared" si="18"/>
        <v>0</v>
      </c>
      <c r="J77" s="100">
        <f t="shared" si="18"/>
        <v>0</v>
      </c>
      <c r="K77" s="101">
        <f t="shared" si="18"/>
        <v>0</v>
      </c>
      <c r="L77" s="137" t="e">
        <f t="shared" si="16"/>
        <v>#DIV/0!</v>
      </c>
    </row>
    <row r="78" spans="1:12" ht="16.5" hidden="1" customHeight="1" x14ac:dyDescent="0.25">
      <c r="A78" s="142">
        <v>5058</v>
      </c>
      <c r="B78" s="140">
        <v>731000</v>
      </c>
      <c r="C78" s="82" t="s">
        <v>81</v>
      </c>
      <c r="D78" s="100">
        <f>D79+D80</f>
        <v>0</v>
      </c>
      <c r="E78" s="100">
        <f t="shared" si="17"/>
        <v>0</v>
      </c>
      <c r="F78" s="100">
        <f t="shared" ref="F78:K78" si="19">F79+F80</f>
        <v>0</v>
      </c>
      <c r="G78" s="100">
        <f t="shared" si="19"/>
        <v>0</v>
      </c>
      <c r="H78" s="100">
        <f t="shared" si="19"/>
        <v>0</v>
      </c>
      <c r="I78" s="100">
        <f t="shared" si="19"/>
        <v>0</v>
      </c>
      <c r="J78" s="100">
        <f t="shared" si="19"/>
        <v>0</v>
      </c>
      <c r="K78" s="101">
        <f t="shared" si="19"/>
        <v>0</v>
      </c>
      <c r="L78" s="137" t="e">
        <f t="shared" si="16"/>
        <v>#DIV/0!</v>
      </c>
    </row>
    <row r="79" spans="1:12" ht="16.5" hidden="1" customHeight="1" x14ac:dyDescent="0.25">
      <c r="A79" s="83">
        <v>5059</v>
      </c>
      <c r="B79" s="145">
        <v>731100</v>
      </c>
      <c r="C79" s="84" t="s">
        <v>82</v>
      </c>
      <c r="D79" s="108"/>
      <c r="E79" s="109">
        <f t="shared" si="17"/>
        <v>0</v>
      </c>
      <c r="F79" s="108"/>
      <c r="G79" s="108"/>
      <c r="H79" s="108"/>
      <c r="I79" s="108"/>
      <c r="J79" s="108"/>
      <c r="K79" s="110"/>
      <c r="L79" s="137" t="e">
        <f t="shared" si="16"/>
        <v>#DIV/0!</v>
      </c>
    </row>
    <row r="80" spans="1:12" ht="16.5" hidden="1" customHeight="1" x14ac:dyDescent="0.25">
      <c r="A80" s="83">
        <v>5060</v>
      </c>
      <c r="B80" s="145">
        <v>731200</v>
      </c>
      <c r="C80" s="84" t="s">
        <v>83</v>
      </c>
      <c r="D80" s="108"/>
      <c r="E80" s="109">
        <f t="shared" si="17"/>
        <v>0</v>
      </c>
      <c r="F80" s="108"/>
      <c r="G80" s="108"/>
      <c r="H80" s="108"/>
      <c r="I80" s="108"/>
      <c r="J80" s="108"/>
      <c r="K80" s="110"/>
      <c r="L80" s="137" t="e">
        <f t="shared" si="16"/>
        <v>#DIV/0!</v>
      </c>
    </row>
    <row r="81" spans="1:12" ht="16.5" hidden="1" customHeight="1" x14ac:dyDescent="0.25">
      <c r="A81" s="142">
        <v>5061</v>
      </c>
      <c r="B81" s="140">
        <v>732000</v>
      </c>
      <c r="C81" s="82" t="s">
        <v>84</v>
      </c>
      <c r="D81" s="100">
        <f>D82+D83+D84+D85</f>
        <v>0</v>
      </c>
      <c r="E81" s="100">
        <f t="shared" si="17"/>
        <v>0</v>
      </c>
      <c r="F81" s="100">
        <f t="shared" ref="F81:K81" si="20">F82+F83+F84+F85</f>
        <v>0</v>
      </c>
      <c r="G81" s="100">
        <f t="shared" si="20"/>
        <v>0</v>
      </c>
      <c r="H81" s="100">
        <f t="shared" si="20"/>
        <v>0</v>
      </c>
      <c r="I81" s="100">
        <f t="shared" si="20"/>
        <v>0</v>
      </c>
      <c r="J81" s="100">
        <f t="shared" si="20"/>
        <v>0</v>
      </c>
      <c r="K81" s="101">
        <f t="shared" si="20"/>
        <v>0</v>
      </c>
      <c r="L81" s="137" t="e">
        <f t="shared" si="16"/>
        <v>#DIV/0!</v>
      </c>
    </row>
    <row r="82" spans="1:12" ht="16.5" hidden="1" customHeight="1" x14ac:dyDescent="0.25">
      <c r="A82" s="83">
        <v>5062</v>
      </c>
      <c r="B82" s="145">
        <v>732100</v>
      </c>
      <c r="C82" s="84" t="s">
        <v>85</v>
      </c>
      <c r="D82" s="108"/>
      <c r="E82" s="109">
        <f t="shared" si="17"/>
        <v>0</v>
      </c>
      <c r="F82" s="108"/>
      <c r="G82" s="108"/>
      <c r="H82" s="108"/>
      <c r="I82" s="108"/>
      <c r="J82" s="108"/>
      <c r="K82" s="110"/>
      <c r="L82" s="137" t="e">
        <f t="shared" si="16"/>
        <v>#DIV/0!</v>
      </c>
    </row>
    <row r="83" spans="1:12" ht="16.5" hidden="1" customHeight="1" x14ac:dyDescent="0.25">
      <c r="A83" s="83">
        <v>5063</v>
      </c>
      <c r="B83" s="145">
        <v>732200</v>
      </c>
      <c r="C83" s="84" t="s">
        <v>86</v>
      </c>
      <c r="D83" s="108"/>
      <c r="E83" s="109">
        <f t="shared" si="17"/>
        <v>0</v>
      </c>
      <c r="F83" s="108"/>
      <c r="G83" s="108"/>
      <c r="H83" s="108"/>
      <c r="I83" s="108"/>
      <c r="J83" s="108"/>
      <c r="K83" s="110"/>
      <c r="L83" s="137" t="e">
        <f t="shared" si="16"/>
        <v>#DIV/0!</v>
      </c>
    </row>
    <row r="84" spans="1:12" ht="16.5" hidden="1" customHeight="1" x14ac:dyDescent="0.25">
      <c r="A84" s="83">
        <v>5064</v>
      </c>
      <c r="B84" s="145">
        <v>732300</v>
      </c>
      <c r="C84" s="84" t="s">
        <v>87</v>
      </c>
      <c r="D84" s="108"/>
      <c r="E84" s="109">
        <f t="shared" si="17"/>
        <v>0</v>
      </c>
      <c r="F84" s="108"/>
      <c r="G84" s="108"/>
      <c r="H84" s="108"/>
      <c r="I84" s="108"/>
      <c r="J84" s="108"/>
      <c r="K84" s="110"/>
      <c r="L84" s="137" t="e">
        <f t="shared" si="16"/>
        <v>#DIV/0!</v>
      </c>
    </row>
    <row r="85" spans="1:12" ht="16.5" hidden="1" customHeight="1" x14ac:dyDescent="0.25">
      <c r="A85" s="83">
        <v>5065</v>
      </c>
      <c r="B85" s="145">
        <v>732400</v>
      </c>
      <c r="C85" s="84" t="s">
        <v>88</v>
      </c>
      <c r="D85" s="108"/>
      <c r="E85" s="109">
        <f t="shared" si="17"/>
        <v>0</v>
      </c>
      <c r="F85" s="108"/>
      <c r="G85" s="108"/>
      <c r="H85" s="108"/>
      <c r="I85" s="108"/>
      <c r="J85" s="108"/>
      <c r="K85" s="110"/>
      <c r="L85" s="137" t="e">
        <f t="shared" si="16"/>
        <v>#DIV/0!</v>
      </c>
    </row>
    <row r="86" spans="1:12" ht="16.5" hidden="1" customHeight="1" x14ac:dyDescent="0.25">
      <c r="A86" s="142">
        <v>5066</v>
      </c>
      <c r="B86" s="140">
        <v>733000</v>
      </c>
      <c r="C86" s="82" t="s">
        <v>89</v>
      </c>
      <c r="D86" s="100">
        <f>D87+D88</f>
        <v>0</v>
      </c>
      <c r="E86" s="100">
        <f t="shared" si="17"/>
        <v>0</v>
      </c>
      <c r="F86" s="100">
        <f t="shared" ref="F86:K86" si="21">F87+F88</f>
        <v>0</v>
      </c>
      <c r="G86" s="100">
        <f t="shared" si="21"/>
        <v>0</v>
      </c>
      <c r="H86" s="100">
        <f t="shared" si="21"/>
        <v>0</v>
      </c>
      <c r="I86" s="100">
        <f t="shared" si="21"/>
        <v>0</v>
      </c>
      <c r="J86" s="100">
        <f t="shared" si="21"/>
        <v>0</v>
      </c>
      <c r="K86" s="101">
        <f t="shared" si="21"/>
        <v>0</v>
      </c>
      <c r="L86" s="137" t="e">
        <f t="shared" si="16"/>
        <v>#DIV/0!</v>
      </c>
    </row>
    <row r="87" spans="1:12" ht="16.5" hidden="1" customHeight="1" x14ac:dyDescent="0.25">
      <c r="A87" s="83">
        <v>5067</v>
      </c>
      <c r="B87" s="145">
        <v>733100</v>
      </c>
      <c r="C87" s="84" t="s">
        <v>90</v>
      </c>
      <c r="D87" s="108"/>
      <c r="E87" s="109">
        <f t="shared" ref="E87:E122" si="22">SUM(F87:K87)</f>
        <v>0</v>
      </c>
      <c r="F87" s="108"/>
      <c r="G87" s="108"/>
      <c r="H87" s="108"/>
      <c r="I87" s="108"/>
      <c r="J87" s="108"/>
      <c r="K87" s="110"/>
      <c r="L87" s="137" t="e">
        <f t="shared" si="16"/>
        <v>#DIV/0!</v>
      </c>
    </row>
    <row r="88" spans="1:12" ht="16.5" hidden="1" customHeight="1" x14ac:dyDescent="0.25">
      <c r="A88" s="83">
        <v>5068</v>
      </c>
      <c r="B88" s="145">
        <v>733200</v>
      </c>
      <c r="C88" s="84" t="s">
        <v>91</v>
      </c>
      <c r="D88" s="108"/>
      <c r="E88" s="109">
        <f t="shared" si="22"/>
        <v>0</v>
      </c>
      <c r="F88" s="108"/>
      <c r="G88" s="108"/>
      <c r="H88" s="108"/>
      <c r="I88" s="108"/>
      <c r="J88" s="108"/>
      <c r="K88" s="110"/>
      <c r="L88" s="137" t="e">
        <f t="shared" si="16"/>
        <v>#DIV/0!</v>
      </c>
    </row>
    <row r="89" spans="1:12" ht="12.75" customHeight="1" x14ac:dyDescent="0.25">
      <c r="A89" s="142">
        <v>5069</v>
      </c>
      <c r="B89" s="140">
        <v>740000</v>
      </c>
      <c r="C89" s="82" t="s">
        <v>92</v>
      </c>
      <c r="D89" s="100">
        <f>D90+D97+D102+D113+D116</f>
        <v>14931</v>
      </c>
      <c r="E89" s="100">
        <f t="shared" si="22"/>
        <v>7123</v>
      </c>
      <c r="F89" s="100">
        <f t="shared" ref="F89:K89" si="23">F90+F97+F102+F113+F116</f>
        <v>376</v>
      </c>
      <c r="G89" s="100">
        <f t="shared" si="23"/>
        <v>0</v>
      </c>
      <c r="H89" s="100">
        <f t="shared" si="23"/>
        <v>0</v>
      </c>
      <c r="I89" s="100">
        <f t="shared" si="23"/>
        <v>0</v>
      </c>
      <c r="J89" s="100">
        <f t="shared" si="23"/>
        <v>0</v>
      </c>
      <c r="K89" s="101">
        <f t="shared" si="23"/>
        <v>6747</v>
      </c>
      <c r="L89" s="137">
        <f t="shared" si="16"/>
        <v>0.47706114794722387</v>
      </c>
    </row>
    <row r="90" spans="1:12" ht="12.75" customHeight="1" x14ac:dyDescent="0.25">
      <c r="A90" s="142">
        <v>5070</v>
      </c>
      <c r="B90" s="140">
        <v>741000</v>
      </c>
      <c r="C90" s="82" t="s">
        <v>93</v>
      </c>
      <c r="D90" s="100">
        <f>SUM(D91:D96)</f>
        <v>1131</v>
      </c>
      <c r="E90" s="100">
        <f t="shared" si="22"/>
        <v>0</v>
      </c>
      <c r="F90" s="100">
        <f t="shared" ref="F90:K90" si="24">SUM(F91:F96)</f>
        <v>0</v>
      </c>
      <c r="G90" s="100">
        <f t="shared" si="24"/>
        <v>0</v>
      </c>
      <c r="H90" s="100">
        <f t="shared" si="24"/>
        <v>0</v>
      </c>
      <c r="I90" s="100">
        <f t="shared" si="24"/>
        <v>0</v>
      </c>
      <c r="J90" s="100">
        <f t="shared" si="24"/>
        <v>0</v>
      </c>
      <c r="K90" s="101">
        <f t="shared" si="24"/>
        <v>0</v>
      </c>
      <c r="L90" s="137">
        <f t="shared" si="16"/>
        <v>0</v>
      </c>
    </row>
    <row r="91" spans="1:12" ht="16.5" hidden="1" customHeight="1" x14ac:dyDescent="0.25">
      <c r="A91" s="83">
        <v>5071</v>
      </c>
      <c r="B91" s="145">
        <v>741100</v>
      </c>
      <c r="C91" s="84" t="s">
        <v>94</v>
      </c>
      <c r="D91" s="108"/>
      <c r="E91" s="109">
        <f t="shared" si="22"/>
        <v>0</v>
      </c>
      <c r="F91" s="108"/>
      <c r="G91" s="108"/>
      <c r="H91" s="108"/>
      <c r="I91" s="108"/>
      <c r="J91" s="108"/>
      <c r="K91" s="110"/>
      <c r="L91" s="137" t="e">
        <f t="shared" si="16"/>
        <v>#DIV/0!</v>
      </c>
    </row>
    <row r="92" spans="1:12" ht="16.5" hidden="1" customHeight="1" x14ac:dyDescent="0.25">
      <c r="A92" s="83">
        <v>5072</v>
      </c>
      <c r="B92" s="145">
        <v>741200</v>
      </c>
      <c r="C92" s="84" t="s">
        <v>95</v>
      </c>
      <c r="D92" s="108"/>
      <c r="E92" s="109">
        <f t="shared" si="22"/>
        <v>0</v>
      </c>
      <c r="F92" s="108"/>
      <c r="G92" s="108"/>
      <c r="H92" s="108"/>
      <c r="I92" s="108"/>
      <c r="J92" s="108"/>
      <c r="K92" s="110"/>
      <c r="L92" s="137" t="e">
        <f t="shared" si="16"/>
        <v>#DIV/0!</v>
      </c>
    </row>
    <row r="93" spans="1:12" ht="16.5" hidden="1" customHeight="1" x14ac:dyDescent="0.25">
      <c r="A93" s="83">
        <v>5073</v>
      </c>
      <c r="B93" s="145">
        <v>741300</v>
      </c>
      <c r="C93" s="84" t="s">
        <v>96</v>
      </c>
      <c r="D93" s="108"/>
      <c r="E93" s="109">
        <f t="shared" si="22"/>
        <v>0</v>
      </c>
      <c r="F93" s="108"/>
      <c r="G93" s="108"/>
      <c r="H93" s="108"/>
      <c r="I93" s="108"/>
      <c r="J93" s="108"/>
      <c r="K93" s="110"/>
      <c r="L93" s="137" t="e">
        <f t="shared" si="16"/>
        <v>#DIV/0!</v>
      </c>
    </row>
    <row r="94" spans="1:12" ht="12.75" customHeight="1" x14ac:dyDescent="0.25">
      <c r="A94" s="83">
        <v>5074</v>
      </c>
      <c r="B94" s="145">
        <v>741400</v>
      </c>
      <c r="C94" s="84" t="s">
        <v>97</v>
      </c>
      <c r="D94" s="111">
        <v>1131</v>
      </c>
      <c r="E94" s="109">
        <f t="shared" si="22"/>
        <v>0</v>
      </c>
      <c r="F94" s="111"/>
      <c r="G94" s="111"/>
      <c r="H94" s="111"/>
      <c r="I94" s="111"/>
      <c r="J94" s="111"/>
      <c r="K94" s="112"/>
      <c r="L94" s="137">
        <f t="shared" si="16"/>
        <v>0</v>
      </c>
    </row>
    <row r="95" spans="1:12" ht="16.5" hidden="1" customHeight="1" x14ac:dyDescent="0.25">
      <c r="A95" s="83">
        <v>5075</v>
      </c>
      <c r="B95" s="145">
        <v>741500</v>
      </c>
      <c r="C95" s="84" t="s">
        <v>98</v>
      </c>
      <c r="D95" s="108"/>
      <c r="E95" s="109">
        <f t="shared" si="22"/>
        <v>0</v>
      </c>
      <c r="F95" s="108"/>
      <c r="G95" s="108"/>
      <c r="H95" s="108"/>
      <c r="I95" s="108"/>
      <c r="J95" s="108"/>
      <c r="K95" s="110"/>
      <c r="L95" s="137" t="e">
        <f t="shared" si="16"/>
        <v>#DIV/0!</v>
      </c>
    </row>
    <row r="96" spans="1:12" ht="16.5" hidden="1" customHeight="1" x14ac:dyDescent="0.25">
      <c r="A96" s="83">
        <v>5076</v>
      </c>
      <c r="B96" s="145">
        <v>741600</v>
      </c>
      <c r="C96" s="84" t="s">
        <v>99</v>
      </c>
      <c r="D96" s="108"/>
      <c r="E96" s="109">
        <f t="shared" si="22"/>
        <v>0</v>
      </c>
      <c r="F96" s="108"/>
      <c r="G96" s="108"/>
      <c r="H96" s="108"/>
      <c r="I96" s="108"/>
      <c r="J96" s="108"/>
      <c r="K96" s="110"/>
      <c r="L96" s="137" t="e">
        <f t="shared" si="16"/>
        <v>#DIV/0!</v>
      </c>
    </row>
    <row r="97" spans="1:12" ht="12.75" customHeight="1" x14ac:dyDescent="0.25">
      <c r="A97" s="142">
        <v>5077</v>
      </c>
      <c r="B97" s="140">
        <v>742000</v>
      </c>
      <c r="C97" s="82" t="s">
        <v>100</v>
      </c>
      <c r="D97" s="100">
        <f>SUM(D98:D101)</f>
        <v>13700</v>
      </c>
      <c r="E97" s="100">
        <f t="shared" si="22"/>
        <v>7023</v>
      </c>
      <c r="F97" s="100">
        <f t="shared" ref="F97:K97" si="25">SUM(F98:F101)</f>
        <v>376</v>
      </c>
      <c r="G97" s="100">
        <f t="shared" si="25"/>
        <v>0</v>
      </c>
      <c r="H97" s="100">
        <f t="shared" si="25"/>
        <v>0</v>
      </c>
      <c r="I97" s="100">
        <f t="shared" si="25"/>
        <v>0</v>
      </c>
      <c r="J97" s="100">
        <f t="shared" si="25"/>
        <v>0</v>
      </c>
      <c r="K97" s="101">
        <f t="shared" si="25"/>
        <v>6647</v>
      </c>
      <c r="L97" s="137">
        <f t="shared" si="16"/>
        <v>0.51262773722627741</v>
      </c>
    </row>
    <row r="98" spans="1:12" ht="12.75" customHeight="1" x14ac:dyDescent="0.25">
      <c r="A98" s="83">
        <v>5078</v>
      </c>
      <c r="B98" s="145">
        <v>742100</v>
      </c>
      <c r="C98" s="84" t="s">
        <v>101</v>
      </c>
      <c r="D98" s="108">
        <v>5000</v>
      </c>
      <c r="E98" s="109">
        <f t="shared" si="22"/>
        <v>2475</v>
      </c>
      <c r="F98" s="108"/>
      <c r="G98" s="108"/>
      <c r="H98" s="108"/>
      <c r="I98" s="108"/>
      <c r="J98" s="108"/>
      <c r="K98" s="110">
        <v>2475</v>
      </c>
      <c r="L98" s="137">
        <f t="shared" si="16"/>
        <v>0.495</v>
      </c>
    </row>
    <row r="99" spans="1:12" ht="16.5" hidden="1" customHeight="1" x14ac:dyDescent="0.25">
      <c r="A99" s="83">
        <v>5079</v>
      </c>
      <c r="B99" s="145">
        <v>742200</v>
      </c>
      <c r="C99" s="84" t="s">
        <v>102</v>
      </c>
      <c r="D99" s="108"/>
      <c r="E99" s="109">
        <f t="shared" si="22"/>
        <v>0</v>
      </c>
      <c r="F99" s="108"/>
      <c r="G99" s="108"/>
      <c r="H99" s="108"/>
      <c r="I99" s="108"/>
      <c r="J99" s="108"/>
      <c r="K99" s="110"/>
      <c r="L99" s="137" t="e">
        <f t="shared" si="16"/>
        <v>#DIV/0!</v>
      </c>
    </row>
    <row r="100" spans="1:12" ht="15.75" customHeight="1" x14ac:dyDescent="0.25">
      <c r="A100" s="83">
        <v>5080</v>
      </c>
      <c r="B100" s="145">
        <v>742300</v>
      </c>
      <c r="C100" s="84" t="s">
        <v>103</v>
      </c>
      <c r="D100" s="108">
        <v>8700</v>
      </c>
      <c r="E100" s="109">
        <f t="shared" si="22"/>
        <v>4548</v>
      </c>
      <c r="F100" s="108">
        <v>376</v>
      </c>
      <c r="G100" s="108"/>
      <c r="H100" s="108"/>
      <c r="I100" s="108"/>
      <c r="J100" s="108"/>
      <c r="K100" s="110">
        <v>4172</v>
      </c>
      <c r="L100" s="137">
        <f t="shared" si="16"/>
        <v>0.52275862068965517</v>
      </c>
    </row>
    <row r="101" spans="1:12" ht="16.5" hidden="1" customHeight="1" x14ac:dyDescent="0.25">
      <c r="A101" s="83">
        <v>5081</v>
      </c>
      <c r="B101" s="145">
        <v>742400</v>
      </c>
      <c r="C101" s="84" t="s">
        <v>104</v>
      </c>
      <c r="D101" s="108"/>
      <c r="E101" s="109">
        <f t="shared" si="22"/>
        <v>0</v>
      </c>
      <c r="F101" s="108"/>
      <c r="G101" s="108"/>
      <c r="H101" s="108"/>
      <c r="I101" s="108"/>
      <c r="J101" s="108"/>
      <c r="K101" s="110"/>
      <c r="L101" s="137" t="e">
        <f t="shared" si="16"/>
        <v>#DIV/0!</v>
      </c>
    </row>
    <row r="102" spans="1:12" ht="16.5" hidden="1" customHeight="1" x14ac:dyDescent="0.25">
      <c r="A102" s="142">
        <v>5082</v>
      </c>
      <c r="B102" s="140">
        <v>743000</v>
      </c>
      <c r="C102" s="82" t="s">
        <v>105</v>
      </c>
      <c r="D102" s="100">
        <f>SUM(D107:D112)</f>
        <v>0</v>
      </c>
      <c r="E102" s="100">
        <f t="shared" si="22"/>
        <v>0</v>
      </c>
      <c r="F102" s="100">
        <f t="shared" ref="F102:K102" si="26">SUM(F107:F112)</f>
        <v>0</v>
      </c>
      <c r="G102" s="100">
        <f t="shared" si="26"/>
        <v>0</v>
      </c>
      <c r="H102" s="100">
        <f t="shared" si="26"/>
        <v>0</v>
      </c>
      <c r="I102" s="100">
        <f t="shared" si="26"/>
        <v>0</v>
      </c>
      <c r="J102" s="100">
        <f t="shared" si="26"/>
        <v>0</v>
      </c>
      <c r="K102" s="101">
        <f t="shared" si="26"/>
        <v>0</v>
      </c>
      <c r="L102" s="137" t="e">
        <f t="shared" si="16"/>
        <v>#DIV/0!</v>
      </c>
    </row>
    <row r="103" spans="1:12" ht="16.5" hidden="1" customHeight="1" x14ac:dyDescent="0.25">
      <c r="A103" s="583" t="s">
        <v>0</v>
      </c>
      <c r="B103" s="584" t="s">
        <v>1</v>
      </c>
      <c r="C103" s="585" t="s">
        <v>2</v>
      </c>
      <c r="D103" s="575" t="s">
        <v>3</v>
      </c>
      <c r="E103" s="575" t="s">
        <v>4</v>
      </c>
      <c r="F103" s="575"/>
      <c r="G103" s="575"/>
      <c r="H103" s="575"/>
      <c r="I103" s="575"/>
      <c r="J103" s="575"/>
      <c r="K103" s="582"/>
      <c r="L103" s="137" t="e">
        <f t="shared" si="16"/>
        <v>#VALUE!</v>
      </c>
    </row>
    <row r="104" spans="1:12" ht="16.5" hidden="1" customHeight="1" x14ac:dyDescent="0.25">
      <c r="A104" s="583"/>
      <c r="B104" s="584"/>
      <c r="C104" s="585"/>
      <c r="D104" s="575"/>
      <c r="E104" s="581" t="s">
        <v>5</v>
      </c>
      <c r="F104" s="575" t="s">
        <v>6</v>
      </c>
      <c r="G104" s="575"/>
      <c r="H104" s="575"/>
      <c r="I104" s="575"/>
      <c r="J104" s="575" t="s">
        <v>7</v>
      </c>
      <c r="K104" s="582" t="s">
        <v>8</v>
      </c>
      <c r="L104" s="137" t="e">
        <f t="shared" si="16"/>
        <v>#VALUE!</v>
      </c>
    </row>
    <row r="105" spans="1:12" ht="16.5" hidden="1" customHeight="1" x14ac:dyDescent="0.25">
      <c r="A105" s="583"/>
      <c r="B105" s="584"/>
      <c r="C105" s="585"/>
      <c r="D105" s="575"/>
      <c r="E105" s="581"/>
      <c r="F105" s="140" t="s">
        <v>9</v>
      </c>
      <c r="G105" s="140" t="s">
        <v>10</v>
      </c>
      <c r="H105" s="140" t="s">
        <v>11</v>
      </c>
      <c r="I105" s="140" t="s">
        <v>12</v>
      </c>
      <c r="J105" s="575"/>
      <c r="K105" s="582"/>
      <c r="L105" s="137" t="e">
        <f t="shared" si="16"/>
        <v>#DIV/0!</v>
      </c>
    </row>
    <row r="106" spans="1:12" ht="16.5" hidden="1" customHeight="1" x14ac:dyDescent="0.25">
      <c r="A106" s="85" t="s">
        <v>18</v>
      </c>
      <c r="B106" s="139" t="s">
        <v>19</v>
      </c>
      <c r="C106" s="139" t="s">
        <v>20</v>
      </c>
      <c r="D106" s="86" t="s">
        <v>21</v>
      </c>
      <c r="E106" s="86" t="s">
        <v>22</v>
      </c>
      <c r="F106" s="86" t="s">
        <v>23</v>
      </c>
      <c r="G106" s="86" t="s">
        <v>24</v>
      </c>
      <c r="H106" s="86" t="s">
        <v>25</v>
      </c>
      <c r="I106" s="86" t="s">
        <v>26</v>
      </c>
      <c r="J106" s="86" t="s">
        <v>27</v>
      </c>
      <c r="K106" s="98" t="s">
        <v>28</v>
      </c>
      <c r="L106" s="137">
        <f t="shared" si="16"/>
        <v>1.25</v>
      </c>
    </row>
    <row r="107" spans="1:12" ht="16.5" hidden="1" customHeight="1" x14ac:dyDescent="0.25">
      <c r="A107" s="83">
        <v>5083</v>
      </c>
      <c r="B107" s="145">
        <v>743100</v>
      </c>
      <c r="C107" s="84" t="s">
        <v>106</v>
      </c>
      <c r="D107" s="108"/>
      <c r="E107" s="109">
        <f t="shared" si="22"/>
        <v>0</v>
      </c>
      <c r="F107" s="108"/>
      <c r="G107" s="108"/>
      <c r="H107" s="108"/>
      <c r="I107" s="108"/>
      <c r="J107" s="108"/>
      <c r="K107" s="110"/>
      <c r="L107" s="137" t="e">
        <f t="shared" si="16"/>
        <v>#DIV/0!</v>
      </c>
    </row>
    <row r="108" spans="1:12" ht="16.5" hidden="1" customHeight="1" x14ac:dyDescent="0.25">
      <c r="A108" s="83">
        <v>5084</v>
      </c>
      <c r="B108" s="145">
        <v>743200</v>
      </c>
      <c r="C108" s="84" t="s">
        <v>107</v>
      </c>
      <c r="D108" s="108"/>
      <c r="E108" s="109">
        <f t="shared" si="22"/>
        <v>0</v>
      </c>
      <c r="F108" s="108"/>
      <c r="G108" s="108"/>
      <c r="H108" s="108"/>
      <c r="I108" s="108"/>
      <c r="J108" s="108"/>
      <c r="K108" s="110"/>
      <c r="L108" s="137" t="e">
        <f t="shared" si="16"/>
        <v>#DIV/0!</v>
      </c>
    </row>
    <row r="109" spans="1:12" ht="16.5" hidden="1" customHeight="1" x14ac:dyDescent="0.25">
      <c r="A109" s="83">
        <v>5085</v>
      </c>
      <c r="B109" s="145">
        <v>743300</v>
      </c>
      <c r="C109" s="84" t="s">
        <v>108</v>
      </c>
      <c r="D109" s="108"/>
      <c r="E109" s="109">
        <f t="shared" si="22"/>
        <v>0</v>
      </c>
      <c r="F109" s="108"/>
      <c r="G109" s="108"/>
      <c r="H109" s="108"/>
      <c r="I109" s="108"/>
      <c r="J109" s="108"/>
      <c r="K109" s="110"/>
      <c r="L109" s="137" t="e">
        <f t="shared" si="16"/>
        <v>#DIV/0!</v>
      </c>
    </row>
    <row r="110" spans="1:12" ht="16.5" hidden="1" customHeight="1" x14ac:dyDescent="0.25">
      <c r="A110" s="83">
        <v>5086</v>
      </c>
      <c r="B110" s="145">
        <v>743400</v>
      </c>
      <c r="C110" s="84" t="s">
        <v>109</v>
      </c>
      <c r="D110" s="108"/>
      <c r="E110" s="109">
        <f t="shared" si="22"/>
        <v>0</v>
      </c>
      <c r="F110" s="108"/>
      <c r="G110" s="108"/>
      <c r="H110" s="108"/>
      <c r="I110" s="108"/>
      <c r="J110" s="108"/>
      <c r="K110" s="110"/>
      <c r="L110" s="137" t="e">
        <f t="shared" si="16"/>
        <v>#DIV/0!</v>
      </c>
    </row>
    <row r="111" spans="1:12" ht="16.5" hidden="1" customHeight="1" x14ac:dyDescent="0.25">
      <c r="A111" s="83">
        <v>5087</v>
      </c>
      <c r="B111" s="145">
        <v>743500</v>
      </c>
      <c r="C111" s="84" t="s">
        <v>110</v>
      </c>
      <c r="D111" s="108"/>
      <c r="E111" s="109">
        <f t="shared" si="22"/>
        <v>0</v>
      </c>
      <c r="F111" s="108"/>
      <c r="G111" s="108"/>
      <c r="H111" s="108"/>
      <c r="I111" s="108"/>
      <c r="J111" s="108"/>
      <c r="K111" s="110"/>
      <c r="L111" s="137" t="e">
        <f t="shared" si="16"/>
        <v>#DIV/0!</v>
      </c>
    </row>
    <row r="112" spans="1:12" ht="1.5" hidden="1" customHeight="1" x14ac:dyDescent="0.25">
      <c r="A112" s="83">
        <v>5088</v>
      </c>
      <c r="B112" s="145">
        <v>743900</v>
      </c>
      <c r="C112" s="84" t="s">
        <v>111</v>
      </c>
      <c r="D112" s="108"/>
      <c r="E112" s="109">
        <f t="shared" si="22"/>
        <v>0</v>
      </c>
      <c r="F112" s="108"/>
      <c r="G112" s="108"/>
      <c r="H112" s="108"/>
      <c r="I112" s="108"/>
      <c r="J112" s="108"/>
      <c r="K112" s="110"/>
      <c r="L112" s="137" t="e">
        <f t="shared" si="16"/>
        <v>#DIV/0!</v>
      </c>
    </row>
    <row r="113" spans="1:12" ht="12.75" customHeight="1" x14ac:dyDescent="0.25">
      <c r="A113" s="142">
        <v>5089</v>
      </c>
      <c r="B113" s="140">
        <v>744000</v>
      </c>
      <c r="C113" s="82" t="s">
        <v>533</v>
      </c>
      <c r="D113" s="100">
        <f>D114+D115</f>
        <v>100</v>
      </c>
      <c r="E113" s="100">
        <f t="shared" si="22"/>
        <v>100</v>
      </c>
      <c r="F113" s="100">
        <f t="shared" ref="F113:K113" si="27">F114+F115</f>
        <v>0</v>
      </c>
      <c r="G113" s="100">
        <f t="shared" si="27"/>
        <v>0</v>
      </c>
      <c r="H113" s="100">
        <f t="shared" si="27"/>
        <v>0</v>
      </c>
      <c r="I113" s="100">
        <f t="shared" si="27"/>
        <v>0</v>
      </c>
      <c r="J113" s="100">
        <f t="shared" si="27"/>
        <v>0</v>
      </c>
      <c r="K113" s="101">
        <f t="shared" si="27"/>
        <v>100</v>
      </c>
      <c r="L113" s="137">
        <f t="shared" si="16"/>
        <v>1</v>
      </c>
    </row>
    <row r="114" spans="1:12" ht="12.75" customHeight="1" x14ac:dyDescent="0.25">
      <c r="A114" s="83">
        <v>5090</v>
      </c>
      <c r="B114" s="145">
        <v>744100</v>
      </c>
      <c r="C114" s="84" t="s">
        <v>113</v>
      </c>
      <c r="D114" s="108">
        <v>100</v>
      </c>
      <c r="E114" s="109">
        <f t="shared" si="22"/>
        <v>100</v>
      </c>
      <c r="F114" s="108"/>
      <c r="G114" s="108"/>
      <c r="H114" s="108"/>
      <c r="I114" s="108"/>
      <c r="J114" s="108"/>
      <c r="K114" s="110">
        <v>100</v>
      </c>
      <c r="L114" s="137">
        <f t="shared" si="16"/>
        <v>1</v>
      </c>
    </row>
    <row r="115" spans="1:12" ht="16.5" hidden="1" customHeight="1" x14ac:dyDescent="0.25">
      <c r="A115" s="83">
        <v>5091</v>
      </c>
      <c r="B115" s="145">
        <v>744200</v>
      </c>
      <c r="C115" s="84" t="s">
        <v>114</v>
      </c>
      <c r="D115" s="108"/>
      <c r="E115" s="109">
        <f t="shared" si="22"/>
        <v>0</v>
      </c>
      <c r="F115" s="108"/>
      <c r="G115" s="108"/>
      <c r="H115" s="108"/>
      <c r="I115" s="108"/>
      <c r="J115" s="108"/>
      <c r="K115" s="110"/>
      <c r="L115" s="137" t="e">
        <f t="shared" si="16"/>
        <v>#DIV/0!</v>
      </c>
    </row>
    <row r="116" spans="1:12" ht="16.5" hidden="1" customHeight="1" x14ac:dyDescent="0.25">
      <c r="A116" s="142">
        <v>5092</v>
      </c>
      <c r="B116" s="140">
        <v>745000</v>
      </c>
      <c r="C116" s="82" t="s">
        <v>115</v>
      </c>
      <c r="D116" s="100">
        <f>D117</f>
        <v>0</v>
      </c>
      <c r="E116" s="100">
        <f t="shared" si="22"/>
        <v>0</v>
      </c>
      <c r="F116" s="100">
        <f t="shared" ref="F116:K116" si="28">F117</f>
        <v>0</v>
      </c>
      <c r="G116" s="100">
        <f t="shared" si="28"/>
        <v>0</v>
      </c>
      <c r="H116" s="100">
        <f t="shared" si="28"/>
        <v>0</v>
      </c>
      <c r="I116" s="100">
        <f t="shared" si="28"/>
        <v>0</v>
      </c>
      <c r="J116" s="100">
        <f t="shared" si="28"/>
        <v>0</v>
      </c>
      <c r="K116" s="101">
        <f t="shared" si="28"/>
        <v>0</v>
      </c>
      <c r="L116" s="137" t="e">
        <f t="shared" si="16"/>
        <v>#DIV/0!</v>
      </c>
    </row>
    <row r="117" spans="1:12" ht="16.5" hidden="1" customHeight="1" x14ac:dyDescent="0.25">
      <c r="A117" s="83">
        <v>5093</v>
      </c>
      <c r="B117" s="145">
        <v>745100</v>
      </c>
      <c r="C117" s="84" t="s">
        <v>116</v>
      </c>
      <c r="D117" s="108"/>
      <c r="E117" s="109">
        <f t="shared" si="22"/>
        <v>0</v>
      </c>
      <c r="F117" s="108"/>
      <c r="G117" s="108"/>
      <c r="H117" s="108"/>
      <c r="I117" s="108"/>
      <c r="J117" s="108"/>
      <c r="K117" s="110"/>
      <c r="L117" s="137" t="e">
        <f t="shared" si="16"/>
        <v>#DIV/0!</v>
      </c>
    </row>
    <row r="118" spans="1:12" ht="16.5" hidden="1" customHeight="1" x14ac:dyDescent="0.25">
      <c r="A118" s="142">
        <v>5094</v>
      </c>
      <c r="B118" s="140">
        <v>770000</v>
      </c>
      <c r="C118" s="82" t="s">
        <v>117</v>
      </c>
      <c r="D118" s="100">
        <f>D119+D121</f>
        <v>0</v>
      </c>
      <c r="E118" s="100">
        <f t="shared" si="22"/>
        <v>0</v>
      </c>
      <c r="F118" s="100">
        <f t="shared" ref="F118:K118" si="29">F119+F121</f>
        <v>0</v>
      </c>
      <c r="G118" s="100">
        <f t="shared" si="29"/>
        <v>0</v>
      </c>
      <c r="H118" s="100">
        <f t="shared" si="29"/>
        <v>0</v>
      </c>
      <c r="I118" s="100">
        <f t="shared" si="29"/>
        <v>0</v>
      </c>
      <c r="J118" s="100">
        <f t="shared" si="29"/>
        <v>0</v>
      </c>
      <c r="K118" s="101">
        <f t="shared" si="29"/>
        <v>0</v>
      </c>
      <c r="L118" s="137" t="e">
        <f t="shared" si="16"/>
        <v>#DIV/0!</v>
      </c>
    </row>
    <row r="119" spans="1:12" ht="16.5" hidden="1" customHeight="1" x14ac:dyDescent="0.25">
      <c r="A119" s="142">
        <v>5095</v>
      </c>
      <c r="B119" s="140">
        <v>771000</v>
      </c>
      <c r="C119" s="82" t="s">
        <v>118</v>
      </c>
      <c r="D119" s="100">
        <f>D120</f>
        <v>0</v>
      </c>
      <c r="E119" s="100">
        <f t="shared" si="22"/>
        <v>0</v>
      </c>
      <c r="F119" s="100">
        <f t="shared" ref="F119:K119" si="30">F120</f>
        <v>0</v>
      </c>
      <c r="G119" s="100">
        <f t="shared" si="30"/>
        <v>0</v>
      </c>
      <c r="H119" s="100">
        <f t="shared" si="30"/>
        <v>0</v>
      </c>
      <c r="I119" s="100">
        <f t="shared" si="30"/>
        <v>0</v>
      </c>
      <c r="J119" s="100">
        <f t="shared" si="30"/>
        <v>0</v>
      </c>
      <c r="K119" s="101">
        <f t="shared" si="30"/>
        <v>0</v>
      </c>
      <c r="L119" s="137" t="e">
        <f t="shared" si="16"/>
        <v>#DIV/0!</v>
      </c>
    </row>
    <row r="120" spans="1:12" ht="16.5" hidden="1" customHeight="1" x14ac:dyDescent="0.25">
      <c r="A120" s="83">
        <v>5096</v>
      </c>
      <c r="B120" s="145">
        <v>771100</v>
      </c>
      <c r="C120" s="84" t="s">
        <v>119</v>
      </c>
      <c r="D120" s="108"/>
      <c r="E120" s="109">
        <f t="shared" si="22"/>
        <v>0</v>
      </c>
      <c r="F120" s="108"/>
      <c r="G120" s="108"/>
      <c r="H120" s="108"/>
      <c r="I120" s="108"/>
      <c r="J120" s="108"/>
      <c r="K120" s="110"/>
      <c r="L120" s="137" t="e">
        <f t="shared" si="16"/>
        <v>#DIV/0!</v>
      </c>
    </row>
    <row r="121" spans="1:12" ht="16.5" hidden="1" customHeight="1" x14ac:dyDescent="0.25">
      <c r="A121" s="142">
        <v>5097</v>
      </c>
      <c r="B121" s="140">
        <v>772000</v>
      </c>
      <c r="C121" s="82" t="s">
        <v>120</v>
      </c>
      <c r="D121" s="100">
        <f>D122</f>
        <v>0</v>
      </c>
      <c r="E121" s="100">
        <f t="shared" si="22"/>
        <v>0</v>
      </c>
      <c r="F121" s="100">
        <f t="shared" ref="F121:K121" si="31">F122</f>
        <v>0</v>
      </c>
      <c r="G121" s="100">
        <f t="shared" si="31"/>
        <v>0</v>
      </c>
      <c r="H121" s="100">
        <f t="shared" si="31"/>
        <v>0</v>
      </c>
      <c r="I121" s="100">
        <f t="shared" si="31"/>
        <v>0</v>
      </c>
      <c r="J121" s="100">
        <f t="shared" si="31"/>
        <v>0</v>
      </c>
      <c r="K121" s="101">
        <f t="shared" si="31"/>
        <v>0</v>
      </c>
      <c r="L121" s="137" t="e">
        <f t="shared" si="16"/>
        <v>#DIV/0!</v>
      </c>
    </row>
    <row r="122" spans="1:12" ht="16.5" hidden="1" customHeight="1" x14ac:dyDescent="0.25">
      <c r="A122" s="83">
        <v>5098</v>
      </c>
      <c r="B122" s="145">
        <v>772100</v>
      </c>
      <c r="C122" s="84" t="s">
        <v>121</v>
      </c>
      <c r="D122" s="108"/>
      <c r="E122" s="109">
        <f t="shared" si="22"/>
        <v>0</v>
      </c>
      <c r="F122" s="108"/>
      <c r="G122" s="108"/>
      <c r="H122" s="108"/>
      <c r="I122" s="108"/>
      <c r="J122" s="108"/>
      <c r="K122" s="110"/>
      <c r="L122" s="137" t="e">
        <f t="shared" si="16"/>
        <v>#DIV/0!</v>
      </c>
    </row>
    <row r="123" spans="1:12" ht="12.75" customHeight="1" x14ac:dyDescent="0.25">
      <c r="A123" s="142">
        <v>5099</v>
      </c>
      <c r="B123" s="140">
        <v>780000</v>
      </c>
      <c r="C123" s="82" t="s">
        <v>122</v>
      </c>
      <c r="D123" s="100">
        <f>D124</f>
        <v>1451576</v>
      </c>
      <c r="E123" s="100">
        <f t="shared" ref="E123:E162" si="32">SUM(F123:K123)</f>
        <v>756658</v>
      </c>
      <c r="F123" s="100">
        <f t="shared" ref="F123:K123" si="33">F124</f>
        <v>0</v>
      </c>
      <c r="G123" s="100">
        <f t="shared" si="33"/>
        <v>0</v>
      </c>
      <c r="H123" s="100">
        <f t="shared" si="33"/>
        <v>0</v>
      </c>
      <c r="I123" s="100">
        <f t="shared" si="33"/>
        <v>756658</v>
      </c>
      <c r="J123" s="100">
        <f t="shared" si="33"/>
        <v>0</v>
      </c>
      <c r="K123" s="101">
        <f t="shared" si="33"/>
        <v>0</v>
      </c>
      <c r="L123" s="137">
        <f t="shared" si="16"/>
        <v>0.52126654064272215</v>
      </c>
    </row>
    <row r="124" spans="1:12" ht="12.75" customHeight="1" x14ac:dyDescent="0.25">
      <c r="A124" s="142">
        <v>5100</v>
      </c>
      <c r="B124" s="140">
        <v>781000</v>
      </c>
      <c r="C124" s="82" t="s">
        <v>123</v>
      </c>
      <c r="D124" s="100">
        <f>D125+D126</f>
        <v>1451576</v>
      </c>
      <c r="E124" s="100">
        <f t="shared" si="32"/>
        <v>756658</v>
      </c>
      <c r="F124" s="100">
        <f t="shared" ref="F124:K124" si="34">F125+F126</f>
        <v>0</v>
      </c>
      <c r="G124" s="100">
        <f t="shared" si="34"/>
        <v>0</v>
      </c>
      <c r="H124" s="100">
        <f t="shared" si="34"/>
        <v>0</v>
      </c>
      <c r="I124" s="100">
        <f t="shared" si="34"/>
        <v>756658</v>
      </c>
      <c r="J124" s="100">
        <f t="shared" si="34"/>
        <v>0</v>
      </c>
      <c r="K124" s="101">
        <f t="shared" si="34"/>
        <v>0</v>
      </c>
      <c r="L124" s="137">
        <f t="shared" si="16"/>
        <v>0.52126654064272215</v>
      </c>
    </row>
    <row r="125" spans="1:12" ht="12.75" customHeight="1" x14ac:dyDescent="0.25">
      <c r="A125" s="83">
        <v>5101</v>
      </c>
      <c r="B125" s="145">
        <v>781100</v>
      </c>
      <c r="C125" s="84" t="s">
        <v>124</v>
      </c>
      <c r="D125" s="108">
        <f>1442790+315+8072+399</f>
        <v>1451576</v>
      </c>
      <c r="E125" s="109">
        <f>SUM(F125:K125)</f>
        <v>756658</v>
      </c>
      <c r="F125" s="108"/>
      <c r="G125" s="108"/>
      <c r="H125" s="108"/>
      <c r="I125" s="108">
        <v>756658</v>
      </c>
      <c r="J125" s="108"/>
      <c r="K125" s="110"/>
      <c r="L125" s="137">
        <f t="shared" si="16"/>
        <v>0.52126654064272215</v>
      </c>
    </row>
    <row r="126" spans="1:12" ht="16.5" hidden="1" customHeight="1" x14ac:dyDescent="0.25">
      <c r="A126" s="83">
        <v>5102</v>
      </c>
      <c r="B126" s="145">
        <v>781300</v>
      </c>
      <c r="C126" s="84" t="s">
        <v>125</v>
      </c>
      <c r="D126" s="108"/>
      <c r="E126" s="109">
        <f t="shared" si="32"/>
        <v>0</v>
      </c>
      <c r="F126" s="108"/>
      <c r="G126" s="108"/>
      <c r="H126" s="108"/>
      <c r="I126" s="108"/>
      <c r="J126" s="108"/>
      <c r="K126" s="110"/>
      <c r="L126" s="137" t="e">
        <f t="shared" si="16"/>
        <v>#DIV/0!</v>
      </c>
    </row>
    <row r="127" spans="1:12" ht="12.75" customHeight="1" x14ac:dyDescent="0.25">
      <c r="A127" s="142">
        <v>5103</v>
      </c>
      <c r="B127" s="140">
        <v>790000</v>
      </c>
      <c r="C127" s="82" t="s">
        <v>126</v>
      </c>
      <c r="D127" s="100">
        <f>D128</f>
        <v>24280</v>
      </c>
      <c r="E127" s="100">
        <f t="shared" si="32"/>
        <v>7012</v>
      </c>
      <c r="F127" s="100">
        <f t="shared" ref="F127:K127" si="35">F128</f>
        <v>7012</v>
      </c>
      <c r="G127" s="100">
        <f t="shared" si="35"/>
        <v>0</v>
      </c>
      <c r="H127" s="100">
        <f t="shared" si="35"/>
        <v>0</v>
      </c>
      <c r="I127" s="100">
        <f t="shared" si="35"/>
        <v>0</v>
      </c>
      <c r="J127" s="100">
        <f t="shared" si="35"/>
        <v>0</v>
      </c>
      <c r="K127" s="101">
        <f t="shared" si="35"/>
        <v>0</v>
      </c>
      <c r="L127" s="137">
        <f t="shared" si="16"/>
        <v>0.2887973640856672</v>
      </c>
    </row>
    <row r="128" spans="1:12" ht="12.75" customHeight="1" x14ac:dyDescent="0.25">
      <c r="A128" s="142">
        <v>5104</v>
      </c>
      <c r="B128" s="140">
        <v>791000</v>
      </c>
      <c r="C128" s="82" t="s">
        <v>127</v>
      </c>
      <c r="D128" s="100">
        <f>D133</f>
        <v>24280</v>
      </c>
      <c r="E128" s="100">
        <f t="shared" si="32"/>
        <v>7012</v>
      </c>
      <c r="F128" s="100">
        <f t="shared" ref="F128:K128" si="36">F133</f>
        <v>7012</v>
      </c>
      <c r="G128" s="100">
        <f t="shared" si="36"/>
        <v>0</v>
      </c>
      <c r="H128" s="100">
        <f t="shared" si="36"/>
        <v>0</v>
      </c>
      <c r="I128" s="100">
        <f t="shared" si="36"/>
        <v>0</v>
      </c>
      <c r="J128" s="100">
        <f t="shared" si="36"/>
        <v>0</v>
      </c>
      <c r="K128" s="101">
        <f t="shared" si="36"/>
        <v>0</v>
      </c>
      <c r="L128" s="137">
        <f t="shared" si="16"/>
        <v>0.2887973640856672</v>
      </c>
    </row>
    <row r="129" spans="1:12" ht="16.5" hidden="1" customHeight="1" x14ac:dyDescent="0.25">
      <c r="A129" s="583" t="s">
        <v>0</v>
      </c>
      <c r="B129" s="584" t="s">
        <v>1</v>
      </c>
      <c r="C129" s="585" t="s">
        <v>2</v>
      </c>
      <c r="D129" s="575" t="s">
        <v>3</v>
      </c>
      <c r="E129" s="575" t="s">
        <v>4</v>
      </c>
      <c r="F129" s="575"/>
      <c r="G129" s="575"/>
      <c r="H129" s="575"/>
      <c r="I129" s="575"/>
      <c r="J129" s="575"/>
      <c r="K129" s="582"/>
      <c r="L129" s="137" t="e">
        <f t="shared" si="16"/>
        <v>#VALUE!</v>
      </c>
    </row>
    <row r="130" spans="1:12" ht="16.5" hidden="1" customHeight="1" x14ac:dyDescent="0.25">
      <c r="A130" s="583"/>
      <c r="B130" s="584"/>
      <c r="C130" s="585"/>
      <c r="D130" s="575"/>
      <c r="E130" s="581" t="s">
        <v>5</v>
      </c>
      <c r="F130" s="575" t="s">
        <v>6</v>
      </c>
      <c r="G130" s="575"/>
      <c r="H130" s="575"/>
      <c r="I130" s="575"/>
      <c r="J130" s="575" t="s">
        <v>7</v>
      </c>
      <c r="K130" s="582" t="s">
        <v>8</v>
      </c>
      <c r="L130" s="137" t="e">
        <f t="shared" si="16"/>
        <v>#VALUE!</v>
      </c>
    </row>
    <row r="131" spans="1:12" ht="16.5" hidden="1" customHeight="1" x14ac:dyDescent="0.25">
      <c r="A131" s="583"/>
      <c r="B131" s="584"/>
      <c r="C131" s="585"/>
      <c r="D131" s="575"/>
      <c r="E131" s="581"/>
      <c r="F131" s="140" t="s">
        <v>9</v>
      </c>
      <c r="G131" s="140" t="s">
        <v>10</v>
      </c>
      <c r="H131" s="140" t="s">
        <v>11</v>
      </c>
      <c r="I131" s="140" t="s">
        <v>12</v>
      </c>
      <c r="J131" s="575"/>
      <c r="K131" s="582"/>
      <c r="L131" s="137" t="e">
        <f t="shared" si="16"/>
        <v>#DIV/0!</v>
      </c>
    </row>
    <row r="132" spans="1:12" ht="16.5" hidden="1" customHeight="1" x14ac:dyDescent="0.25">
      <c r="A132" s="85" t="s">
        <v>18</v>
      </c>
      <c r="B132" s="139" t="s">
        <v>19</v>
      </c>
      <c r="C132" s="139" t="s">
        <v>20</v>
      </c>
      <c r="D132" s="86" t="s">
        <v>21</v>
      </c>
      <c r="E132" s="86" t="s">
        <v>22</v>
      </c>
      <c r="F132" s="86" t="s">
        <v>23</v>
      </c>
      <c r="G132" s="86" t="s">
        <v>24</v>
      </c>
      <c r="H132" s="86" t="s">
        <v>25</v>
      </c>
      <c r="I132" s="86" t="s">
        <v>26</v>
      </c>
      <c r="J132" s="86" t="s">
        <v>27</v>
      </c>
      <c r="K132" s="98" t="s">
        <v>28</v>
      </c>
      <c r="L132" s="137">
        <f t="shared" si="16"/>
        <v>1.25</v>
      </c>
    </row>
    <row r="133" spans="1:12" ht="12.75" customHeight="1" x14ac:dyDescent="0.25">
      <c r="A133" s="83">
        <v>5105</v>
      </c>
      <c r="B133" s="145">
        <v>791100</v>
      </c>
      <c r="C133" s="84" t="s">
        <v>128</v>
      </c>
      <c r="D133" s="108">
        <f>21042-42+3280</f>
        <v>24280</v>
      </c>
      <c r="E133" s="109">
        <f t="shared" si="32"/>
        <v>7012</v>
      </c>
      <c r="F133" s="108">
        <v>7012</v>
      </c>
      <c r="G133" s="108"/>
      <c r="H133" s="108"/>
      <c r="I133" s="108"/>
      <c r="J133" s="108"/>
      <c r="K133" s="110"/>
      <c r="L133" s="137">
        <f t="shared" si="16"/>
        <v>0.2887973640856672</v>
      </c>
    </row>
    <row r="134" spans="1:12" ht="12.75" customHeight="1" x14ac:dyDescent="0.25">
      <c r="A134" s="142">
        <v>5106</v>
      </c>
      <c r="B134" s="140">
        <v>800000</v>
      </c>
      <c r="C134" s="82" t="s">
        <v>534</v>
      </c>
      <c r="D134" s="100">
        <f>D135+D142+D149+D152</f>
        <v>200</v>
      </c>
      <c r="E134" s="100">
        <f t="shared" si="32"/>
        <v>70</v>
      </c>
      <c r="F134" s="100">
        <f t="shared" ref="F134:K134" si="37">F135+F142+F149+F152</f>
        <v>0</v>
      </c>
      <c r="G134" s="100">
        <f t="shared" si="37"/>
        <v>0</v>
      </c>
      <c r="H134" s="100">
        <f t="shared" si="37"/>
        <v>0</v>
      </c>
      <c r="I134" s="100">
        <f t="shared" si="37"/>
        <v>0</v>
      </c>
      <c r="J134" s="100">
        <f t="shared" si="37"/>
        <v>0</v>
      </c>
      <c r="K134" s="101">
        <f t="shared" si="37"/>
        <v>70</v>
      </c>
      <c r="L134" s="137">
        <f t="shared" si="16"/>
        <v>0.35</v>
      </c>
    </row>
    <row r="135" spans="1:12" ht="12.75" customHeight="1" x14ac:dyDescent="0.25">
      <c r="A135" s="142">
        <v>5107</v>
      </c>
      <c r="B135" s="140">
        <v>810000</v>
      </c>
      <c r="C135" s="82" t="s">
        <v>535</v>
      </c>
      <c r="D135" s="100">
        <f>D136+D138+D140</f>
        <v>200</v>
      </c>
      <c r="E135" s="100">
        <f t="shared" si="32"/>
        <v>70</v>
      </c>
      <c r="F135" s="100">
        <f t="shared" ref="F135:K135" si="38">F136+F138+F140</f>
        <v>0</v>
      </c>
      <c r="G135" s="100">
        <f t="shared" si="38"/>
        <v>0</v>
      </c>
      <c r="H135" s="100">
        <f t="shared" si="38"/>
        <v>0</v>
      </c>
      <c r="I135" s="100">
        <f t="shared" si="38"/>
        <v>0</v>
      </c>
      <c r="J135" s="100">
        <f t="shared" si="38"/>
        <v>0</v>
      </c>
      <c r="K135" s="101">
        <f t="shared" si="38"/>
        <v>70</v>
      </c>
      <c r="L135" s="137">
        <f t="shared" si="16"/>
        <v>0.35</v>
      </c>
    </row>
    <row r="136" spans="1:12" ht="16.5" hidden="1" customHeight="1" x14ac:dyDescent="0.25">
      <c r="A136" s="142">
        <v>5108</v>
      </c>
      <c r="B136" s="140">
        <v>811000</v>
      </c>
      <c r="C136" s="82" t="s">
        <v>131</v>
      </c>
      <c r="D136" s="100">
        <f>D137</f>
        <v>0</v>
      </c>
      <c r="E136" s="100">
        <f t="shared" si="32"/>
        <v>0</v>
      </c>
      <c r="F136" s="100">
        <f t="shared" ref="F136:K136" si="39">F137</f>
        <v>0</v>
      </c>
      <c r="G136" s="100">
        <f t="shared" si="39"/>
        <v>0</v>
      </c>
      <c r="H136" s="100">
        <f t="shared" si="39"/>
        <v>0</v>
      </c>
      <c r="I136" s="100">
        <f t="shared" si="39"/>
        <v>0</v>
      </c>
      <c r="J136" s="100">
        <f t="shared" si="39"/>
        <v>0</v>
      </c>
      <c r="K136" s="101">
        <f t="shared" si="39"/>
        <v>0</v>
      </c>
      <c r="L136" s="137" t="e">
        <f t="shared" si="16"/>
        <v>#DIV/0!</v>
      </c>
    </row>
    <row r="137" spans="1:12" ht="16.5" hidden="1" customHeight="1" x14ac:dyDescent="0.25">
      <c r="A137" s="83">
        <v>5109</v>
      </c>
      <c r="B137" s="145">
        <v>811100</v>
      </c>
      <c r="C137" s="84" t="s">
        <v>132</v>
      </c>
      <c r="D137" s="108"/>
      <c r="E137" s="109">
        <f t="shared" si="32"/>
        <v>0</v>
      </c>
      <c r="F137" s="108"/>
      <c r="G137" s="108"/>
      <c r="H137" s="108"/>
      <c r="I137" s="108"/>
      <c r="J137" s="108"/>
      <c r="K137" s="110"/>
      <c r="L137" s="137" t="e">
        <f t="shared" si="16"/>
        <v>#DIV/0!</v>
      </c>
    </row>
    <row r="138" spans="1:12" ht="12.75" customHeight="1" x14ac:dyDescent="0.25">
      <c r="A138" s="142">
        <v>5110</v>
      </c>
      <c r="B138" s="140">
        <v>812000</v>
      </c>
      <c r="C138" s="82" t="s">
        <v>133</v>
      </c>
      <c r="D138" s="100">
        <f>D139</f>
        <v>200</v>
      </c>
      <c r="E138" s="100">
        <f t="shared" si="32"/>
        <v>70</v>
      </c>
      <c r="F138" s="100">
        <f t="shared" ref="F138:K138" si="40">F139</f>
        <v>0</v>
      </c>
      <c r="G138" s="100">
        <f t="shared" si="40"/>
        <v>0</v>
      </c>
      <c r="H138" s="100">
        <f t="shared" si="40"/>
        <v>0</v>
      </c>
      <c r="I138" s="100">
        <f t="shared" si="40"/>
        <v>0</v>
      </c>
      <c r="J138" s="100">
        <f t="shared" si="40"/>
        <v>0</v>
      </c>
      <c r="K138" s="101">
        <f t="shared" si="40"/>
        <v>70</v>
      </c>
      <c r="L138" s="137">
        <f t="shared" ref="L138:L201" si="41">E138/D138</f>
        <v>0.35</v>
      </c>
    </row>
    <row r="139" spans="1:12" ht="12.75" customHeight="1" x14ac:dyDescent="0.25">
      <c r="A139" s="83">
        <v>5111</v>
      </c>
      <c r="B139" s="145">
        <v>812100</v>
      </c>
      <c r="C139" s="84" t="s">
        <v>134</v>
      </c>
      <c r="D139" s="108">
        <v>200</v>
      </c>
      <c r="E139" s="109">
        <f t="shared" si="32"/>
        <v>70</v>
      </c>
      <c r="F139" s="108"/>
      <c r="G139" s="108"/>
      <c r="H139" s="108"/>
      <c r="I139" s="108"/>
      <c r="J139" s="108"/>
      <c r="K139" s="110">
        <v>70</v>
      </c>
      <c r="L139" s="137">
        <f t="shared" si="41"/>
        <v>0.35</v>
      </c>
    </row>
    <row r="140" spans="1:12" ht="16.5" hidden="1" customHeight="1" x14ac:dyDescent="0.25">
      <c r="A140" s="142">
        <v>5112</v>
      </c>
      <c r="B140" s="140">
        <v>813000</v>
      </c>
      <c r="C140" s="82" t="s">
        <v>135</v>
      </c>
      <c r="D140" s="100">
        <f>D141</f>
        <v>0</v>
      </c>
      <c r="E140" s="100">
        <f t="shared" si="32"/>
        <v>0</v>
      </c>
      <c r="F140" s="100">
        <f t="shared" ref="F140:K140" si="42">F141</f>
        <v>0</v>
      </c>
      <c r="G140" s="100">
        <f t="shared" si="42"/>
        <v>0</v>
      </c>
      <c r="H140" s="100">
        <f t="shared" si="42"/>
        <v>0</v>
      </c>
      <c r="I140" s="100">
        <f t="shared" si="42"/>
        <v>0</v>
      </c>
      <c r="J140" s="100">
        <f t="shared" si="42"/>
        <v>0</v>
      </c>
      <c r="K140" s="101">
        <f t="shared" si="42"/>
        <v>0</v>
      </c>
      <c r="L140" s="137" t="e">
        <f t="shared" si="41"/>
        <v>#DIV/0!</v>
      </c>
    </row>
    <row r="141" spans="1:12" ht="16.5" hidden="1" customHeight="1" x14ac:dyDescent="0.25">
      <c r="A141" s="83">
        <v>5113</v>
      </c>
      <c r="B141" s="145">
        <v>813100</v>
      </c>
      <c r="C141" s="84" t="s">
        <v>136</v>
      </c>
      <c r="D141" s="108"/>
      <c r="E141" s="109">
        <f t="shared" si="32"/>
        <v>0</v>
      </c>
      <c r="F141" s="108"/>
      <c r="G141" s="108"/>
      <c r="H141" s="108"/>
      <c r="I141" s="108"/>
      <c r="J141" s="108"/>
      <c r="K141" s="110"/>
      <c r="L141" s="137" t="e">
        <f t="shared" si="41"/>
        <v>#DIV/0!</v>
      </c>
    </row>
    <row r="142" spans="1:12" ht="16.5" hidden="1" customHeight="1" x14ac:dyDescent="0.25">
      <c r="A142" s="142">
        <v>5114</v>
      </c>
      <c r="B142" s="140">
        <v>820000</v>
      </c>
      <c r="C142" s="82" t="s">
        <v>137</v>
      </c>
      <c r="D142" s="100">
        <f>D143+D145+D147</f>
        <v>0</v>
      </c>
      <c r="E142" s="100">
        <f t="shared" si="32"/>
        <v>0</v>
      </c>
      <c r="F142" s="100">
        <f t="shared" ref="F142:K142" si="43">F143+F145+F147</f>
        <v>0</v>
      </c>
      <c r="G142" s="100">
        <f t="shared" si="43"/>
        <v>0</v>
      </c>
      <c r="H142" s="100">
        <f t="shared" si="43"/>
        <v>0</v>
      </c>
      <c r="I142" s="100">
        <f t="shared" si="43"/>
        <v>0</v>
      </c>
      <c r="J142" s="100">
        <f t="shared" si="43"/>
        <v>0</v>
      </c>
      <c r="K142" s="101">
        <f t="shared" si="43"/>
        <v>0</v>
      </c>
      <c r="L142" s="137" t="e">
        <f t="shared" si="41"/>
        <v>#DIV/0!</v>
      </c>
    </row>
    <row r="143" spans="1:12" ht="16.5" hidden="1" customHeight="1" x14ac:dyDescent="0.25">
      <c r="A143" s="142">
        <v>5115</v>
      </c>
      <c r="B143" s="140">
        <v>821000</v>
      </c>
      <c r="C143" s="82" t="s">
        <v>138</v>
      </c>
      <c r="D143" s="100">
        <f>D144</f>
        <v>0</v>
      </c>
      <c r="E143" s="100">
        <f t="shared" si="32"/>
        <v>0</v>
      </c>
      <c r="F143" s="100">
        <f t="shared" ref="F143:K143" si="44">F144</f>
        <v>0</v>
      </c>
      <c r="G143" s="100">
        <f t="shared" si="44"/>
        <v>0</v>
      </c>
      <c r="H143" s="100">
        <f t="shared" si="44"/>
        <v>0</v>
      </c>
      <c r="I143" s="100">
        <f t="shared" si="44"/>
        <v>0</v>
      </c>
      <c r="J143" s="100">
        <f t="shared" si="44"/>
        <v>0</v>
      </c>
      <c r="K143" s="101">
        <f t="shared" si="44"/>
        <v>0</v>
      </c>
      <c r="L143" s="137" t="e">
        <f t="shared" si="41"/>
        <v>#DIV/0!</v>
      </c>
    </row>
    <row r="144" spans="1:12" ht="16.5" hidden="1" customHeight="1" x14ac:dyDescent="0.25">
      <c r="A144" s="83">
        <v>5116</v>
      </c>
      <c r="B144" s="145">
        <v>821100</v>
      </c>
      <c r="C144" s="84" t="s">
        <v>139</v>
      </c>
      <c r="D144" s="108"/>
      <c r="E144" s="109">
        <f t="shared" si="32"/>
        <v>0</v>
      </c>
      <c r="F144" s="108"/>
      <c r="G144" s="108"/>
      <c r="H144" s="108"/>
      <c r="I144" s="108"/>
      <c r="J144" s="108"/>
      <c r="K144" s="110"/>
      <c r="L144" s="137" t="e">
        <f t="shared" si="41"/>
        <v>#DIV/0!</v>
      </c>
    </row>
    <row r="145" spans="1:12" ht="16.5" hidden="1" customHeight="1" x14ac:dyDescent="0.25">
      <c r="A145" s="142">
        <v>5117</v>
      </c>
      <c r="B145" s="140">
        <v>822000</v>
      </c>
      <c r="C145" s="82" t="s">
        <v>140</v>
      </c>
      <c r="D145" s="100">
        <f>D146</f>
        <v>0</v>
      </c>
      <c r="E145" s="100">
        <f t="shared" si="32"/>
        <v>0</v>
      </c>
      <c r="F145" s="100">
        <f t="shared" ref="F145:K145" si="45">F146</f>
        <v>0</v>
      </c>
      <c r="G145" s="100">
        <f t="shared" si="45"/>
        <v>0</v>
      </c>
      <c r="H145" s="100">
        <f t="shared" si="45"/>
        <v>0</v>
      </c>
      <c r="I145" s="100">
        <f t="shared" si="45"/>
        <v>0</v>
      </c>
      <c r="J145" s="100">
        <f t="shared" si="45"/>
        <v>0</v>
      </c>
      <c r="K145" s="101">
        <f t="shared" si="45"/>
        <v>0</v>
      </c>
      <c r="L145" s="137" t="e">
        <f t="shared" si="41"/>
        <v>#DIV/0!</v>
      </c>
    </row>
    <row r="146" spans="1:12" ht="16.5" hidden="1" customHeight="1" x14ac:dyDescent="0.25">
      <c r="A146" s="83">
        <v>5118</v>
      </c>
      <c r="B146" s="145">
        <v>822100</v>
      </c>
      <c r="C146" s="84" t="s">
        <v>141</v>
      </c>
      <c r="D146" s="108"/>
      <c r="E146" s="109">
        <f t="shared" si="32"/>
        <v>0</v>
      </c>
      <c r="F146" s="108"/>
      <c r="G146" s="108"/>
      <c r="H146" s="108"/>
      <c r="I146" s="108"/>
      <c r="J146" s="108"/>
      <c r="K146" s="110"/>
      <c r="L146" s="137" t="e">
        <f t="shared" si="41"/>
        <v>#DIV/0!</v>
      </c>
    </row>
    <row r="147" spans="1:12" ht="16.5" hidden="1" customHeight="1" x14ac:dyDescent="0.25">
      <c r="A147" s="142">
        <v>5119</v>
      </c>
      <c r="B147" s="140">
        <v>823000</v>
      </c>
      <c r="C147" s="82" t="s">
        <v>142</v>
      </c>
      <c r="D147" s="100">
        <f>D148</f>
        <v>0</v>
      </c>
      <c r="E147" s="100">
        <f t="shared" si="32"/>
        <v>0</v>
      </c>
      <c r="F147" s="100">
        <f t="shared" ref="F147:K147" si="46">F148</f>
        <v>0</v>
      </c>
      <c r="G147" s="100">
        <f t="shared" si="46"/>
        <v>0</v>
      </c>
      <c r="H147" s="100">
        <f t="shared" si="46"/>
        <v>0</v>
      </c>
      <c r="I147" s="100">
        <f t="shared" si="46"/>
        <v>0</v>
      </c>
      <c r="J147" s="100">
        <f t="shared" si="46"/>
        <v>0</v>
      </c>
      <c r="K147" s="101">
        <f t="shared" si="46"/>
        <v>0</v>
      </c>
      <c r="L147" s="137" t="e">
        <f t="shared" si="41"/>
        <v>#DIV/0!</v>
      </c>
    </row>
    <row r="148" spans="1:12" ht="16.5" hidden="1" customHeight="1" x14ac:dyDescent="0.25">
      <c r="A148" s="83">
        <v>5120</v>
      </c>
      <c r="B148" s="145">
        <v>823100</v>
      </c>
      <c r="C148" s="84" t="s">
        <v>143</v>
      </c>
      <c r="D148" s="108"/>
      <c r="E148" s="109">
        <f t="shared" si="32"/>
        <v>0</v>
      </c>
      <c r="F148" s="108"/>
      <c r="G148" s="108"/>
      <c r="H148" s="108"/>
      <c r="I148" s="108"/>
      <c r="J148" s="108"/>
      <c r="K148" s="110"/>
      <c r="L148" s="137" t="e">
        <f t="shared" si="41"/>
        <v>#DIV/0!</v>
      </c>
    </row>
    <row r="149" spans="1:12" ht="16.5" hidden="1" customHeight="1" x14ac:dyDescent="0.25">
      <c r="A149" s="142">
        <v>5121</v>
      </c>
      <c r="B149" s="140">
        <v>830000</v>
      </c>
      <c r="C149" s="82" t="s">
        <v>144</v>
      </c>
      <c r="D149" s="100">
        <f>D150</f>
        <v>0</v>
      </c>
      <c r="E149" s="100">
        <f t="shared" si="32"/>
        <v>0</v>
      </c>
      <c r="F149" s="100">
        <f t="shared" ref="F149:K150" si="47">F150</f>
        <v>0</v>
      </c>
      <c r="G149" s="100">
        <f t="shared" si="47"/>
        <v>0</v>
      </c>
      <c r="H149" s="100">
        <f t="shared" si="47"/>
        <v>0</v>
      </c>
      <c r="I149" s="100">
        <f t="shared" si="47"/>
        <v>0</v>
      </c>
      <c r="J149" s="100">
        <f t="shared" si="47"/>
        <v>0</v>
      </c>
      <c r="K149" s="101">
        <f t="shared" si="47"/>
        <v>0</v>
      </c>
      <c r="L149" s="137" t="e">
        <f t="shared" si="41"/>
        <v>#DIV/0!</v>
      </c>
    </row>
    <row r="150" spans="1:12" ht="16.5" hidden="1" customHeight="1" x14ac:dyDescent="0.25">
      <c r="A150" s="142">
        <v>5122</v>
      </c>
      <c r="B150" s="140">
        <v>831000</v>
      </c>
      <c r="C150" s="82" t="s">
        <v>145</v>
      </c>
      <c r="D150" s="100">
        <f>D151</f>
        <v>0</v>
      </c>
      <c r="E150" s="100">
        <f t="shared" si="32"/>
        <v>0</v>
      </c>
      <c r="F150" s="100">
        <f t="shared" si="47"/>
        <v>0</v>
      </c>
      <c r="G150" s="100">
        <f t="shared" si="47"/>
        <v>0</v>
      </c>
      <c r="H150" s="100">
        <f t="shared" si="47"/>
        <v>0</v>
      </c>
      <c r="I150" s="100">
        <f t="shared" si="47"/>
        <v>0</v>
      </c>
      <c r="J150" s="100">
        <f t="shared" si="47"/>
        <v>0</v>
      </c>
      <c r="K150" s="101">
        <f t="shared" si="47"/>
        <v>0</v>
      </c>
      <c r="L150" s="137" t="e">
        <f t="shared" si="41"/>
        <v>#DIV/0!</v>
      </c>
    </row>
    <row r="151" spans="1:12" ht="16.5" hidden="1" customHeight="1" x14ac:dyDescent="0.25">
      <c r="A151" s="83">
        <v>5123</v>
      </c>
      <c r="B151" s="145">
        <v>831100</v>
      </c>
      <c r="C151" s="84" t="s">
        <v>146</v>
      </c>
      <c r="D151" s="108"/>
      <c r="E151" s="109">
        <f t="shared" si="32"/>
        <v>0</v>
      </c>
      <c r="F151" s="108"/>
      <c r="G151" s="108"/>
      <c r="H151" s="108"/>
      <c r="I151" s="108"/>
      <c r="J151" s="108"/>
      <c r="K151" s="110"/>
      <c r="L151" s="137" t="e">
        <f t="shared" si="41"/>
        <v>#DIV/0!</v>
      </c>
    </row>
    <row r="152" spans="1:12" ht="16.5" hidden="1" customHeight="1" x14ac:dyDescent="0.25">
      <c r="A152" s="142">
        <v>5124</v>
      </c>
      <c r="B152" s="140">
        <v>840000</v>
      </c>
      <c r="C152" s="82" t="s">
        <v>147</v>
      </c>
      <c r="D152" s="100">
        <f>D153+D155+D161</f>
        <v>0</v>
      </c>
      <c r="E152" s="100">
        <f t="shared" si="32"/>
        <v>0</v>
      </c>
      <c r="F152" s="100">
        <f t="shared" ref="F152:K152" si="48">F153+F155+F161</f>
        <v>0</v>
      </c>
      <c r="G152" s="100">
        <f t="shared" si="48"/>
        <v>0</v>
      </c>
      <c r="H152" s="100">
        <f t="shared" si="48"/>
        <v>0</v>
      </c>
      <c r="I152" s="100">
        <f t="shared" si="48"/>
        <v>0</v>
      </c>
      <c r="J152" s="100">
        <f t="shared" si="48"/>
        <v>0</v>
      </c>
      <c r="K152" s="101">
        <f t="shared" si="48"/>
        <v>0</v>
      </c>
      <c r="L152" s="137" t="e">
        <f t="shared" si="41"/>
        <v>#DIV/0!</v>
      </c>
    </row>
    <row r="153" spans="1:12" ht="16.5" hidden="1" customHeight="1" x14ac:dyDescent="0.25">
      <c r="A153" s="142">
        <v>5125</v>
      </c>
      <c r="B153" s="140">
        <v>841000</v>
      </c>
      <c r="C153" s="82" t="s">
        <v>148</v>
      </c>
      <c r="D153" s="100">
        <f>D154</f>
        <v>0</v>
      </c>
      <c r="E153" s="100">
        <f t="shared" si="32"/>
        <v>0</v>
      </c>
      <c r="F153" s="100">
        <f t="shared" ref="F153:K153" si="49">F154</f>
        <v>0</v>
      </c>
      <c r="G153" s="100">
        <f t="shared" si="49"/>
        <v>0</v>
      </c>
      <c r="H153" s="100">
        <f t="shared" si="49"/>
        <v>0</v>
      </c>
      <c r="I153" s="100">
        <f t="shared" si="49"/>
        <v>0</v>
      </c>
      <c r="J153" s="100">
        <f t="shared" si="49"/>
        <v>0</v>
      </c>
      <c r="K153" s="101">
        <f t="shared" si="49"/>
        <v>0</v>
      </c>
      <c r="L153" s="137" t="e">
        <f t="shared" si="41"/>
        <v>#DIV/0!</v>
      </c>
    </row>
    <row r="154" spans="1:12" ht="16.5" hidden="1" customHeight="1" x14ac:dyDescent="0.25">
      <c r="A154" s="83">
        <v>5126</v>
      </c>
      <c r="B154" s="145">
        <v>841100</v>
      </c>
      <c r="C154" s="84" t="s">
        <v>149</v>
      </c>
      <c r="D154" s="108"/>
      <c r="E154" s="109">
        <f t="shared" si="32"/>
        <v>0</v>
      </c>
      <c r="F154" s="108"/>
      <c r="G154" s="108"/>
      <c r="H154" s="108"/>
      <c r="I154" s="108"/>
      <c r="J154" s="108"/>
      <c r="K154" s="110"/>
      <c r="L154" s="137" t="e">
        <f t="shared" si="41"/>
        <v>#DIV/0!</v>
      </c>
    </row>
    <row r="155" spans="1:12" ht="16.5" hidden="1" customHeight="1" x14ac:dyDescent="0.25">
      <c r="A155" s="142">
        <v>5127</v>
      </c>
      <c r="B155" s="140">
        <v>842000</v>
      </c>
      <c r="C155" s="82" t="s">
        <v>150</v>
      </c>
      <c r="D155" s="100">
        <f>D160</f>
        <v>0</v>
      </c>
      <c r="E155" s="100">
        <f t="shared" si="32"/>
        <v>0</v>
      </c>
      <c r="F155" s="100">
        <f t="shared" ref="F155:K155" si="50">F160</f>
        <v>0</v>
      </c>
      <c r="G155" s="100">
        <f t="shared" si="50"/>
        <v>0</v>
      </c>
      <c r="H155" s="100">
        <f t="shared" si="50"/>
        <v>0</v>
      </c>
      <c r="I155" s="100">
        <f t="shared" si="50"/>
        <v>0</v>
      </c>
      <c r="J155" s="100">
        <f t="shared" si="50"/>
        <v>0</v>
      </c>
      <c r="K155" s="101">
        <f t="shared" si="50"/>
        <v>0</v>
      </c>
      <c r="L155" s="137" t="e">
        <f t="shared" si="41"/>
        <v>#DIV/0!</v>
      </c>
    </row>
    <row r="156" spans="1:12" ht="16.5" hidden="1" customHeight="1" x14ac:dyDescent="0.25">
      <c r="A156" s="583" t="s">
        <v>0</v>
      </c>
      <c r="B156" s="584" t="s">
        <v>1</v>
      </c>
      <c r="C156" s="585" t="s">
        <v>2</v>
      </c>
      <c r="D156" s="575" t="s">
        <v>3</v>
      </c>
      <c r="E156" s="575" t="s">
        <v>4</v>
      </c>
      <c r="F156" s="575"/>
      <c r="G156" s="575"/>
      <c r="H156" s="575"/>
      <c r="I156" s="575"/>
      <c r="J156" s="575"/>
      <c r="K156" s="582"/>
      <c r="L156" s="137" t="e">
        <f t="shared" si="41"/>
        <v>#VALUE!</v>
      </c>
    </row>
    <row r="157" spans="1:12" ht="16.5" hidden="1" customHeight="1" x14ac:dyDescent="0.25">
      <c r="A157" s="583"/>
      <c r="B157" s="584"/>
      <c r="C157" s="585"/>
      <c r="D157" s="575"/>
      <c r="E157" s="581" t="s">
        <v>5</v>
      </c>
      <c r="F157" s="575" t="s">
        <v>6</v>
      </c>
      <c r="G157" s="575"/>
      <c r="H157" s="575"/>
      <c r="I157" s="575"/>
      <c r="J157" s="575" t="s">
        <v>7</v>
      </c>
      <c r="K157" s="582" t="s">
        <v>8</v>
      </c>
      <c r="L157" s="137" t="e">
        <f t="shared" si="41"/>
        <v>#VALUE!</v>
      </c>
    </row>
    <row r="158" spans="1:12" ht="16.5" hidden="1" customHeight="1" x14ac:dyDescent="0.25">
      <c r="A158" s="583"/>
      <c r="B158" s="584"/>
      <c r="C158" s="585"/>
      <c r="D158" s="575"/>
      <c r="E158" s="581"/>
      <c r="F158" s="140" t="s">
        <v>9</v>
      </c>
      <c r="G158" s="140" t="s">
        <v>10</v>
      </c>
      <c r="H158" s="140" t="s">
        <v>11</v>
      </c>
      <c r="I158" s="140" t="s">
        <v>12</v>
      </c>
      <c r="J158" s="575"/>
      <c r="K158" s="582"/>
      <c r="L158" s="137" t="e">
        <f t="shared" si="41"/>
        <v>#DIV/0!</v>
      </c>
    </row>
    <row r="159" spans="1:12" ht="16.5" hidden="1" customHeight="1" x14ac:dyDescent="0.25">
      <c r="A159" s="85" t="s">
        <v>18</v>
      </c>
      <c r="B159" s="139" t="s">
        <v>19</v>
      </c>
      <c r="C159" s="139" t="s">
        <v>20</v>
      </c>
      <c r="D159" s="86" t="s">
        <v>21</v>
      </c>
      <c r="E159" s="86" t="s">
        <v>22</v>
      </c>
      <c r="F159" s="86" t="s">
        <v>23</v>
      </c>
      <c r="G159" s="86" t="s">
        <v>24</v>
      </c>
      <c r="H159" s="86" t="s">
        <v>25</v>
      </c>
      <c r="I159" s="86" t="s">
        <v>26</v>
      </c>
      <c r="J159" s="86" t="s">
        <v>27</v>
      </c>
      <c r="K159" s="98" t="s">
        <v>28</v>
      </c>
      <c r="L159" s="137">
        <f t="shared" si="41"/>
        <v>1.25</v>
      </c>
    </row>
    <row r="160" spans="1:12" ht="16.5" hidden="1" customHeight="1" x14ac:dyDescent="0.25">
      <c r="A160" s="83">
        <v>5128</v>
      </c>
      <c r="B160" s="145">
        <v>842100</v>
      </c>
      <c r="C160" s="84" t="s">
        <v>151</v>
      </c>
      <c r="D160" s="108"/>
      <c r="E160" s="109">
        <f t="shared" si="32"/>
        <v>0</v>
      </c>
      <c r="F160" s="108"/>
      <c r="G160" s="108"/>
      <c r="H160" s="108"/>
      <c r="I160" s="108"/>
      <c r="J160" s="108"/>
      <c r="K160" s="110"/>
      <c r="L160" s="137" t="e">
        <f t="shared" si="41"/>
        <v>#DIV/0!</v>
      </c>
    </row>
    <row r="161" spans="1:12" ht="16.5" hidden="1" customHeight="1" x14ac:dyDescent="0.25">
      <c r="A161" s="142">
        <v>5129</v>
      </c>
      <c r="B161" s="140">
        <v>843000</v>
      </c>
      <c r="C161" s="82" t="s">
        <v>152</v>
      </c>
      <c r="D161" s="100">
        <f>D162</f>
        <v>0</v>
      </c>
      <c r="E161" s="100">
        <f t="shared" si="32"/>
        <v>0</v>
      </c>
      <c r="F161" s="100">
        <f t="shared" ref="F161:K161" si="51">F162</f>
        <v>0</v>
      </c>
      <c r="G161" s="100">
        <f t="shared" si="51"/>
        <v>0</v>
      </c>
      <c r="H161" s="100">
        <f t="shared" si="51"/>
        <v>0</v>
      </c>
      <c r="I161" s="100">
        <f t="shared" si="51"/>
        <v>0</v>
      </c>
      <c r="J161" s="100">
        <f t="shared" si="51"/>
        <v>0</v>
      </c>
      <c r="K161" s="101">
        <f t="shared" si="51"/>
        <v>0</v>
      </c>
      <c r="L161" s="137" t="e">
        <f t="shared" si="41"/>
        <v>#DIV/0!</v>
      </c>
    </row>
    <row r="162" spans="1:12" ht="16.5" hidden="1" customHeight="1" x14ac:dyDescent="0.25">
      <c r="A162" s="83">
        <v>5130</v>
      </c>
      <c r="B162" s="145">
        <v>843100</v>
      </c>
      <c r="C162" s="84" t="s">
        <v>153</v>
      </c>
      <c r="D162" s="108"/>
      <c r="E162" s="109">
        <f t="shared" si="32"/>
        <v>0</v>
      </c>
      <c r="F162" s="108"/>
      <c r="G162" s="108"/>
      <c r="H162" s="108"/>
      <c r="I162" s="108"/>
      <c r="J162" s="108"/>
      <c r="K162" s="110"/>
      <c r="L162" s="137" t="e">
        <f t="shared" si="41"/>
        <v>#DIV/0!</v>
      </c>
    </row>
    <row r="163" spans="1:12" ht="16.5" hidden="1" customHeight="1" x14ac:dyDescent="0.25">
      <c r="A163" s="142">
        <v>5131</v>
      </c>
      <c r="B163" s="140">
        <v>900000</v>
      </c>
      <c r="C163" s="82" t="s">
        <v>154</v>
      </c>
      <c r="D163" s="100">
        <f>D164+D187</f>
        <v>0</v>
      </c>
      <c r="E163" s="100">
        <f t="shared" ref="E163:E198" si="52">SUM(F163:K163)</f>
        <v>0</v>
      </c>
      <c r="F163" s="100">
        <f t="shared" ref="F163:K163" si="53">F164+F187</f>
        <v>0</v>
      </c>
      <c r="G163" s="100">
        <f t="shared" si="53"/>
        <v>0</v>
      </c>
      <c r="H163" s="100">
        <f t="shared" si="53"/>
        <v>0</v>
      </c>
      <c r="I163" s="100">
        <f t="shared" si="53"/>
        <v>0</v>
      </c>
      <c r="J163" s="100">
        <f t="shared" si="53"/>
        <v>0</v>
      </c>
      <c r="K163" s="101">
        <f t="shared" si="53"/>
        <v>0</v>
      </c>
      <c r="L163" s="137" t="e">
        <f t="shared" si="41"/>
        <v>#DIV/0!</v>
      </c>
    </row>
    <row r="164" spans="1:12" ht="16.5" hidden="1" customHeight="1" x14ac:dyDescent="0.25">
      <c r="A164" s="142">
        <v>5132</v>
      </c>
      <c r="B164" s="140">
        <v>910000</v>
      </c>
      <c r="C164" s="82" t="s">
        <v>155</v>
      </c>
      <c r="D164" s="100">
        <f>D165+D175</f>
        <v>0</v>
      </c>
      <c r="E164" s="100">
        <f t="shared" si="52"/>
        <v>0</v>
      </c>
      <c r="F164" s="100">
        <f t="shared" ref="F164:K164" si="54">F165+F175</f>
        <v>0</v>
      </c>
      <c r="G164" s="100">
        <f t="shared" si="54"/>
        <v>0</v>
      </c>
      <c r="H164" s="100">
        <f t="shared" si="54"/>
        <v>0</v>
      </c>
      <c r="I164" s="100">
        <f t="shared" si="54"/>
        <v>0</v>
      </c>
      <c r="J164" s="100">
        <f t="shared" si="54"/>
        <v>0</v>
      </c>
      <c r="K164" s="101">
        <f t="shared" si="54"/>
        <v>0</v>
      </c>
      <c r="L164" s="137" t="e">
        <f t="shared" si="41"/>
        <v>#DIV/0!</v>
      </c>
    </row>
    <row r="165" spans="1:12" ht="16.5" hidden="1" customHeight="1" x14ac:dyDescent="0.25">
      <c r="A165" s="142">
        <v>5133</v>
      </c>
      <c r="B165" s="140">
        <v>911000</v>
      </c>
      <c r="C165" s="82" t="s">
        <v>156</v>
      </c>
      <c r="D165" s="100">
        <f>SUM(D166:D174)</f>
        <v>0</v>
      </c>
      <c r="E165" s="100">
        <f t="shared" si="52"/>
        <v>0</v>
      </c>
      <c r="F165" s="100">
        <f t="shared" ref="F165:K165" si="55">SUM(F166:F174)</f>
        <v>0</v>
      </c>
      <c r="G165" s="100">
        <f t="shared" si="55"/>
        <v>0</v>
      </c>
      <c r="H165" s="100">
        <f t="shared" si="55"/>
        <v>0</v>
      </c>
      <c r="I165" s="100">
        <f t="shared" si="55"/>
        <v>0</v>
      </c>
      <c r="J165" s="100">
        <f t="shared" si="55"/>
        <v>0</v>
      </c>
      <c r="K165" s="101">
        <f t="shared" si="55"/>
        <v>0</v>
      </c>
      <c r="L165" s="137" t="e">
        <f t="shared" si="41"/>
        <v>#DIV/0!</v>
      </c>
    </row>
    <row r="166" spans="1:12" ht="16.5" hidden="1" customHeight="1" x14ac:dyDescent="0.25">
      <c r="A166" s="83">
        <v>5134</v>
      </c>
      <c r="B166" s="145">
        <v>911100</v>
      </c>
      <c r="C166" s="84" t="s">
        <v>157</v>
      </c>
      <c r="D166" s="108"/>
      <c r="E166" s="109">
        <f t="shared" si="52"/>
        <v>0</v>
      </c>
      <c r="F166" s="108"/>
      <c r="G166" s="108"/>
      <c r="H166" s="108"/>
      <c r="I166" s="108"/>
      <c r="J166" s="108"/>
      <c r="K166" s="110"/>
      <c r="L166" s="137" t="e">
        <f t="shared" si="41"/>
        <v>#DIV/0!</v>
      </c>
    </row>
    <row r="167" spans="1:12" ht="16.5" hidden="1" customHeight="1" x14ac:dyDescent="0.25">
      <c r="A167" s="83">
        <v>5135</v>
      </c>
      <c r="B167" s="145">
        <v>911200</v>
      </c>
      <c r="C167" s="84" t="s">
        <v>158</v>
      </c>
      <c r="D167" s="108"/>
      <c r="E167" s="109">
        <f t="shared" si="52"/>
        <v>0</v>
      </c>
      <c r="F167" s="108"/>
      <c r="G167" s="108"/>
      <c r="H167" s="108"/>
      <c r="I167" s="108"/>
      <c r="J167" s="108"/>
      <c r="K167" s="110"/>
      <c r="L167" s="137" t="e">
        <f t="shared" si="41"/>
        <v>#DIV/0!</v>
      </c>
    </row>
    <row r="168" spans="1:12" ht="16.5" hidden="1" customHeight="1" x14ac:dyDescent="0.25">
      <c r="A168" s="83">
        <v>5136</v>
      </c>
      <c r="B168" s="145">
        <v>911300</v>
      </c>
      <c r="C168" s="84" t="s">
        <v>159</v>
      </c>
      <c r="D168" s="108"/>
      <c r="E168" s="109">
        <f t="shared" si="52"/>
        <v>0</v>
      </c>
      <c r="F168" s="108"/>
      <c r="G168" s="108"/>
      <c r="H168" s="108"/>
      <c r="I168" s="108"/>
      <c r="J168" s="108"/>
      <c r="K168" s="110"/>
      <c r="L168" s="137" t="e">
        <f t="shared" si="41"/>
        <v>#DIV/0!</v>
      </c>
    </row>
    <row r="169" spans="1:12" ht="16.5" hidden="1" customHeight="1" x14ac:dyDescent="0.25">
      <c r="A169" s="83">
        <v>5137</v>
      </c>
      <c r="B169" s="145">
        <v>911400</v>
      </c>
      <c r="C169" s="84" t="s">
        <v>160</v>
      </c>
      <c r="D169" s="108"/>
      <c r="E169" s="109">
        <f t="shared" si="52"/>
        <v>0</v>
      </c>
      <c r="F169" s="108"/>
      <c r="G169" s="108"/>
      <c r="H169" s="108"/>
      <c r="I169" s="108"/>
      <c r="J169" s="108"/>
      <c r="K169" s="110"/>
      <c r="L169" s="137" t="e">
        <f t="shared" si="41"/>
        <v>#DIV/0!</v>
      </c>
    </row>
    <row r="170" spans="1:12" ht="16.5" hidden="1" customHeight="1" x14ac:dyDescent="0.25">
      <c r="A170" s="83">
        <v>5138</v>
      </c>
      <c r="B170" s="145">
        <v>911500</v>
      </c>
      <c r="C170" s="84" t="s">
        <v>161</v>
      </c>
      <c r="D170" s="108"/>
      <c r="E170" s="109">
        <f t="shared" si="52"/>
        <v>0</v>
      </c>
      <c r="F170" s="108"/>
      <c r="G170" s="108"/>
      <c r="H170" s="108"/>
      <c r="I170" s="108"/>
      <c r="J170" s="108"/>
      <c r="K170" s="110"/>
      <c r="L170" s="137" t="e">
        <f t="shared" si="41"/>
        <v>#DIV/0!</v>
      </c>
    </row>
    <row r="171" spans="1:12" ht="16.5" hidden="1" customHeight="1" x14ac:dyDescent="0.25">
      <c r="A171" s="83">
        <v>5139</v>
      </c>
      <c r="B171" s="145">
        <v>911600</v>
      </c>
      <c r="C171" s="84" t="s">
        <v>162</v>
      </c>
      <c r="D171" s="108"/>
      <c r="E171" s="109">
        <f t="shared" si="52"/>
        <v>0</v>
      </c>
      <c r="F171" s="108"/>
      <c r="G171" s="108"/>
      <c r="H171" s="108"/>
      <c r="I171" s="108"/>
      <c r="J171" s="108"/>
      <c r="K171" s="110"/>
      <c r="L171" s="137" t="e">
        <f t="shared" si="41"/>
        <v>#DIV/0!</v>
      </c>
    </row>
    <row r="172" spans="1:12" ht="16.5" hidden="1" customHeight="1" x14ac:dyDescent="0.25">
      <c r="A172" s="83">
        <v>5140</v>
      </c>
      <c r="B172" s="145">
        <v>911700</v>
      </c>
      <c r="C172" s="84" t="s">
        <v>163</v>
      </c>
      <c r="D172" s="108"/>
      <c r="E172" s="109">
        <f t="shared" si="52"/>
        <v>0</v>
      </c>
      <c r="F172" s="108"/>
      <c r="G172" s="108"/>
      <c r="H172" s="108"/>
      <c r="I172" s="108"/>
      <c r="J172" s="108"/>
      <c r="K172" s="110"/>
      <c r="L172" s="137" t="e">
        <f t="shared" si="41"/>
        <v>#DIV/0!</v>
      </c>
    </row>
    <row r="173" spans="1:12" ht="16.5" hidden="1" customHeight="1" x14ac:dyDescent="0.25">
      <c r="A173" s="83">
        <v>5141</v>
      </c>
      <c r="B173" s="145">
        <v>911800</v>
      </c>
      <c r="C173" s="84" t="s">
        <v>164</v>
      </c>
      <c r="D173" s="108"/>
      <c r="E173" s="109">
        <f t="shared" si="52"/>
        <v>0</v>
      </c>
      <c r="F173" s="108"/>
      <c r="G173" s="108"/>
      <c r="H173" s="108"/>
      <c r="I173" s="108"/>
      <c r="J173" s="108"/>
      <c r="K173" s="110"/>
      <c r="L173" s="137" t="e">
        <f t="shared" si="41"/>
        <v>#DIV/0!</v>
      </c>
    </row>
    <row r="174" spans="1:12" ht="16.5" hidden="1" customHeight="1" x14ac:dyDescent="0.25">
      <c r="A174" s="83">
        <v>5142</v>
      </c>
      <c r="B174" s="145">
        <v>911900</v>
      </c>
      <c r="C174" s="84" t="s">
        <v>165</v>
      </c>
      <c r="D174" s="108"/>
      <c r="E174" s="109">
        <f t="shared" si="52"/>
        <v>0</v>
      </c>
      <c r="F174" s="108"/>
      <c r="G174" s="108"/>
      <c r="H174" s="108"/>
      <c r="I174" s="108"/>
      <c r="J174" s="108"/>
      <c r="K174" s="110"/>
      <c r="L174" s="137" t="e">
        <f t="shared" si="41"/>
        <v>#DIV/0!</v>
      </c>
    </row>
    <row r="175" spans="1:12" ht="16.5" hidden="1" customHeight="1" x14ac:dyDescent="0.25">
      <c r="A175" s="142">
        <v>5143</v>
      </c>
      <c r="B175" s="140">
        <v>912000</v>
      </c>
      <c r="C175" s="82" t="s">
        <v>166</v>
      </c>
      <c r="D175" s="100">
        <f>SUM(D176:D186)</f>
        <v>0</v>
      </c>
      <c r="E175" s="100">
        <f t="shared" si="52"/>
        <v>0</v>
      </c>
      <c r="F175" s="100">
        <f t="shared" ref="F175:K175" si="56">SUM(F176:F186)</f>
        <v>0</v>
      </c>
      <c r="G175" s="100">
        <f t="shared" si="56"/>
        <v>0</v>
      </c>
      <c r="H175" s="100">
        <f t="shared" si="56"/>
        <v>0</v>
      </c>
      <c r="I175" s="100">
        <f t="shared" si="56"/>
        <v>0</v>
      </c>
      <c r="J175" s="100">
        <f t="shared" si="56"/>
        <v>0</v>
      </c>
      <c r="K175" s="101">
        <f t="shared" si="56"/>
        <v>0</v>
      </c>
      <c r="L175" s="137" t="e">
        <f t="shared" si="41"/>
        <v>#DIV/0!</v>
      </c>
    </row>
    <row r="176" spans="1:12" ht="16.5" hidden="1" customHeight="1" x14ac:dyDescent="0.25">
      <c r="A176" s="83">
        <v>5144</v>
      </c>
      <c r="B176" s="145">
        <v>912100</v>
      </c>
      <c r="C176" s="84" t="s">
        <v>167</v>
      </c>
      <c r="D176" s="108"/>
      <c r="E176" s="109">
        <f t="shared" si="52"/>
        <v>0</v>
      </c>
      <c r="F176" s="108"/>
      <c r="G176" s="108"/>
      <c r="H176" s="108"/>
      <c r="I176" s="108"/>
      <c r="J176" s="108"/>
      <c r="K176" s="110"/>
      <c r="L176" s="137" t="e">
        <f t="shared" si="41"/>
        <v>#DIV/0!</v>
      </c>
    </row>
    <row r="177" spans="1:12" ht="16.5" hidden="1" customHeight="1" x14ac:dyDescent="0.25">
      <c r="A177" s="83">
        <v>5145</v>
      </c>
      <c r="B177" s="145">
        <v>912200</v>
      </c>
      <c r="C177" s="84" t="s">
        <v>168</v>
      </c>
      <c r="D177" s="108"/>
      <c r="E177" s="109">
        <f t="shared" si="52"/>
        <v>0</v>
      </c>
      <c r="F177" s="108"/>
      <c r="G177" s="108"/>
      <c r="H177" s="108"/>
      <c r="I177" s="108"/>
      <c r="J177" s="108"/>
      <c r="K177" s="110"/>
      <c r="L177" s="137" t="e">
        <f t="shared" si="41"/>
        <v>#DIV/0!</v>
      </c>
    </row>
    <row r="178" spans="1:12" ht="16.5" hidden="1" customHeight="1" x14ac:dyDescent="0.25">
      <c r="A178" s="83">
        <v>5146</v>
      </c>
      <c r="B178" s="145">
        <v>912300</v>
      </c>
      <c r="C178" s="84" t="s">
        <v>169</v>
      </c>
      <c r="D178" s="108"/>
      <c r="E178" s="109">
        <f t="shared" si="52"/>
        <v>0</v>
      </c>
      <c r="F178" s="108"/>
      <c r="G178" s="108"/>
      <c r="H178" s="108"/>
      <c r="I178" s="108"/>
      <c r="J178" s="108"/>
      <c r="K178" s="110"/>
      <c r="L178" s="137" t="e">
        <f t="shared" si="41"/>
        <v>#DIV/0!</v>
      </c>
    </row>
    <row r="179" spans="1:12" ht="16.5" hidden="1" customHeight="1" x14ac:dyDescent="0.25">
      <c r="A179" s="83">
        <v>5147</v>
      </c>
      <c r="B179" s="145">
        <v>912400</v>
      </c>
      <c r="C179" s="84" t="s">
        <v>170</v>
      </c>
      <c r="D179" s="108"/>
      <c r="E179" s="109">
        <f t="shared" si="52"/>
        <v>0</v>
      </c>
      <c r="F179" s="108"/>
      <c r="G179" s="108"/>
      <c r="H179" s="108"/>
      <c r="I179" s="108"/>
      <c r="J179" s="108"/>
      <c r="K179" s="110"/>
      <c r="L179" s="137" t="e">
        <f t="shared" si="41"/>
        <v>#DIV/0!</v>
      </c>
    </row>
    <row r="180" spans="1:12" ht="16.5" hidden="1" customHeight="1" x14ac:dyDescent="0.25">
      <c r="A180" s="83">
        <v>5148</v>
      </c>
      <c r="B180" s="145">
        <v>912500</v>
      </c>
      <c r="C180" s="84" t="s">
        <v>171</v>
      </c>
      <c r="D180" s="108"/>
      <c r="E180" s="109">
        <f t="shared" si="52"/>
        <v>0</v>
      </c>
      <c r="F180" s="108"/>
      <c r="G180" s="108"/>
      <c r="H180" s="108"/>
      <c r="I180" s="108"/>
      <c r="J180" s="108"/>
      <c r="K180" s="110"/>
      <c r="L180" s="137" t="e">
        <f t="shared" si="41"/>
        <v>#DIV/0!</v>
      </c>
    </row>
    <row r="181" spans="1:12" ht="16.5" hidden="1" customHeight="1" x14ac:dyDescent="0.25">
      <c r="A181" s="83">
        <v>5149</v>
      </c>
      <c r="B181" s="145">
        <v>912600</v>
      </c>
      <c r="C181" s="84" t="s">
        <v>172</v>
      </c>
      <c r="D181" s="108"/>
      <c r="E181" s="109">
        <f t="shared" si="52"/>
        <v>0</v>
      </c>
      <c r="F181" s="108"/>
      <c r="G181" s="108"/>
      <c r="H181" s="108"/>
      <c r="I181" s="108"/>
      <c r="J181" s="108"/>
      <c r="K181" s="110"/>
      <c r="L181" s="137" t="e">
        <f t="shared" si="41"/>
        <v>#DIV/0!</v>
      </c>
    </row>
    <row r="182" spans="1:12" ht="16.5" hidden="1" customHeight="1" x14ac:dyDescent="0.25">
      <c r="A182" s="583" t="s">
        <v>0</v>
      </c>
      <c r="B182" s="584" t="s">
        <v>1</v>
      </c>
      <c r="C182" s="585" t="s">
        <v>2</v>
      </c>
      <c r="D182" s="575" t="s">
        <v>3</v>
      </c>
      <c r="E182" s="575" t="s">
        <v>4</v>
      </c>
      <c r="F182" s="575"/>
      <c r="G182" s="575"/>
      <c r="H182" s="575"/>
      <c r="I182" s="575"/>
      <c r="J182" s="575"/>
      <c r="K182" s="582"/>
      <c r="L182" s="137" t="e">
        <f t="shared" si="41"/>
        <v>#VALUE!</v>
      </c>
    </row>
    <row r="183" spans="1:12" ht="16.5" hidden="1" customHeight="1" x14ac:dyDescent="0.25">
      <c r="A183" s="583"/>
      <c r="B183" s="584"/>
      <c r="C183" s="585"/>
      <c r="D183" s="575"/>
      <c r="E183" s="581" t="s">
        <v>5</v>
      </c>
      <c r="F183" s="575" t="s">
        <v>6</v>
      </c>
      <c r="G183" s="575"/>
      <c r="H183" s="575"/>
      <c r="I183" s="575"/>
      <c r="J183" s="575" t="s">
        <v>7</v>
      </c>
      <c r="K183" s="582" t="s">
        <v>8</v>
      </c>
      <c r="L183" s="137" t="e">
        <f t="shared" si="41"/>
        <v>#VALUE!</v>
      </c>
    </row>
    <row r="184" spans="1:12" ht="16.5" hidden="1" customHeight="1" x14ac:dyDescent="0.25">
      <c r="A184" s="583"/>
      <c r="B184" s="584"/>
      <c r="C184" s="585"/>
      <c r="D184" s="575"/>
      <c r="E184" s="581"/>
      <c r="F184" s="140" t="s">
        <v>9</v>
      </c>
      <c r="G184" s="140" t="s">
        <v>10</v>
      </c>
      <c r="H184" s="140" t="s">
        <v>11</v>
      </c>
      <c r="I184" s="140" t="s">
        <v>12</v>
      </c>
      <c r="J184" s="575"/>
      <c r="K184" s="582"/>
      <c r="L184" s="137" t="e">
        <f t="shared" si="41"/>
        <v>#DIV/0!</v>
      </c>
    </row>
    <row r="185" spans="1:12" ht="16.5" hidden="1" customHeight="1" x14ac:dyDescent="0.25">
      <c r="A185" s="85" t="s">
        <v>18</v>
      </c>
      <c r="B185" s="139" t="s">
        <v>19</v>
      </c>
      <c r="C185" s="139" t="s">
        <v>20</v>
      </c>
      <c r="D185" s="86" t="s">
        <v>21</v>
      </c>
      <c r="E185" s="86" t="s">
        <v>22</v>
      </c>
      <c r="F185" s="86" t="s">
        <v>23</v>
      </c>
      <c r="G185" s="86" t="s">
        <v>24</v>
      </c>
      <c r="H185" s="86" t="s">
        <v>25</v>
      </c>
      <c r="I185" s="86" t="s">
        <v>26</v>
      </c>
      <c r="J185" s="86" t="s">
        <v>27</v>
      </c>
      <c r="K185" s="98" t="s">
        <v>28</v>
      </c>
      <c r="L185" s="137">
        <f t="shared" si="41"/>
        <v>1.25</v>
      </c>
    </row>
    <row r="186" spans="1:12" ht="16.5" hidden="1" customHeight="1" x14ac:dyDescent="0.25">
      <c r="A186" s="83">
        <v>5150</v>
      </c>
      <c r="B186" s="145">
        <v>912900</v>
      </c>
      <c r="C186" s="84" t="s">
        <v>173</v>
      </c>
      <c r="D186" s="108"/>
      <c r="E186" s="109">
        <f t="shared" si="52"/>
        <v>0</v>
      </c>
      <c r="F186" s="108"/>
      <c r="G186" s="108"/>
      <c r="H186" s="108"/>
      <c r="I186" s="108"/>
      <c r="J186" s="108"/>
      <c r="K186" s="110"/>
      <c r="L186" s="137" t="e">
        <f t="shared" si="41"/>
        <v>#DIV/0!</v>
      </c>
    </row>
    <row r="187" spans="1:12" ht="16.5" hidden="1" customHeight="1" x14ac:dyDescent="0.25">
      <c r="A187" s="142">
        <v>5151</v>
      </c>
      <c r="B187" s="140">
        <v>920000</v>
      </c>
      <c r="C187" s="82" t="s">
        <v>174</v>
      </c>
      <c r="D187" s="100">
        <f>D188+D198</f>
        <v>0</v>
      </c>
      <c r="E187" s="100">
        <f t="shared" si="52"/>
        <v>0</v>
      </c>
      <c r="F187" s="100">
        <f t="shared" ref="F187:K187" si="57">F188+F198</f>
        <v>0</v>
      </c>
      <c r="G187" s="100">
        <f t="shared" si="57"/>
        <v>0</v>
      </c>
      <c r="H187" s="100">
        <f t="shared" si="57"/>
        <v>0</v>
      </c>
      <c r="I187" s="100">
        <f t="shared" si="57"/>
        <v>0</v>
      </c>
      <c r="J187" s="100">
        <f t="shared" si="57"/>
        <v>0</v>
      </c>
      <c r="K187" s="101">
        <f t="shared" si="57"/>
        <v>0</v>
      </c>
      <c r="L187" s="137" t="e">
        <f t="shared" si="41"/>
        <v>#DIV/0!</v>
      </c>
    </row>
    <row r="188" spans="1:12" ht="16.5" hidden="1" customHeight="1" x14ac:dyDescent="0.25">
      <c r="A188" s="142">
        <v>5152</v>
      </c>
      <c r="B188" s="140">
        <v>921000</v>
      </c>
      <c r="C188" s="82" t="s">
        <v>175</v>
      </c>
      <c r="D188" s="100">
        <f>SUM(D189:D197)</f>
        <v>0</v>
      </c>
      <c r="E188" s="100">
        <f t="shared" si="52"/>
        <v>0</v>
      </c>
      <c r="F188" s="100">
        <f t="shared" ref="F188:K188" si="58">SUM(F189:F197)</f>
        <v>0</v>
      </c>
      <c r="G188" s="100">
        <f t="shared" si="58"/>
        <v>0</v>
      </c>
      <c r="H188" s="100">
        <f t="shared" si="58"/>
        <v>0</v>
      </c>
      <c r="I188" s="100">
        <f t="shared" si="58"/>
        <v>0</v>
      </c>
      <c r="J188" s="100">
        <f t="shared" si="58"/>
        <v>0</v>
      </c>
      <c r="K188" s="101">
        <f t="shared" si="58"/>
        <v>0</v>
      </c>
      <c r="L188" s="137" t="e">
        <f t="shared" si="41"/>
        <v>#DIV/0!</v>
      </c>
    </row>
    <row r="189" spans="1:12" ht="16.5" hidden="1" customHeight="1" x14ac:dyDescent="0.25">
      <c r="A189" s="83">
        <v>5153</v>
      </c>
      <c r="B189" s="145">
        <v>921100</v>
      </c>
      <c r="C189" s="84" t="s">
        <v>176</v>
      </c>
      <c r="D189" s="108"/>
      <c r="E189" s="109">
        <f t="shared" si="52"/>
        <v>0</v>
      </c>
      <c r="F189" s="108"/>
      <c r="G189" s="108"/>
      <c r="H189" s="108"/>
      <c r="I189" s="108"/>
      <c r="J189" s="108"/>
      <c r="K189" s="110"/>
      <c r="L189" s="137" t="e">
        <f t="shared" si="41"/>
        <v>#DIV/0!</v>
      </c>
    </row>
    <row r="190" spans="1:12" ht="16.5" hidden="1" customHeight="1" x14ac:dyDescent="0.25">
      <c r="A190" s="83">
        <v>5154</v>
      </c>
      <c r="B190" s="145">
        <v>921200</v>
      </c>
      <c r="C190" s="84" t="s">
        <v>177</v>
      </c>
      <c r="D190" s="108"/>
      <c r="E190" s="109">
        <f t="shared" si="52"/>
        <v>0</v>
      </c>
      <c r="F190" s="108"/>
      <c r="G190" s="108"/>
      <c r="H190" s="108"/>
      <c r="I190" s="108"/>
      <c r="J190" s="108"/>
      <c r="K190" s="110"/>
      <c r="L190" s="137" t="e">
        <f t="shared" si="41"/>
        <v>#DIV/0!</v>
      </c>
    </row>
    <row r="191" spans="1:12" ht="16.5" hidden="1" customHeight="1" x14ac:dyDescent="0.25">
      <c r="A191" s="83">
        <v>5155</v>
      </c>
      <c r="B191" s="145">
        <v>921300</v>
      </c>
      <c r="C191" s="84" t="s">
        <v>178</v>
      </c>
      <c r="D191" s="108"/>
      <c r="E191" s="109">
        <f t="shared" si="52"/>
        <v>0</v>
      </c>
      <c r="F191" s="108"/>
      <c r="G191" s="108"/>
      <c r="H191" s="108"/>
      <c r="I191" s="108"/>
      <c r="J191" s="108"/>
      <c r="K191" s="110"/>
      <c r="L191" s="137" t="e">
        <f t="shared" si="41"/>
        <v>#DIV/0!</v>
      </c>
    </row>
    <row r="192" spans="1:12" ht="16.5" hidden="1" customHeight="1" x14ac:dyDescent="0.25">
      <c r="A192" s="83">
        <v>5156</v>
      </c>
      <c r="B192" s="145">
        <v>921400</v>
      </c>
      <c r="C192" s="84" t="s">
        <v>179</v>
      </c>
      <c r="D192" s="108"/>
      <c r="E192" s="109">
        <f t="shared" si="52"/>
        <v>0</v>
      </c>
      <c r="F192" s="108"/>
      <c r="G192" s="108"/>
      <c r="H192" s="108"/>
      <c r="I192" s="108"/>
      <c r="J192" s="108"/>
      <c r="K192" s="110"/>
      <c r="L192" s="137" t="e">
        <f t="shared" si="41"/>
        <v>#DIV/0!</v>
      </c>
    </row>
    <row r="193" spans="1:12" ht="16.5" hidden="1" customHeight="1" x14ac:dyDescent="0.25">
      <c r="A193" s="83">
        <v>5157</v>
      </c>
      <c r="B193" s="145">
        <v>921500</v>
      </c>
      <c r="C193" s="84" t="s">
        <v>180</v>
      </c>
      <c r="D193" s="108"/>
      <c r="E193" s="109">
        <f t="shared" si="52"/>
        <v>0</v>
      </c>
      <c r="F193" s="108"/>
      <c r="G193" s="108"/>
      <c r="H193" s="108"/>
      <c r="I193" s="108"/>
      <c r="J193" s="108"/>
      <c r="K193" s="110"/>
      <c r="L193" s="137" t="e">
        <f t="shared" si="41"/>
        <v>#DIV/0!</v>
      </c>
    </row>
    <row r="194" spans="1:12" ht="16.5" hidden="1" customHeight="1" x14ac:dyDescent="0.25">
      <c r="A194" s="83">
        <v>5158</v>
      </c>
      <c r="B194" s="145">
        <v>921600</v>
      </c>
      <c r="C194" s="84" t="s">
        <v>181</v>
      </c>
      <c r="D194" s="108"/>
      <c r="E194" s="109">
        <f t="shared" si="52"/>
        <v>0</v>
      </c>
      <c r="F194" s="108"/>
      <c r="G194" s="108"/>
      <c r="H194" s="108"/>
      <c r="I194" s="108"/>
      <c r="J194" s="108"/>
      <c r="K194" s="110"/>
      <c r="L194" s="137" t="e">
        <f t="shared" si="41"/>
        <v>#DIV/0!</v>
      </c>
    </row>
    <row r="195" spans="1:12" ht="16.5" hidden="1" customHeight="1" x14ac:dyDescent="0.25">
      <c r="A195" s="83">
        <v>5159</v>
      </c>
      <c r="B195" s="145">
        <v>921700</v>
      </c>
      <c r="C195" s="84" t="s">
        <v>182</v>
      </c>
      <c r="D195" s="108"/>
      <c r="E195" s="109">
        <f t="shared" si="52"/>
        <v>0</v>
      </c>
      <c r="F195" s="108"/>
      <c r="G195" s="108"/>
      <c r="H195" s="108"/>
      <c r="I195" s="108"/>
      <c r="J195" s="108"/>
      <c r="K195" s="110"/>
      <c r="L195" s="137" t="e">
        <f t="shared" si="41"/>
        <v>#DIV/0!</v>
      </c>
    </row>
    <row r="196" spans="1:12" ht="16.5" hidden="1" customHeight="1" x14ac:dyDescent="0.25">
      <c r="A196" s="83">
        <v>5160</v>
      </c>
      <c r="B196" s="145">
        <v>921800</v>
      </c>
      <c r="C196" s="84" t="s">
        <v>183</v>
      </c>
      <c r="D196" s="108"/>
      <c r="E196" s="109">
        <f t="shared" si="52"/>
        <v>0</v>
      </c>
      <c r="F196" s="108"/>
      <c r="G196" s="108"/>
      <c r="H196" s="108"/>
      <c r="I196" s="108"/>
      <c r="J196" s="108"/>
      <c r="K196" s="110"/>
      <c r="L196" s="137" t="e">
        <f t="shared" si="41"/>
        <v>#DIV/0!</v>
      </c>
    </row>
    <row r="197" spans="1:12" ht="16.5" hidden="1" customHeight="1" x14ac:dyDescent="0.25">
      <c r="A197" s="83">
        <v>5161</v>
      </c>
      <c r="B197" s="145">
        <v>921900</v>
      </c>
      <c r="C197" s="84" t="s">
        <v>184</v>
      </c>
      <c r="D197" s="108"/>
      <c r="E197" s="109">
        <f t="shared" si="52"/>
        <v>0</v>
      </c>
      <c r="F197" s="108"/>
      <c r="G197" s="108"/>
      <c r="H197" s="108"/>
      <c r="I197" s="108"/>
      <c r="J197" s="108"/>
      <c r="K197" s="110"/>
      <c r="L197" s="137" t="e">
        <f t="shared" si="41"/>
        <v>#DIV/0!</v>
      </c>
    </row>
    <row r="198" spans="1:12" ht="16.5" hidden="1" customHeight="1" x14ac:dyDescent="0.25">
      <c r="A198" s="142">
        <v>5162</v>
      </c>
      <c r="B198" s="140">
        <v>922000</v>
      </c>
      <c r="C198" s="82" t="s">
        <v>185</v>
      </c>
      <c r="D198" s="100">
        <f>SUM(D199:D210)</f>
        <v>0</v>
      </c>
      <c r="E198" s="100">
        <f t="shared" si="52"/>
        <v>0</v>
      </c>
      <c r="F198" s="100">
        <f t="shared" ref="F198:K198" si="59">SUM(F199:F210)</f>
        <v>0</v>
      </c>
      <c r="G198" s="100">
        <f t="shared" si="59"/>
        <v>0</v>
      </c>
      <c r="H198" s="100">
        <f t="shared" si="59"/>
        <v>0</v>
      </c>
      <c r="I198" s="100">
        <f t="shared" si="59"/>
        <v>0</v>
      </c>
      <c r="J198" s="100">
        <f t="shared" si="59"/>
        <v>0</v>
      </c>
      <c r="K198" s="101">
        <f t="shared" si="59"/>
        <v>0</v>
      </c>
      <c r="L198" s="137" t="e">
        <f t="shared" si="41"/>
        <v>#DIV/0!</v>
      </c>
    </row>
    <row r="199" spans="1:12" ht="16.5" hidden="1" customHeight="1" x14ac:dyDescent="0.25">
      <c r="A199" s="83">
        <v>5163</v>
      </c>
      <c r="B199" s="145">
        <v>922100</v>
      </c>
      <c r="C199" s="84" t="s">
        <v>186</v>
      </c>
      <c r="D199" s="108"/>
      <c r="E199" s="109">
        <f t="shared" ref="E199:E211" si="60">SUM(F199:K199)</f>
        <v>0</v>
      </c>
      <c r="F199" s="108"/>
      <c r="G199" s="108"/>
      <c r="H199" s="108"/>
      <c r="I199" s="108"/>
      <c r="J199" s="108"/>
      <c r="K199" s="110"/>
      <c r="L199" s="137" t="e">
        <f t="shared" si="41"/>
        <v>#DIV/0!</v>
      </c>
    </row>
    <row r="200" spans="1:12" ht="16.5" hidden="1" customHeight="1" x14ac:dyDescent="0.25">
      <c r="A200" s="83">
        <v>5164</v>
      </c>
      <c r="B200" s="145">
        <v>922200</v>
      </c>
      <c r="C200" s="84" t="s">
        <v>187</v>
      </c>
      <c r="D200" s="108"/>
      <c r="E200" s="109">
        <f t="shared" si="60"/>
        <v>0</v>
      </c>
      <c r="F200" s="108"/>
      <c r="G200" s="108"/>
      <c r="H200" s="108"/>
      <c r="I200" s="108"/>
      <c r="J200" s="108"/>
      <c r="K200" s="110"/>
      <c r="L200" s="137" t="e">
        <f t="shared" si="41"/>
        <v>#DIV/0!</v>
      </c>
    </row>
    <row r="201" spans="1:12" ht="16.5" hidden="1" customHeight="1" x14ac:dyDescent="0.25">
      <c r="A201" s="83">
        <v>5165</v>
      </c>
      <c r="B201" s="145">
        <v>922300</v>
      </c>
      <c r="C201" s="84" t="s">
        <v>188</v>
      </c>
      <c r="D201" s="108"/>
      <c r="E201" s="109">
        <f t="shared" si="60"/>
        <v>0</v>
      </c>
      <c r="F201" s="108"/>
      <c r="G201" s="108"/>
      <c r="H201" s="108"/>
      <c r="I201" s="108"/>
      <c r="J201" s="108"/>
      <c r="K201" s="110"/>
      <c r="L201" s="137" t="e">
        <f t="shared" si="41"/>
        <v>#DIV/0!</v>
      </c>
    </row>
    <row r="202" spans="1:12" ht="16.5" hidden="1" customHeight="1" x14ac:dyDescent="0.25">
      <c r="A202" s="83">
        <v>5166</v>
      </c>
      <c r="B202" s="145">
        <v>922400</v>
      </c>
      <c r="C202" s="84" t="s">
        <v>189</v>
      </c>
      <c r="D202" s="108"/>
      <c r="E202" s="109">
        <f t="shared" si="60"/>
        <v>0</v>
      </c>
      <c r="F202" s="108"/>
      <c r="G202" s="108"/>
      <c r="H202" s="108"/>
      <c r="I202" s="108"/>
      <c r="J202" s="108"/>
      <c r="K202" s="110"/>
      <c r="L202" s="137" t="e">
        <f t="shared" ref="L202:L211" si="61">E202/D202</f>
        <v>#DIV/0!</v>
      </c>
    </row>
    <row r="203" spans="1:12" ht="16.5" hidden="1" customHeight="1" x14ac:dyDescent="0.25">
      <c r="A203" s="83">
        <v>5167</v>
      </c>
      <c r="B203" s="145">
        <v>922500</v>
      </c>
      <c r="C203" s="84" t="s">
        <v>190</v>
      </c>
      <c r="D203" s="108"/>
      <c r="E203" s="109">
        <f t="shared" si="60"/>
        <v>0</v>
      </c>
      <c r="F203" s="108"/>
      <c r="G203" s="108"/>
      <c r="H203" s="108"/>
      <c r="I203" s="108"/>
      <c r="J203" s="108"/>
      <c r="K203" s="110"/>
      <c r="L203" s="137" t="e">
        <f t="shared" si="61"/>
        <v>#DIV/0!</v>
      </c>
    </row>
    <row r="204" spans="1:12" ht="16.5" hidden="1" customHeight="1" x14ac:dyDescent="0.25">
      <c r="A204" s="583" t="s">
        <v>0</v>
      </c>
      <c r="B204" s="584" t="s">
        <v>1</v>
      </c>
      <c r="C204" s="585" t="s">
        <v>2</v>
      </c>
      <c r="D204" s="575" t="s">
        <v>3</v>
      </c>
      <c r="E204" s="575" t="s">
        <v>4</v>
      </c>
      <c r="F204" s="575"/>
      <c r="G204" s="575"/>
      <c r="H204" s="575"/>
      <c r="I204" s="575"/>
      <c r="J204" s="575"/>
      <c r="K204" s="582"/>
      <c r="L204" s="137" t="e">
        <f t="shared" si="61"/>
        <v>#VALUE!</v>
      </c>
    </row>
    <row r="205" spans="1:12" ht="16.5" hidden="1" customHeight="1" x14ac:dyDescent="0.25">
      <c r="A205" s="583"/>
      <c r="B205" s="584"/>
      <c r="C205" s="585"/>
      <c r="D205" s="575"/>
      <c r="E205" s="581" t="s">
        <v>5</v>
      </c>
      <c r="F205" s="575" t="s">
        <v>6</v>
      </c>
      <c r="G205" s="575"/>
      <c r="H205" s="575"/>
      <c r="I205" s="575"/>
      <c r="J205" s="575" t="s">
        <v>7</v>
      </c>
      <c r="K205" s="582" t="s">
        <v>8</v>
      </c>
      <c r="L205" s="137" t="e">
        <f t="shared" si="61"/>
        <v>#VALUE!</v>
      </c>
    </row>
    <row r="206" spans="1:12" ht="16.5" hidden="1" customHeight="1" x14ac:dyDescent="0.25">
      <c r="A206" s="583"/>
      <c r="B206" s="584"/>
      <c r="C206" s="585"/>
      <c r="D206" s="575"/>
      <c r="E206" s="581"/>
      <c r="F206" s="140" t="s">
        <v>9</v>
      </c>
      <c r="G206" s="140" t="s">
        <v>10</v>
      </c>
      <c r="H206" s="140" t="s">
        <v>11</v>
      </c>
      <c r="I206" s="140" t="s">
        <v>12</v>
      </c>
      <c r="J206" s="575"/>
      <c r="K206" s="582"/>
      <c r="L206" s="137" t="e">
        <f t="shared" si="61"/>
        <v>#DIV/0!</v>
      </c>
    </row>
    <row r="207" spans="1:12" ht="16.5" hidden="1" customHeight="1" x14ac:dyDescent="0.25">
      <c r="A207" s="85" t="s">
        <v>18</v>
      </c>
      <c r="B207" s="139" t="s">
        <v>19</v>
      </c>
      <c r="C207" s="139" t="s">
        <v>20</v>
      </c>
      <c r="D207" s="86" t="s">
        <v>21</v>
      </c>
      <c r="E207" s="86" t="s">
        <v>22</v>
      </c>
      <c r="F207" s="86" t="s">
        <v>23</v>
      </c>
      <c r="G207" s="86" t="s">
        <v>24</v>
      </c>
      <c r="H207" s="86" t="s">
        <v>25</v>
      </c>
      <c r="I207" s="86" t="s">
        <v>26</v>
      </c>
      <c r="J207" s="86" t="s">
        <v>27</v>
      </c>
      <c r="K207" s="98" t="s">
        <v>28</v>
      </c>
      <c r="L207" s="137">
        <f t="shared" si="61"/>
        <v>1.25</v>
      </c>
    </row>
    <row r="208" spans="1:12" ht="16.5" hidden="1" customHeight="1" x14ac:dyDescent="0.25">
      <c r="A208" s="83">
        <v>5168</v>
      </c>
      <c r="B208" s="145">
        <v>922600</v>
      </c>
      <c r="C208" s="84" t="s">
        <v>191</v>
      </c>
      <c r="D208" s="108"/>
      <c r="E208" s="109">
        <f t="shared" si="60"/>
        <v>0</v>
      </c>
      <c r="F208" s="108"/>
      <c r="G208" s="108"/>
      <c r="H208" s="108"/>
      <c r="I208" s="108"/>
      <c r="J208" s="108"/>
      <c r="K208" s="110"/>
      <c r="L208" s="137" t="e">
        <f t="shared" si="61"/>
        <v>#DIV/0!</v>
      </c>
    </row>
    <row r="209" spans="1:12" ht="16.5" hidden="1" customHeight="1" x14ac:dyDescent="0.25">
      <c r="A209" s="83">
        <v>5169</v>
      </c>
      <c r="B209" s="145">
        <v>922700</v>
      </c>
      <c r="C209" s="84" t="s">
        <v>192</v>
      </c>
      <c r="D209" s="108"/>
      <c r="E209" s="109">
        <f t="shared" si="60"/>
        <v>0</v>
      </c>
      <c r="F209" s="108"/>
      <c r="G209" s="108"/>
      <c r="H209" s="108"/>
      <c r="I209" s="108"/>
      <c r="J209" s="108"/>
      <c r="K209" s="110"/>
      <c r="L209" s="137" t="e">
        <f t="shared" si="61"/>
        <v>#DIV/0!</v>
      </c>
    </row>
    <row r="210" spans="1:12" ht="16.5" hidden="1" customHeight="1" x14ac:dyDescent="0.25">
      <c r="A210" s="83">
        <v>5170</v>
      </c>
      <c r="B210" s="145">
        <v>922800</v>
      </c>
      <c r="C210" s="84" t="s">
        <v>193</v>
      </c>
      <c r="D210" s="108"/>
      <c r="E210" s="109">
        <f t="shared" si="60"/>
        <v>0</v>
      </c>
      <c r="F210" s="108"/>
      <c r="G210" s="108"/>
      <c r="H210" s="108"/>
      <c r="I210" s="108"/>
      <c r="J210" s="108"/>
      <c r="K210" s="110"/>
      <c r="L210" s="137" t="e">
        <f t="shared" si="61"/>
        <v>#DIV/0!</v>
      </c>
    </row>
    <row r="211" spans="1:12" ht="12.75" customHeight="1" thickBot="1" x14ac:dyDescent="0.3">
      <c r="A211" s="87">
        <v>5171</v>
      </c>
      <c r="B211" s="88"/>
      <c r="C211" s="89" t="s">
        <v>536</v>
      </c>
      <c r="D211" s="113">
        <f>D9+D163</f>
        <v>1490987</v>
      </c>
      <c r="E211" s="113">
        <f t="shared" si="60"/>
        <v>770863</v>
      </c>
      <c r="F211" s="113">
        <f t="shared" ref="F211:K211" si="62">F9+F163</f>
        <v>7388</v>
      </c>
      <c r="G211" s="113">
        <f t="shared" si="62"/>
        <v>0</v>
      </c>
      <c r="H211" s="113">
        <f t="shared" si="62"/>
        <v>0</v>
      </c>
      <c r="I211" s="113">
        <f t="shared" si="62"/>
        <v>756658</v>
      </c>
      <c r="J211" s="113">
        <f t="shared" si="62"/>
        <v>0</v>
      </c>
      <c r="K211" s="114">
        <f t="shared" si="62"/>
        <v>6817</v>
      </c>
      <c r="L211" s="138">
        <f t="shared" si="61"/>
        <v>0.51701523889879653</v>
      </c>
    </row>
    <row r="212" spans="1:12" ht="12.75" customHeight="1" x14ac:dyDescent="0.25">
      <c r="A212" s="90"/>
      <c r="B212" s="91"/>
      <c r="C212" s="91"/>
      <c r="D212" s="91"/>
      <c r="E212" s="91"/>
      <c r="F212" s="91"/>
      <c r="G212" s="91"/>
      <c r="H212" s="91"/>
      <c r="I212" s="91"/>
      <c r="J212" s="91"/>
      <c r="K212" s="91"/>
    </row>
    <row r="213" spans="1:12" ht="6" customHeight="1" x14ac:dyDescent="0.25">
      <c r="A213" s="90"/>
      <c r="B213" s="91"/>
      <c r="C213" s="91"/>
      <c r="D213" s="91"/>
      <c r="E213" s="91"/>
      <c r="F213" s="91"/>
      <c r="G213" s="91"/>
      <c r="H213" s="91"/>
      <c r="I213" s="91"/>
      <c r="J213" s="91"/>
      <c r="K213" s="91"/>
    </row>
    <row r="214" spans="1:12" ht="12.75" customHeight="1" x14ac:dyDescent="0.25">
      <c r="A214" s="92" t="s">
        <v>195</v>
      </c>
      <c r="B214" s="91"/>
      <c r="C214" s="91"/>
      <c r="D214" s="91"/>
      <c r="E214" s="91"/>
      <c r="F214" s="91"/>
      <c r="G214" s="91"/>
      <c r="H214" s="91"/>
      <c r="I214" s="91"/>
      <c r="J214" s="91"/>
      <c r="K214" s="91"/>
    </row>
    <row r="215" spans="1:12" ht="12.75" customHeight="1" thickBot="1" x14ac:dyDescent="0.3">
      <c r="A215" s="90"/>
      <c r="B215" s="91"/>
      <c r="C215" s="91"/>
      <c r="D215" s="91"/>
      <c r="E215" s="91"/>
      <c r="F215" s="91"/>
      <c r="G215" s="91"/>
      <c r="H215" s="91"/>
      <c r="I215" s="91"/>
      <c r="J215" s="91" t="s">
        <v>196</v>
      </c>
      <c r="K215" s="91"/>
    </row>
    <row r="216" spans="1:12" ht="12.75" customHeight="1" x14ac:dyDescent="0.25">
      <c r="A216" s="572" t="s">
        <v>0</v>
      </c>
      <c r="B216" s="574" t="s">
        <v>1</v>
      </c>
      <c r="C216" s="574" t="s">
        <v>2</v>
      </c>
      <c r="D216" s="574" t="s">
        <v>197</v>
      </c>
      <c r="E216" s="574" t="s">
        <v>198</v>
      </c>
      <c r="F216" s="590"/>
      <c r="G216" s="590"/>
      <c r="H216" s="590"/>
      <c r="I216" s="590"/>
      <c r="J216" s="590"/>
      <c r="K216" s="591"/>
      <c r="L216" s="578" t="s">
        <v>530</v>
      </c>
    </row>
    <row r="217" spans="1:12" ht="12.75" customHeight="1" x14ac:dyDescent="0.25">
      <c r="A217" s="588"/>
      <c r="B217" s="589"/>
      <c r="C217" s="589"/>
      <c r="D217" s="589"/>
      <c r="E217" s="575" t="s">
        <v>199</v>
      </c>
      <c r="F217" s="575" t="s">
        <v>200</v>
      </c>
      <c r="G217" s="589"/>
      <c r="H217" s="589"/>
      <c r="I217" s="589"/>
      <c r="J217" s="575" t="s">
        <v>7</v>
      </c>
      <c r="K217" s="582" t="s">
        <v>8</v>
      </c>
      <c r="L217" s="579"/>
    </row>
    <row r="218" spans="1:12" ht="12.75" customHeight="1" x14ac:dyDescent="0.25">
      <c r="A218" s="588"/>
      <c r="B218" s="589"/>
      <c r="C218" s="589"/>
      <c r="D218" s="589"/>
      <c r="E218" s="589"/>
      <c r="F218" s="140" t="s">
        <v>201</v>
      </c>
      <c r="G218" s="140" t="s">
        <v>10</v>
      </c>
      <c r="H218" s="140" t="s">
        <v>11</v>
      </c>
      <c r="I218" s="140" t="s">
        <v>12</v>
      </c>
      <c r="J218" s="589"/>
      <c r="K218" s="592"/>
      <c r="L218" s="580"/>
    </row>
    <row r="219" spans="1:12" ht="12.75" customHeight="1" x14ac:dyDescent="0.25">
      <c r="A219" s="142">
        <v>1</v>
      </c>
      <c r="B219" s="140">
        <v>2</v>
      </c>
      <c r="C219" s="140">
        <v>3</v>
      </c>
      <c r="D219" s="140">
        <v>4</v>
      </c>
      <c r="E219" s="140">
        <v>5</v>
      </c>
      <c r="F219" s="140">
        <v>6</v>
      </c>
      <c r="G219" s="140">
        <v>7</v>
      </c>
      <c r="H219" s="140">
        <v>8</v>
      </c>
      <c r="I219" s="140">
        <v>9</v>
      </c>
      <c r="J219" s="140">
        <v>10</v>
      </c>
      <c r="K219" s="141">
        <v>11</v>
      </c>
      <c r="L219" s="143" t="s">
        <v>531</v>
      </c>
    </row>
    <row r="220" spans="1:12" ht="12.75" customHeight="1" x14ac:dyDescent="0.25">
      <c r="A220" s="93">
        <v>5172</v>
      </c>
      <c r="B220" s="140"/>
      <c r="C220" s="82" t="s">
        <v>202</v>
      </c>
      <c r="D220" s="100">
        <f>D221+D417</f>
        <v>1496232</v>
      </c>
      <c r="E220" s="100">
        <f t="shared" ref="E220:E291" si="63">SUM(F220:K220)</f>
        <v>777259</v>
      </c>
      <c r="F220" s="100">
        <f t="shared" ref="F220:K220" si="64">F221+F417</f>
        <v>7354</v>
      </c>
      <c r="G220" s="100">
        <f t="shared" si="64"/>
        <v>0</v>
      </c>
      <c r="H220" s="100">
        <f t="shared" si="64"/>
        <v>0</v>
      </c>
      <c r="I220" s="100">
        <f t="shared" si="64"/>
        <v>757010</v>
      </c>
      <c r="J220" s="100">
        <f t="shared" si="64"/>
        <v>0</v>
      </c>
      <c r="K220" s="101">
        <f t="shared" si="64"/>
        <v>12895</v>
      </c>
      <c r="L220" s="137">
        <f t="shared" ref="L220:L283" si="65">E220/D220</f>
        <v>0.51947759438375862</v>
      </c>
    </row>
    <row r="221" spans="1:12" ht="12.75" customHeight="1" x14ac:dyDescent="0.25">
      <c r="A221" s="93">
        <v>5173</v>
      </c>
      <c r="B221" s="140">
        <v>400000</v>
      </c>
      <c r="C221" s="82" t="s">
        <v>203</v>
      </c>
      <c r="D221" s="100">
        <f>D222+D248+D297+D316+D344+D357+D377+D396</f>
        <v>1470627</v>
      </c>
      <c r="E221" s="100">
        <f t="shared" si="63"/>
        <v>767733</v>
      </c>
      <c r="F221" s="100">
        <f t="shared" ref="F221:K221" si="66">F222+F248+F297+F316+F344+F357+F377+F396</f>
        <v>1396</v>
      </c>
      <c r="G221" s="100">
        <f t="shared" si="66"/>
        <v>0</v>
      </c>
      <c r="H221" s="100">
        <f t="shared" si="66"/>
        <v>0</v>
      </c>
      <c r="I221" s="100">
        <f t="shared" si="66"/>
        <v>757010</v>
      </c>
      <c r="J221" s="100">
        <f t="shared" si="66"/>
        <v>0</v>
      </c>
      <c r="K221" s="101">
        <f t="shared" si="66"/>
        <v>9327</v>
      </c>
      <c r="L221" s="137">
        <f t="shared" si="65"/>
        <v>0.52204467890226414</v>
      </c>
    </row>
    <row r="222" spans="1:12" ht="12.75" customHeight="1" x14ac:dyDescent="0.25">
      <c r="A222" s="93">
        <v>5174</v>
      </c>
      <c r="B222" s="140">
        <v>410000</v>
      </c>
      <c r="C222" s="82" t="s">
        <v>204</v>
      </c>
      <c r="D222" s="100">
        <f>D223+D225+D229+D231+D240+D242+D244+D246</f>
        <v>1063773</v>
      </c>
      <c r="E222" s="100">
        <f t="shared" si="63"/>
        <v>560811</v>
      </c>
      <c r="F222" s="100">
        <f t="shared" ref="F222:K222" si="67">F223+F225+F229+F231+F240+F242+F244+F246</f>
        <v>0</v>
      </c>
      <c r="G222" s="100">
        <f t="shared" si="67"/>
        <v>0</v>
      </c>
      <c r="H222" s="100">
        <f t="shared" si="67"/>
        <v>0</v>
      </c>
      <c r="I222" s="100">
        <f t="shared" si="67"/>
        <v>559248</v>
      </c>
      <c r="J222" s="100">
        <f t="shared" si="67"/>
        <v>0</v>
      </c>
      <c r="K222" s="101">
        <f t="shared" si="67"/>
        <v>1563</v>
      </c>
      <c r="L222" s="137">
        <f t="shared" si="65"/>
        <v>0.52719048142789859</v>
      </c>
    </row>
    <row r="223" spans="1:12" ht="12.75" customHeight="1" x14ac:dyDescent="0.25">
      <c r="A223" s="93">
        <v>5175</v>
      </c>
      <c r="B223" s="140">
        <v>411000</v>
      </c>
      <c r="C223" s="82" t="s">
        <v>205</v>
      </c>
      <c r="D223" s="100">
        <f>D224</f>
        <v>875010</v>
      </c>
      <c r="E223" s="100">
        <f t="shared" si="63"/>
        <v>456584</v>
      </c>
      <c r="F223" s="100">
        <f t="shared" ref="F223:K223" si="68">F224</f>
        <v>0</v>
      </c>
      <c r="G223" s="100">
        <f t="shared" si="68"/>
        <v>0</v>
      </c>
      <c r="H223" s="100">
        <f t="shared" si="68"/>
        <v>0</v>
      </c>
      <c r="I223" s="100">
        <f t="shared" si="68"/>
        <v>455578</v>
      </c>
      <c r="J223" s="100">
        <f t="shared" si="68"/>
        <v>0</v>
      </c>
      <c r="K223" s="101">
        <f t="shared" si="68"/>
        <v>1006</v>
      </c>
      <c r="L223" s="137">
        <f t="shared" si="65"/>
        <v>0.52180432223631734</v>
      </c>
    </row>
    <row r="224" spans="1:12" ht="12.75" customHeight="1" x14ac:dyDescent="0.25">
      <c r="A224" s="94">
        <v>5176</v>
      </c>
      <c r="B224" s="145">
        <v>411100</v>
      </c>
      <c r="C224" s="84" t="s">
        <v>206</v>
      </c>
      <c r="D224" s="108">
        <v>875010</v>
      </c>
      <c r="E224" s="109">
        <f t="shared" si="63"/>
        <v>456584</v>
      </c>
      <c r="F224" s="108"/>
      <c r="G224" s="108"/>
      <c r="H224" s="108"/>
      <c r="I224" s="108">
        <v>455578</v>
      </c>
      <c r="J224" s="108"/>
      <c r="K224" s="110">
        <v>1006</v>
      </c>
      <c r="L224" s="137">
        <f t="shared" si="65"/>
        <v>0.52180432223631734</v>
      </c>
    </row>
    <row r="225" spans="1:12" ht="12.75" customHeight="1" x14ac:dyDescent="0.25">
      <c r="A225" s="93">
        <v>5177</v>
      </c>
      <c r="B225" s="140">
        <v>412000</v>
      </c>
      <c r="C225" s="82" t="s">
        <v>207</v>
      </c>
      <c r="D225" s="100">
        <f>SUM(D226:D228)</f>
        <v>141315</v>
      </c>
      <c r="E225" s="100">
        <f t="shared" si="63"/>
        <v>73739</v>
      </c>
      <c r="F225" s="100">
        <f t="shared" ref="F225:K225" si="69">SUM(F226:F228)</f>
        <v>0</v>
      </c>
      <c r="G225" s="100">
        <f t="shared" si="69"/>
        <v>0</v>
      </c>
      <c r="H225" s="100">
        <f t="shared" si="69"/>
        <v>0</v>
      </c>
      <c r="I225" s="100">
        <f t="shared" si="69"/>
        <v>73576</v>
      </c>
      <c r="J225" s="100">
        <f t="shared" si="69"/>
        <v>0</v>
      </c>
      <c r="K225" s="101">
        <f t="shared" si="69"/>
        <v>163</v>
      </c>
      <c r="L225" s="137">
        <f t="shared" si="65"/>
        <v>0.52180589463255844</v>
      </c>
    </row>
    <row r="226" spans="1:12" ht="12.75" customHeight="1" x14ac:dyDescent="0.25">
      <c r="A226" s="94">
        <v>5178</v>
      </c>
      <c r="B226" s="145">
        <v>412100</v>
      </c>
      <c r="C226" s="84" t="s">
        <v>208</v>
      </c>
      <c r="D226" s="108">
        <v>96251</v>
      </c>
      <c r="E226" s="109">
        <f t="shared" si="63"/>
        <v>50225</v>
      </c>
      <c r="F226" s="108"/>
      <c r="G226" s="108"/>
      <c r="H226" s="108"/>
      <c r="I226" s="108">
        <v>50114</v>
      </c>
      <c r="J226" s="108"/>
      <c r="K226" s="110">
        <v>111</v>
      </c>
      <c r="L226" s="137">
        <f t="shared" si="65"/>
        <v>0.52181276038690505</v>
      </c>
    </row>
    <row r="227" spans="1:12" ht="12.75" customHeight="1" x14ac:dyDescent="0.25">
      <c r="A227" s="94">
        <v>5179</v>
      </c>
      <c r="B227" s="145">
        <v>412200</v>
      </c>
      <c r="C227" s="84" t="s">
        <v>209</v>
      </c>
      <c r="D227" s="108">
        <v>45064</v>
      </c>
      <c r="E227" s="109">
        <f t="shared" si="63"/>
        <v>23514</v>
      </c>
      <c r="F227" s="108"/>
      <c r="G227" s="108"/>
      <c r="H227" s="108"/>
      <c r="I227" s="108">
        <v>23462</v>
      </c>
      <c r="J227" s="108"/>
      <c r="K227" s="110">
        <v>52</v>
      </c>
      <c r="L227" s="137">
        <f t="shared" si="65"/>
        <v>0.52179123025031071</v>
      </c>
    </row>
    <row r="228" spans="1:12" ht="12.75" hidden="1" customHeight="1" x14ac:dyDescent="0.25">
      <c r="A228" s="94">
        <v>5180</v>
      </c>
      <c r="B228" s="145">
        <v>412300</v>
      </c>
      <c r="C228" s="84" t="s">
        <v>210</v>
      </c>
      <c r="D228" s="108"/>
      <c r="E228" s="109">
        <f t="shared" si="63"/>
        <v>0</v>
      </c>
      <c r="F228" s="108"/>
      <c r="G228" s="108"/>
      <c r="H228" s="108"/>
      <c r="I228" s="108"/>
      <c r="J228" s="108"/>
      <c r="K228" s="110"/>
      <c r="L228" s="137" t="e">
        <f t="shared" si="65"/>
        <v>#DIV/0!</v>
      </c>
    </row>
    <row r="229" spans="1:12" ht="12.75" hidden="1" customHeight="1" x14ac:dyDescent="0.25">
      <c r="A229" s="93">
        <v>5181</v>
      </c>
      <c r="B229" s="140">
        <v>413000</v>
      </c>
      <c r="C229" s="82" t="s">
        <v>211</v>
      </c>
      <c r="D229" s="100">
        <f>D230</f>
        <v>0</v>
      </c>
      <c r="E229" s="100">
        <f t="shared" si="63"/>
        <v>0</v>
      </c>
      <c r="F229" s="100">
        <f t="shared" ref="F229:K229" si="70">F230</f>
        <v>0</v>
      </c>
      <c r="G229" s="100">
        <f t="shared" si="70"/>
        <v>0</v>
      </c>
      <c r="H229" s="100">
        <f t="shared" si="70"/>
        <v>0</v>
      </c>
      <c r="I229" s="100">
        <f t="shared" si="70"/>
        <v>0</v>
      </c>
      <c r="J229" s="100">
        <f t="shared" si="70"/>
        <v>0</v>
      </c>
      <c r="K229" s="101">
        <f t="shared" si="70"/>
        <v>0</v>
      </c>
      <c r="L229" s="137" t="e">
        <f t="shared" si="65"/>
        <v>#DIV/0!</v>
      </c>
    </row>
    <row r="230" spans="1:12" ht="12.75" hidden="1" customHeight="1" x14ac:dyDescent="0.25">
      <c r="A230" s="94">
        <v>5182</v>
      </c>
      <c r="B230" s="145">
        <v>413100</v>
      </c>
      <c r="C230" s="84" t="s">
        <v>212</v>
      </c>
      <c r="D230" s="108"/>
      <c r="E230" s="109">
        <f t="shared" si="63"/>
        <v>0</v>
      </c>
      <c r="F230" s="108"/>
      <c r="G230" s="108"/>
      <c r="H230" s="108"/>
      <c r="I230" s="108"/>
      <c r="J230" s="108"/>
      <c r="K230" s="110"/>
      <c r="L230" s="137" t="e">
        <f t="shared" si="65"/>
        <v>#DIV/0!</v>
      </c>
    </row>
    <row r="231" spans="1:12" ht="12.75" customHeight="1" x14ac:dyDescent="0.25">
      <c r="A231" s="93">
        <v>5183</v>
      </c>
      <c r="B231" s="140">
        <v>414000</v>
      </c>
      <c r="C231" s="82" t="s">
        <v>213</v>
      </c>
      <c r="D231" s="100">
        <f>SUM(D232:D239)</f>
        <v>13972</v>
      </c>
      <c r="E231" s="100">
        <f t="shared" si="63"/>
        <v>13068</v>
      </c>
      <c r="F231" s="100">
        <f t="shared" ref="F231:K231" si="71">SUM(F232:F239)</f>
        <v>0</v>
      </c>
      <c r="G231" s="100">
        <f t="shared" si="71"/>
        <v>0</v>
      </c>
      <c r="H231" s="100">
        <f t="shared" si="71"/>
        <v>0</v>
      </c>
      <c r="I231" s="100">
        <f t="shared" si="71"/>
        <v>12956</v>
      </c>
      <c r="J231" s="100">
        <f t="shared" si="71"/>
        <v>0</v>
      </c>
      <c r="K231" s="101">
        <f t="shared" si="71"/>
        <v>112</v>
      </c>
      <c r="L231" s="137">
        <f t="shared" si="65"/>
        <v>0.93529916976810767</v>
      </c>
    </row>
    <row r="232" spans="1:12" ht="12.75" hidden="1" customHeight="1" x14ac:dyDescent="0.25">
      <c r="A232" s="94">
        <v>5184</v>
      </c>
      <c r="B232" s="145">
        <v>414100</v>
      </c>
      <c r="C232" s="84" t="s">
        <v>214</v>
      </c>
      <c r="D232" s="108"/>
      <c r="E232" s="109">
        <f t="shared" si="63"/>
        <v>0</v>
      </c>
      <c r="F232" s="108"/>
      <c r="G232" s="108"/>
      <c r="H232" s="108"/>
      <c r="I232" s="108"/>
      <c r="J232" s="108"/>
      <c r="K232" s="110"/>
      <c r="L232" s="137" t="e">
        <f t="shared" si="65"/>
        <v>#DIV/0!</v>
      </c>
    </row>
    <row r="233" spans="1:12" ht="12.75" hidden="1" customHeight="1" x14ac:dyDescent="0.25">
      <c r="A233" s="94">
        <v>5185</v>
      </c>
      <c r="B233" s="145">
        <v>414200</v>
      </c>
      <c r="C233" s="84" t="s">
        <v>215</v>
      </c>
      <c r="D233" s="108"/>
      <c r="E233" s="109">
        <f t="shared" si="63"/>
        <v>0</v>
      </c>
      <c r="F233" s="108"/>
      <c r="G233" s="108"/>
      <c r="H233" s="108"/>
      <c r="I233" s="108"/>
      <c r="J233" s="108"/>
      <c r="K233" s="110"/>
      <c r="L233" s="137" t="e">
        <f t="shared" si="65"/>
        <v>#DIV/0!</v>
      </c>
    </row>
    <row r="234" spans="1:12" ht="12.75" customHeight="1" x14ac:dyDescent="0.25">
      <c r="A234" s="94">
        <v>5186</v>
      </c>
      <c r="B234" s="145">
        <v>414300</v>
      </c>
      <c r="C234" s="84" t="s">
        <v>216</v>
      </c>
      <c r="D234" s="108">
        <v>5300</v>
      </c>
      <c r="E234" s="109">
        <f t="shared" si="63"/>
        <v>4774</v>
      </c>
      <c r="F234" s="108"/>
      <c r="G234" s="108"/>
      <c r="H234" s="108"/>
      <c r="I234" s="108">
        <v>4662</v>
      </c>
      <c r="J234" s="108"/>
      <c r="K234" s="110">
        <v>112</v>
      </c>
      <c r="L234" s="137">
        <f t="shared" si="65"/>
        <v>0.90075471698113208</v>
      </c>
    </row>
    <row r="235" spans="1:12" ht="12.75" hidden="1" customHeight="1" x14ac:dyDescent="0.25">
      <c r="A235" s="583" t="s">
        <v>0</v>
      </c>
      <c r="B235" s="584" t="s">
        <v>1</v>
      </c>
      <c r="C235" s="585" t="s">
        <v>2</v>
      </c>
      <c r="D235" s="585"/>
      <c r="E235" s="575" t="s">
        <v>198</v>
      </c>
      <c r="F235" s="589"/>
      <c r="G235" s="589"/>
      <c r="H235" s="589"/>
      <c r="I235" s="589"/>
      <c r="J235" s="589"/>
      <c r="K235" s="592"/>
      <c r="L235" s="137"/>
    </row>
    <row r="236" spans="1:12" ht="12.75" hidden="1" customHeight="1" x14ac:dyDescent="0.25">
      <c r="A236" s="583"/>
      <c r="B236" s="584"/>
      <c r="C236" s="585"/>
      <c r="D236" s="585"/>
      <c r="E236" s="575" t="s">
        <v>199</v>
      </c>
      <c r="F236" s="575" t="s">
        <v>200</v>
      </c>
      <c r="G236" s="589"/>
      <c r="H236" s="589"/>
      <c r="I236" s="589"/>
      <c r="J236" s="575" t="s">
        <v>7</v>
      </c>
      <c r="K236" s="582" t="s">
        <v>8</v>
      </c>
      <c r="L236" s="137"/>
    </row>
    <row r="237" spans="1:12" ht="12.75" hidden="1" customHeight="1" x14ac:dyDescent="0.25">
      <c r="A237" s="583"/>
      <c r="B237" s="584"/>
      <c r="C237" s="585"/>
      <c r="D237" s="585"/>
      <c r="E237" s="589"/>
      <c r="F237" s="140" t="s">
        <v>201</v>
      </c>
      <c r="G237" s="140" t="s">
        <v>10</v>
      </c>
      <c r="H237" s="140" t="s">
        <v>11</v>
      </c>
      <c r="I237" s="140" t="s">
        <v>12</v>
      </c>
      <c r="J237" s="589"/>
      <c r="K237" s="592"/>
      <c r="L237" s="137"/>
    </row>
    <row r="238" spans="1:12" ht="12.75" hidden="1" customHeight="1" x14ac:dyDescent="0.25">
      <c r="A238" s="95" t="s">
        <v>18</v>
      </c>
      <c r="B238" s="139" t="s">
        <v>19</v>
      </c>
      <c r="C238" s="139" t="s">
        <v>20</v>
      </c>
      <c r="D238" s="139"/>
      <c r="E238" s="139" t="s">
        <v>22</v>
      </c>
      <c r="F238" s="139" t="s">
        <v>23</v>
      </c>
      <c r="G238" s="139" t="s">
        <v>24</v>
      </c>
      <c r="H238" s="139" t="s">
        <v>25</v>
      </c>
      <c r="I238" s="139" t="s">
        <v>26</v>
      </c>
      <c r="J238" s="139" t="s">
        <v>27</v>
      </c>
      <c r="K238" s="99" t="s">
        <v>28</v>
      </c>
      <c r="L238" s="137" t="e">
        <f t="shared" si="65"/>
        <v>#DIV/0!</v>
      </c>
    </row>
    <row r="239" spans="1:12" ht="25.5" customHeight="1" x14ac:dyDescent="0.25">
      <c r="A239" s="94">
        <v>5187</v>
      </c>
      <c r="B239" s="145">
        <v>414400</v>
      </c>
      <c r="C239" s="84" t="s">
        <v>218</v>
      </c>
      <c r="D239" s="108">
        <f>600+8072</f>
        <v>8672</v>
      </c>
      <c r="E239" s="109">
        <f t="shared" si="63"/>
        <v>8294</v>
      </c>
      <c r="F239" s="108"/>
      <c r="G239" s="108"/>
      <c r="H239" s="108"/>
      <c r="I239" s="108">
        <v>8294</v>
      </c>
      <c r="J239" s="108"/>
      <c r="K239" s="110"/>
      <c r="L239" s="137">
        <f t="shared" si="65"/>
        <v>0.95641143911439119</v>
      </c>
    </row>
    <row r="240" spans="1:12" ht="12.75" customHeight="1" x14ac:dyDescent="0.25">
      <c r="A240" s="93">
        <v>5188</v>
      </c>
      <c r="B240" s="140">
        <v>415000</v>
      </c>
      <c r="C240" s="82" t="s">
        <v>219</v>
      </c>
      <c r="D240" s="100">
        <f>D241</f>
        <v>20976</v>
      </c>
      <c r="E240" s="100">
        <f t="shared" si="63"/>
        <v>10082</v>
      </c>
      <c r="F240" s="100">
        <f t="shared" ref="F240:K240" si="72">F241</f>
        <v>0</v>
      </c>
      <c r="G240" s="100">
        <f t="shared" si="72"/>
        <v>0</v>
      </c>
      <c r="H240" s="100">
        <f t="shared" si="72"/>
        <v>0</v>
      </c>
      <c r="I240" s="100">
        <f t="shared" si="72"/>
        <v>9800</v>
      </c>
      <c r="J240" s="100">
        <f t="shared" si="72"/>
        <v>0</v>
      </c>
      <c r="K240" s="101">
        <f t="shared" si="72"/>
        <v>282</v>
      </c>
      <c r="L240" s="137">
        <f t="shared" si="65"/>
        <v>0.48064454614797864</v>
      </c>
    </row>
    <row r="241" spans="1:12" ht="12.75" customHeight="1" x14ac:dyDescent="0.25">
      <c r="A241" s="94">
        <v>5189</v>
      </c>
      <c r="B241" s="145">
        <v>415100</v>
      </c>
      <c r="C241" s="84" t="s">
        <v>220</v>
      </c>
      <c r="D241" s="108">
        <v>20976</v>
      </c>
      <c r="E241" s="109">
        <f t="shared" si="63"/>
        <v>10082</v>
      </c>
      <c r="F241" s="108"/>
      <c r="G241" s="108"/>
      <c r="H241" s="108"/>
      <c r="I241" s="108">
        <v>9800</v>
      </c>
      <c r="J241" s="108"/>
      <c r="K241" s="110">
        <v>282</v>
      </c>
      <c r="L241" s="137">
        <f t="shared" si="65"/>
        <v>0.48064454614797864</v>
      </c>
    </row>
    <row r="242" spans="1:12" ht="12.75" customHeight="1" x14ac:dyDescent="0.25">
      <c r="A242" s="93">
        <v>5190</v>
      </c>
      <c r="B242" s="140">
        <v>416000</v>
      </c>
      <c r="C242" s="82" t="s">
        <v>221</v>
      </c>
      <c r="D242" s="100">
        <f>D243</f>
        <v>12500</v>
      </c>
      <c r="E242" s="119">
        <f t="shared" si="63"/>
        <v>7338</v>
      </c>
      <c r="F242" s="119">
        <f t="shared" ref="F242:K242" si="73">F243</f>
        <v>0</v>
      </c>
      <c r="G242" s="119">
        <f t="shared" si="73"/>
        <v>0</v>
      </c>
      <c r="H242" s="119">
        <f t="shared" si="73"/>
        <v>0</v>
      </c>
      <c r="I242" s="119">
        <f t="shared" si="73"/>
        <v>7338</v>
      </c>
      <c r="J242" s="119">
        <f t="shared" si="73"/>
        <v>0</v>
      </c>
      <c r="K242" s="120">
        <f t="shared" si="73"/>
        <v>0</v>
      </c>
      <c r="L242" s="137">
        <f t="shared" si="65"/>
        <v>0.58704000000000001</v>
      </c>
    </row>
    <row r="243" spans="1:12" ht="12.75" customHeight="1" x14ac:dyDescent="0.25">
      <c r="A243" s="94">
        <v>5191</v>
      </c>
      <c r="B243" s="145">
        <v>416100</v>
      </c>
      <c r="C243" s="84" t="s">
        <v>222</v>
      </c>
      <c r="D243" s="108">
        <v>12500</v>
      </c>
      <c r="E243" s="109">
        <f t="shared" si="63"/>
        <v>7338</v>
      </c>
      <c r="F243" s="108"/>
      <c r="G243" s="108"/>
      <c r="H243" s="108"/>
      <c r="I243" s="108">
        <v>7338</v>
      </c>
      <c r="J243" s="108"/>
      <c r="K243" s="110"/>
      <c r="L243" s="137">
        <f t="shared" si="65"/>
        <v>0.58704000000000001</v>
      </c>
    </row>
    <row r="244" spans="1:12" ht="12.75" hidden="1" customHeight="1" x14ac:dyDescent="0.25">
      <c r="A244" s="93">
        <v>5192</v>
      </c>
      <c r="B244" s="140">
        <v>417000</v>
      </c>
      <c r="C244" s="82" t="s">
        <v>223</v>
      </c>
      <c r="D244" s="100">
        <f>D245</f>
        <v>0</v>
      </c>
      <c r="E244" s="100">
        <f t="shared" si="63"/>
        <v>0</v>
      </c>
      <c r="F244" s="100">
        <f t="shared" ref="F244:K244" si="74">F245</f>
        <v>0</v>
      </c>
      <c r="G244" s="100">
        <f t="shared" si="74"/>
        <v>0</v>
      </c>
      <c r="H244" s="100">
        <f t="shared" si="74"/>
        <v>0</v>
      </c>
      <c r="I244" s="100">
        <f t="shared" si="74"/>
        <v>0</v>
      </c>
      <c r="J244" s="100">
        <f t="shared" si="74"/>
        <v>0</v>
      </c>
      <c r="K244" s="101">
        <f t="shared" si="74"/>
        <v>0</v>
      </c>
      <c r="L244" s="137" t="e">
        <f t="shared" si="65"/>
        <v>#DIV/0!</v>
      </c>
    </row>
    <row r="245" spans="1:12" ht="12.75" hidden="1" customHeight="1" x14ac:dyDescent="0.25">
      <c r="A245" s="94">
        <v>5193</v>
      </c>
      <c r="B245" s="145">
        <v>417100</v>
      </c>
      <c r="C245" s="84" t="s">
        <v>224</v>
      </c>
      <c r="D245" s="108"/>
      <c r="E245" s="109">
        <f t="shared" si="63"/>
        <v>0</v>
      </c>
      <c r="F245" s="108"/>
      <c r="G245" s="108"/>
      <c r="H245" s="108"/>
      <c r="I245" s="108"/>
      <c r="J245" s="108"/>
      <c r="K245" s="110"/>
      <c r="L245" s="137" t="e">
        <f t="shared" si="65"/>
        <v>#DIV/0!</v>
      </c>
    </row>
    <row r="246" spans="1:12" ht="12.75" hidden="1" customHeight="1" x14ac:dyDescent="0.25">
      <c r="A246" s="93">
        <v>5194</v>
      </c>
      <c r="B246" s="140">
        <v>418000</v>
      </c>
      <c r="C246" s="82" t="s">
        <v>225</v>
      </c>
      <c r="D246" s="100">
        <f>D247</f>
        <v>0</v>
      </c>
      <c r="E246" s="100">
        <f t="shared" si="63"/>
        <v>0</v>
      </c>
      <c r="F246" s="100">
        <f t="shared" ref="F246:K246" si="75">F247</f>
        <v>0</v>
      </c>
      <c r="G246" s="100">
        <f t="shared" si="75"/>
        <v>0</v>
      </c>
      <c r="H246" s="100">
        <f t="shared" si="75"/>
        <v>0</v>
      </c>
      <c r="I246" s="100">
        <f t="shared" si="75"/>
        <v>0</v>
      </c>
      <c r="J246" s="100">
        <f t="shared" si="75"/>
        <v>0</v>
      </c>
      <c r="K246" s="101">
        <f t="shared" si="75"/>
        <v>0</v>
      </c>
      <c r="L246" s="137" t="e">
        <f t="shared" si="65"/>
        <v>#DIV/0!</v>
      </c>
    </row>
    <row r="247" spans="1:12" ht="12.75" hidden="1" customHeight="1" x14ac:dyDescent="0.25">
      <c r="A247" s="94">
        <v>5195</v>
      </c>
      <c r="B247" s="145">
        <v>418100</v>
      </c>
      <c r="C247" s="84" t="s">
        <v>226</v>
      </c>
      <c r="D247" s="108"/>
      <c r="E247" s="109">
        <f t="shared" si="63"/>
        <v>0</v>
      </c>
      <c r="F247" s="108"/>
      <c r="G247" s="108"/>
      <c r="H247" s="108"/>
      <c r="I247" s="108"/>
      <c r="J247" s="108"/>
      <c r="K247" s="110"/>
      <c r="L247" s="137" t="e">
        <f t="shared" si="65"/>
        <v>#DIV/0!</v>
      </c>
    </row>
    <row r="248" spans="1:12" ht="12.75" customHeight="1" x14ac:dyDescent="0.25">
      <c r="A248" s="93">
        <v>5196</v>
      </c>
      <c r="B248" s="140">
        <v>420000</v>
      </c>
      <c r="C248" s="82" t="s">
        <v>227</v>
      </c>
      <c r="D248" s="100">
        <f>D249+D257+D263+D276+D284+D287</f>
        <v>398328</v>
      </c>
      <c r="E248" s="100">
        <f t="shared" si="63"/>
        <v>202052</v>
      </c>
      <c r="F248" s="100">
        <f t="shared" ref="F248:K248" si="76">F249+F257+F263+F276+F284+F287</f>
        <v>1396</v>
      </c>
      <c r="G248" s="100">
        <f t="shared" si="76"/>
        <v>0</v>
      </c>
      <c r="H248" s="100">
        <f t="shared" si="76"/>
        <v>0</v>
      </c>
      <c r="I248" s="100">
        <f t="shared" si="76"/>
        <v>193645</v>
      </c>
      <c r="J248" s="100">
        <f t="shared" si="76"/>
        <v>0</v>
      </c>
      <c r="K248" s="101">
        <f t="shared" si="76"/>
        <v>7011</v>
      </c>
      <c r="L248" s="137">
        <f t="shared" si="65"/>
        <v>0.50725030628025147</v>
      </c>
    </row>
    <row r="249" spans="1:12" ht="12.75" customHeight="1" x14ac:dyDescent="0.25">
      <c r="A249" s="93">
        <v>5197</v>
      </c>
      <c r="B249" s="140">
        <v>421000</v>
      </c>
      <c r="C249" s="82" t="s">
        <v>228</v>
      </c>
      <c r="D249" s="100">
        <f>SUM(D250:D256)</f>
        <v>90660</v>
      </c>
      <c r="E249" s="100">
        <f t="shared" si="63"/>
        <v>54714</v>
      </c>
      <c r="F249" s="100">
        <f t="shared" ref="F249:K249" si="77">SUM(F250:F256)</f>
        <v>0</v>
      </c>
      <c r="G249" s="100">
        <f t="shared" si="77"/>
        <v>0</v>
      </c>
      <c r="H249" s="100">
        <f t="shared" si="77"/>
        <v>0</v>
      </c>
      <c r="I249" s="100">
        <f t="shared" si="77"/>
        <v>52729</v>
      </c>
      <c r="J249" s="100">
        <f t="shared" si="77"/>
        <v>0</v>
      </c>
      <c r="K249" s="101">
        <f t="shared" si="77"/>
        <v>1985</v>
      </c>
      <c r="L249" s="137">
        <f t="shared" si="65"/>
        <v>0.60350761085373927</v>
      </c>
    </row>
    <row r="250" spans="1:12" ht="12.75" customHeight="1" x14ac:dyDescent="0.25">
      <c r="A250" s="94">
        <v>5198</v>
      </c>
      <c r="B250" s="145">
        <v>421100</v>
      </c>
      <c r="C250" s="84" t="s">
        <v>229</v>
      </c>
      <c r="D250" s="108">
        <v>1513</v>
      </c>
      <c r="E250" s="109">
        <f t="shared" si="63"/>
        <v>696</v>
      </c>
      <c r="F250" s="108"/>
      <c r="G250" s="108"/>
      <c r="H250" s="108"/>
      <c r="I250" s="108">
        <v>659</v>
      </c>
      <c r="J250" s="108"/>
      <c r="K250" s="110">
        <v>37</v>
      </c>
      <c r="L250" s="137">
        <f t="shared" si="65"/>
        <v>0.46001321877065432</v>
      </c>
    </row>
    <row r="251" spans="1:12" ht="12.75" customHeight="1" x14ac:dyDescent="0.25">
      <c r="A251" s="94">
        <v>5199</v>
      </c>
      <c r="B251" s="145">
        <v>421200</v>
      </c>
      <c r="C251" s="84" t="s">
        <v>230</v>
      </c>
      <c r="D251" s="108">
        <v>73600</v>
      </c>
      <c r="E251" s="109">
        <f t="shared" si="63"/>
        <v>46801</v>
      </c>
      <c r="F251" s="108"/>
      <c r="G251" s="108"/>
      <c r="H251" s="108"/>
      <c r="I251" s="108">
        <v>46695</v>
      </c>
      <c r="J251" s="108"/>
      <c r="K251" s="110">
        <v>106</v>
      </c>
      <c r="L251" s="137">
        <f t="shared" si="65"/>
        <v>0.635883152173913</v>
      </c>
    </row>
    <row r="252" spans="1:12" ht="12.75" customHeight="1" x14ac:dyDescent="0.25">
      <c r="A252" s="94">
        <v>5200</v>
      </c>
      <c r="B252" s="145">
        <v>421300</v>
      </c>
      <c r="C252" s="84" t="s">
        <v>231</v>
      </c>
      <c r="D252" s="108">
        <v>10447</v>
      </c>
      <c r="E252" s="109">
        <f t="shared" si="63"/>
        <v>5245</v>
      </c>
      <c r="F252" s="108"/>
      <c r="G252" s="108"/>
      <c r="H252" s="108"/>
      <c r="I252" s="108">
        <v>4001</v>
      </c>
      <c r="J252" s="108"/>
      <c r="K252" s="110">
        <v>1244</v>
      </c>
      <c r="L252" s="137">
        <f t="shared" si="65"/>
        <v>0.50205800708337323</v>
      </c>
    </row>
    <row r="253" spans="1:12" ht="12.75" customHeight="1" x14ac:dyDescent="0.25">
      <c r="A253" s="94">
        <v>5201</v>
      </c>
      <c r="B253" s="145">
        <v>421400</v>
      </c>
      <c r="C253" s="84" t="s">
        <v>232</v>
      </c>
      <c r="D253" s="108">
        <v>2208</v>
      </c>
      <c r="E253" s="109">
        <f t="shared" si="63"/>
        <v>1051</v>
      </c>
      <c r="F253" s="108"/>
      <c r="G253" s="108"/>
      <c r="H253" s="108"/>
      <c r="I253" s="108">
        <v>593</v>
      </c>
      <c r="J253" s="108"/>
      <c r="K253" s="110">
        <v>458</v>
      </c>
      <c r="L253" s="137">
        <f t="shared" si="65"/>
        <v>0.47599637681159418</v>
      </c>
    </row>
    <row r="254" spans="1:12" ht="12.75" customHeight="1" x14ac:dyDescent="0.25">
      <c r="A254" s="94">
        <v>5202</v>
      </c>
      <c r="B254" s="145">
        <v>421500</v>
      </c>
      <c r="C254" s="84" t="s">
        <v>233</v>
      </c>
      <c r="D254" s="108">
        <v>2892</v>
      </c>
      <c r="E254" s="109">
        <f t="shared" si="63"/>
        <v>921</v>
      </c>
      <c r="F254" s="108"/>
      <c r="G254" s="108"/>
      <c r="H254" s="108"/>
      <c r="I254" s="108">
        <v>781</v>
      </c>
      <c r="J254" s="108"/>
      <c r="K254" s="110">
        <v>140</v>
      </c>
      <c r="L254" s="137">
        <f t="shared" si="65"/>
        <v>0.31846473029045641</v>
      </c>
    </row>
    <row r="255" spans="1:12" ht="12.75" hidden="1" customHeight="1" x14ac:dyDescent="0.25">
      <c r="A255" s="94">
        <v>5203</v>
      </c>
      <c r="B255" s="145">
        <v>421600</v>
      </c>
      <c r="C255" s="84" t="s">
        <v>234</v>
      </c>
      <c r="D255" s="108"/>
      <c r="E255" s="109">
        <f t="shared" si="63"/>
        <v>0</v>
      </c>
      <c r="F255" s="108"/>
      <c r="G255" s="108"/>
      <c r="H255" s="108"/>
      <c r="I255" s="108"/>
      <c r="J255" s="108"/>
      <c r="K255" s="110"/>
      <c r="L255" s="137" t="e">
        <f t="shared" si="65"/>
        <v>#DIV/0!</v>
      </c>
    </row>
    <row r="256" spans="1:12" ht="12.75" hidden="1" customHeight="1" x14ac:dyDescent="0.25">
      <c r="A256" s="94">
        <v>5204</v>
      </c>
      <c r="B256" s="145">
        <v>421900</v>
      </c>
      <c r="C256" s="84" t="s">
        <v>235</v>
      </c>
      <c r="D256" s="108"/>
      <c r="E256" s="109">
        <f t="shared" si="63"/>
        <v>0</v>
      </c>
      <c r="F256" s="108"/>
      <c r="G256" s="108"/>
      <c r="H256" s="108"/>
      <c r="I256" s="108"/>
      <c r="J256" s="108"/>
      <c r="K256" s="110"/>
      <c r="L256" s="137" t="e">
        <f t="shared" si="65"/>
        <v>#DIV/0!</v>
      </c>
    </row>
    <row r="257" spans="1:12" ht="12.75" customHeight="1" x14ac:dyDescent="0.25">
      <c r="A257" s="93">
        <v>5205</v>
      </c>
      <c r="B257" s="140">
        <v>422000</v>
      </c>
      <c r="C257" s="82" t="s">
        <v>236</v>
      </c>
      <c r="D257" s="100">
        <f>SUM(D258:D262)</f>
        <v>650</v>
      </c>
      <c r="E257" s="100">
        <f t="shared" si="63"/>
        <v>178</v>
      </c>
      <c r="F257" s="100">
        <f t="shared" ref="F257:K257" si="78">SUM(F258:F262)</f>
        <v>0</v>
      </c>
      <c r="G257" s="100">
        <f t="shared" si="78"/>
        <v>0</v>
      </c>
      <c r="H257" s="100">
        <f t="shared" si="78"/>
        <v>0</v>
      </c>
      <c r="I257" s="100">
        <f t="shared" si="78"/>
        <v>56</v>
      </c>
      <c r="J257" s="100">
        <f t="shared" si="78"/>
        <v>0</v>
      </c>
      <c r="K257" s="101">
        <f t="shared" si="78"/>
        <v>122</v>
      </c>
      <c r="L257" s="137">
        <f t="shared" si="65"/>
        <v>0.27384615384615385</v>
      </c>
    </row>
    <row r="258" spans="1:12" ht="12.75" customHeight="1" x14ac:dyDescent="0.25">
      <c r="A258" s="94">
        <v>5206</v>
      </c>
      <c r="B258" s="145">
        <v>422100</v>
      </c>
      <c r="C258" s="84" t="s">
        <v>237</v>
      </c>
      <c r="D258" s="108">
        <v>650</v>
      </c>
      <c r="E258" s="109">
        <f t="shared" si="63"/>
        <v>178</v>
      </c>
      <c r="F258" s="108"/>
      <c r="G258" s="108"/>
      <c r="H258" s="108"/>
      <c r="I258" s="108">
        <v>56</v>
      </c>
      <c r="J258" s="108"/>
      <c r="K258" s="110">
        <v>122</v>
      </c>
      <c r="L258" s="137">
        <f t="shared" si="65"/>
        <v>0.27384615384615385</v>
      </c>
    </row>
    <row r="259" spans="1:12" ht="12.75" hidden="1" customHeight="1" x14ac:dyDescent="0.25">
      <c r="A259" s="94">
        <v>5207</v>
      </c>
      <c r="B259" s="145">
        <v>422200</v>
      </c>
      <c r="C259" s="84" t="s">
        <v>238</v>
      </c>
      <c r="D259" s="108"/>
      <c r="E259" s="109">
        <f t="shared" si="63"/>
        <v>0</v>
      </c>
      <c r="F259" s="108"/>
      <c r="G259" s="108"/>
      <c r="H259" s="108"/>
      <c r="I259" s="108"/>
      <c r="J259" s="108"/>
      <c r="K259" s="110"/>
      <c r="L259" s="137" t="e">
        <f t="shared" si="65"/>
        <v>#DIV/0!</v>
      </c>
    </row>
    <row r="260" spans="1:12" ht="12.75" hidden="1" customHeight="1" x14ac:dyDescent="0.25">
      <c r="A260" s="94">
        <v>5208</v>
      </c>
      <c r="B260" s="145">
        <v>422300</v>
      </c>
      <c r="C260" s="84" t="s">
        <v>239</v>
      </c>
      <c r="D260" s="108"/>
      <c r="E260" s="109">
        <f t="shared" si="63"/>
        <v>0</v>
      </c>
      <c r="F260" s="108"/>
      <c r="G260" s="108"/>
      <c r="H260" s="108"/>
      <c r="I260" s="108"/>
      <c r="J260" s="108"/>
      <c r="K260" s="110"/>
      <c r="L260" s="137" t="e">
        <f t="shared" si="65"/>
        <v>#DIV/0!</v>
      </c>
    </row>
    <row r="261" spans="1:12" ht="12.75" hidden="1" customHeight="1" x14ac:dyDescent="0.25">
      <c r="A261" s="94">
        <v>5209</v>
      </c>
      <c r="B261" s="145">
        <v>422400</v>
      </c>
      <c r="C261" s="84" t="s">
        <v>240</v>
      </c>
      <c r="D261" s="108"/>
      <c r="E261" s="109">
        <f t="shared" si="63"/>
        <v>0</v>
      </c>
      <c r="F261" s="108"/>
      <c r="G261" s="108"/>
      <c r="H261" s="108"/>
      <c r="I261" s="108"/>
      <c r="J261" s="108"/>
      <c r="K261" s="110"/>
      <c r="L261" s="137" t="e">
        <f t="shared" si="65"/>
        <v>#DIV/0!</v>
      </c>
    </row>
    <row r="262" spans="1:12" ht="12.75" hidden="1" customHeight="1" x14ac:dyDescent="0.25">
      <c r="A262" s="94">
        <v>5210</v>
      </c>
      <c r="B262" s="145">
        <v>422900</v>
      </c>
      <c r="C262" s="84" t="s">
        <v>241</v>
      </c>
      <c r="D262" s="108"/>
      <c r="E262" s="109">
        <f t="shared" si="63"/>
        <v>0</v>
      </c>
      <c r="F262" s="108"/>
      <c r="G262" s="108"/>
      <c r="H262" s="108"/>
      <c r="I262" s="108"/>
      <c r="J262" s="108"/>
      <c r="K262" s="110"/>
      <c r="L262" s="137" t="e">
        <f t="shared" si="65"/>
        <v>#DIV/0!</v>
      </c>
    </row>
    <row r="263" spans="1:12" ht="12.75" customHeight="1" x14ac:dyDescent="0.25">
      <c r="A263" s="93">
        <v>5211</v>
      </c>
      <c r="B263" s="140">
        <v>423000</v>
      </c>
      <c r="C263" s="82" t="s">
        <v>242</v>
      </c>
      <c r="D263" s="100">
        <f>SUM(D264:D275)</f>
        <v>8511</v>
      </c>
      <c r="E263" s="100">
        <f t="shared" si="63"/>
        <v>4453</v>
      </c>
      <c r="F263" s="100">
        <f t="shared" ref="F263:K263" si="79">SUM(F264:F275)</f>
        <v>0</v>
      </c>
      <c r="G263" s="100">
        <f t="shared" si="79"/>
        <v>0</v>
      </c>
      <c r="H263" s="100">
        <f t="shared" si="79"/>
        <v>0</v>
      </c>
      <c r="I263" s="100">
        <f t="shared" si="79"/>
        <v>2531</v>
      </c>
      <c r="J263" s="100">
        <f t="shared" si="79"/>
        <v>0</v>
      </c>
      <c r="K263" s="101">
        <f t="shared" si="79"/>
        <v>1922</v>
      </c>
      <c r="L263" s="137">
        <f t="shared" si="65"/>
        <v>0.52320526377628951</v>
      </c>
    </row>
    <row r="264" spans="1:12" ht="12.75" hidden="1" customHeight="1" x14ac:dyDescent="0.25">
      <c r="A264" s="94">
        <v>5212</v>
      </c>
      <c r="B264" s="145">
        <v>423100</v>
      </c>
      <c r="C264" s="84" t="s">
        <v>243</v>
      </c>
      <c r="D264" s="108"/>
      <c r="E264" s="109">
        <f t="shared" si="63"/>
        <v>0</v>
      </c>
      <c r="F264" s="108"/>
      <c r="G264" s="108"/>
      <c r="H264" s="108"/>
      <c r="I264" s="108"/>
      <c r="J264" s="108"/>
      <c r="K264" s="110"/>
      <c r="L264" s="137" t="e">
        <f t="shared" si="65"/>
        <v>#DIV/0!</v>
      </c>
    </row>
    <row r="265" spans="1:12" ht="12.75" customHeight="1" x14ac:dyDescent="0.25">
      <c r="A265" s="94">
        <v>5213</v>
      </c>
      <c r="B265" s="145">
        <v>423200</v>
      </c>
      <c r="C265" s="84" t="s">
        <v>244</v>
      </c>
      <c r="D265" s="108">
        <v>3606</v>
      </c>
      <c r="E265" s="109">
        <f t="shared" si="63"/>
        <v>2186</v>
      </c>
      <c r="F265" s="108"/>
      <c r="G265" s="108"/>
      <c r="H265" s="108"/>
      <c r="I265" s="108">
        <v>2186</v>
      </c>
      <c r="J265" s="108"/>
      <c r="K265" s="110"/>
      <c r="L265" s="137">
        <f t="shared" si="65"/>
        <v>0.60621186910704383</v>
      </c>
    </row>
    <row r="266" spans="1:12" ht="12.75" customHeight="1" x14ac:dyDescent="0.25">
      <c r="A266" s="94">
        <v>5214</v>
      </c>
      <c r="B266" s="145">
        <v>423300</v>
      </c>
      <c r="C266" s="84" t="s">
        <v>245</v>
      </c>
      <c r="D266" s="108">
        <v>3060</v>
      </c>
      <c r="E266" s="109">
        <f t="shared" si="63"/>
        <v>1512</v>
      </c>
      <c r="F266" s="108"/>
      <c r="G266" s="108"/>
      <c r="H266" s="108"/>
      <c r="I266" s="108">
        <v>345</v>
      </c>
      <c r="J266" s="108"/>
      <c r="K266" s="110">
        <v>1167</v>
      </c>
      <c r="L266" s="137">
        <f t="shared" si="65"/>
        <v>0.49411764705882355</v>
      </c>
    </row>
    <row r="267" spans="1:12" ht="12.75" customHeight="1" x14ac:dyDescent="0.25">
      <c r="A267" s="94">
        <v>5215</v>
      </c>
      <c r="B267" s="145">
        <v>423400</v>
      </c>
      <c r="C267" s="84" t="s">
        <v>246</v>
      </c>
      <c r="D267" s="108">
        <v>260</v>
      </c>
      <c r="E267" s="109">
        <f t="shared" si="63"/>
        <v>64</v>
      </c>
      <c r="F267" s="108"/>
      <c r="G267" s="108"/>
      <c r="H267" s="108"/>
      <c r="I267" s="108"/>
      <c r="J267" s="108"/>
      <c r="K267" s="110">
        <v>64</v>
      </c>
      <c r="L267" s="137">
        <f t="shared" si="65"/>
        <v>0.24615384615384617</v>
      </c>
    </row>
    <row r="268" spans="1:12" ht="12.75" customHeight="1" x14ac:dyDescent="0.25">
      <c r="A268" s="94">
        <v>5216</v>
      </c>
      <c r="B268" s="145">
        <v>423500</v>
      </c>
      <c r="C268" s="84" t="s">
        <v>247</v>
      </c>
      <c r="D268" s="108">
        <v>1125</v>
      </c>
      <c r="E268" s="109">
        <f t="shared" si="63"/>
        <v>469</v>
      </c>
      <c r="F268" s="108"/>
      <c r="G268" s="108"/>
      <c r="H268" s="108"/>
      <c r="I268" s="108"/>
      <c r="J268" s="108"/>
      <c r="K268" s="110">
        <v>469</v>
      </c>
      <c r="L268" s="137">
        <f t="shared" si="65"/>
        <v>0.41688888888888886</v>
      </c>
    </row>
    <row r="269" spans="1:12" ht="12.75" hidden="1" customHeight="1" x14ac:dyDescent="0.25">
      <c r="A269" s="94">
        <v>5217</v>
      </c>
      <c r="B269" s="145">
        <v>423600</v>
      </c>
      <c r="C269" s="84" t="s">
        <v>248</v>
      </c>
      <c r="D269" s="108"/>
      <c r="E269" s="109">
        <f t="shared" si="63"/>
        <v>0</v>
      </c>
      <c r="F269" s="108"/>
      <c r="G269" s="108"/>
      <c r="H269" s="108"/>
      <c r="I269" s="108"/>
      <c r="J269" s="108"/>
      <c r="K269" s="110"/>
      <c r="L269" s="137" t="e">
        <f t="shared" si="65"/>
        <v>#DIV/0!</v>
      </c>
    </row>
    <row r="270" spans="1:12" ht="12.75" customHeight="1" x14ac:dyDescent="0.25">
      <c r="A270" s="94">
        <v>5218</v>
      </c>
      <c r="B270" s="145">
        <v>423700</v>
      </c>
      <c r="C270" s="84" t="s">
        <v>249</v>
      </c>
      <c r="D270" s="108">
        <v>200</v>
      </c>
      <c r="E270" s="109">
        <f t="shared" si="63"/>
        <v>105</v>
      </c>
      <c r="F270" s="108"/>
      <c r="G270" s="108"/>
      <c r="H270" s="108"/>
      <c r="I270" s="108"/>
      <c r="J270" s="108"/>
      <c r="K270" s="110">
        <v>105</v>
      </c>
      <c r="L270" s="137">
        <f t="shared" si="65"/>
        <v>0.52500000000000002</v>
      </c>
    </row>
    <row r="271" spans="1:12" ht="12.75" hidden="1" customHeight="1" x14ac:dyDescent="0.25">
      <c r="A271" s="583" t="s">
        <v>0</v>
      </c>
      <c r="B271" s="584" t="s">
        <v>1</v>
      </c>
      <c r="C271" s="585" t="s">
        <v>2</v>
      </c>
      <c r="D271" s="585"/>
      <c r="E271" s="575" t="s">
        <v>198</v>
      </c>
      <c r="F271" s="589"/>
      <c r="G271" s="589"/>
      <c r="H271" s="589"/>
      <c r="I271" s="589"/>
      <c r="J271" s="589"/>
      <c r="K271" s="592"/>
      <c r="L271" s="137" t="e">
        <f t="shared" si="65"/>
        <v>#VALUE!</v>
      </c>
    </row>
    <row r="272" spans="1:12" ht="12.75" hidden="1" customHeight="1" x14ac:dyDescent="0.25">
      <c r="A272" s="583"/>
      <c r="B272" s="584"/>
      <c r="C272" s="585"/>
      <c r="D272" s="585"/>
      <c r="E272" s="575" t="s">
        <v>199</v>
      </c>
      <c r="F272" s="575" t="s">
        <v>200</v>
      </c>
      <c r="G272" s="589"/>
      <c r="H272" s="589"/>
      <c r="I272" s="589"/>
      <c r="J272" s="575" t="s">
        <v>7</v>
      </c>
      <c r="K272" s="582" t="s">
        <v>8</v>
      </c>
      <c r="L272" s="137" t="e">
        <f t="shared" si="65"/>
        <v>#VALUE!</v>
      </c>
    </row>
    <row r="273" spans="1:12" ht="12.75" hidden="1" customHeight="1" x14ac:dyDescent="0.25">
      <c r="A273" s="583"/>
      <c r="B273" s="584"/>
      <c r="C273" s="585"/>
      <c r="D273" s="585"/>
      <c r="E273" s="589"/>
      <c r="F273" s="140" t="s">
        <v>201</v>
      </c>
      <c r="G273" s="140" t="s">
        <v>10</v>
      </c>
      <c r="H273" s="140" t="s">
        <v>11</v>
      </c>
      <c r="I273" s="140" t="s">
        <v>12</v>
      </c>
      <c r="J273" s="589"/>
      <c r="K273" s="592"/>
      <c r="L273" s="137" t="e">
        <f t="shared" si="65"/>
        <v>#DIV/0!</v>
      </c>
    </row>
    <row r="274" spans="1:12" ht="12.75" hidden="1" customHeight="1" x14ac:dyDescent="0.25">
      <c r="A274" s="95" t="s">
        <v>18</v>
      </c>
      <c r="B274" s="139" t="s">
        <v>19</v>
      </c>
      <c r="C274" s="139" t="s">
        <v>20</v>
      </c>
      <c r="D274" s="139"/>
      <c r="E274" s="139" t="s">
        <v>22</v>
      </c>
      <c r="F274" s="139" t="s">
        <v>23</v>
      </c>
      <c r="G274" s="139" t="s">
        <v>24</v>
      </c>
      <c r="H274" s="139" t="s">
        <v>25</v>
      </c>
      <c r="I274" s="139" t="s">
        <v>26</v>
      </c>
      <c r="J274" s="139" t="s">
        <v>27</v>
      </c>
      <c r="K274" s="99" t="s">
        <v>28</v>
      </c>
      <c r="L274" s="137" t="e">
        <f t="shared" si="65"/>
        <v>#DIV/0!</v>
      </c>
    </row>
    <row r="275" spans="1:12" ht="12.75" customHeight="1" x14ac:dyDescent="0.25">
      <c r="A275" s="94">
        <v>5219</v>
      </c>
      <c r="B275" s="145">
        <v>423900</v>
      </c>
      <c r="C275" s="84" t="s">
        <v>250</v>
      </c>
      <c r="D275" s="108">
        <v>260</v>
      </c>
      <c r="E275" s="109">
        <f t="shared" si="63"/>
        <v>117</v>
      </c>
      <c r="F275" s="108"/>
      <c r="G275" s="108"/>
      <c r="H275" s="108"/>
      <c r="I275" s="108"/>
      <c r="J275" s="108"/>
      <c r="K275" s="110">
        <v>117</v>
      </c>
      <c r="L275" s="137">
        <f t="shared" si="65"/>
        <v>0.45</v>
      </c>
    </row>
    <row r="276" spans="1:12" ht="12.75" customHeight="1" x14ac:dyDescent="0.25">
      <c r="A276" s="93">
        <v>5220</v>
      </c>
      <c r="B276" s="140">
        <v>424000</v>
      </c>
      <c r="C276" s="82" t="s">
        <v>251</v>
      </c>
      <c r="D276" s="100">
        <f>SUM(D277:D283)</f>
        <v>6095</v>
      </c>
      <c r="E276" s="100">
        <f t="shared" si="63"/>
        <v>2789</v>
      </c>
      <c r="F276" s="100">
        <f t="shared" ref="F276:K276" si="80">SUM(F277:F283)</f>
        <v>1054</v>
      </c>
      <c r="G276" s="100">
        <f t="shared" si="80"/>
        <v>0</v>
      </c>
      <c r="H276" s="100">
        <f t="shared" si="80"/>
        <v>0</v>
      </c>
      <c r="I276" s="100">
        <f t="shared" si="80"/>
        <v>414</v>
      </c>
      <c r="J276" s="100">
        <f t="shared" si="80"/>
        <v>0</v>
      </c>
      <c r="K276" s="101">
        <f t="shared" si="80"/>
        <v>1321</v>
      </c>
      <c r="L276" s="137">
        <f t="shared" si="65"/>
        <v>0.45758818703855619</v>
      </c>
    </row>
    <row r="277" spans="1:12" ht="12.75" hidden="1" customHeight="1" x14ac:dyDescent="0.25">
      <c r="A277" s="94">
        <v>5221</v>
      </c>
      <c r="B277" s="145">
        <v>424100</v>
      </c>
      <c r="C277" s="84" t="s">
        <v>252</v>
      </c>
      <c r="D277" s="108"/>
      <c r="E277" s="109">
        <f t="shared" si="63"/>
        <v>0</v>
      </c>
      <c r="F277" s="108"/>
      <c r="G277" s="108"/>
      <c r="H277" s="108"/>
      <c r="I277" s="108"/>
      <c r="J277" s="108"/>
      <c r="K277" s="110"/>
      <c r="L277" s="137" t="e">
        <f t="shared" si="65"/>
        <v>#DIV/0!</v>
      </c>
    </row>
    <row r="278" spans="1:12" ht="12.75" hidden="1" customHeight="1" x14ac:dyDescent="0.25">
      <c r="A278" s="94">
        <v>5222</v>
      </c>
      <c r="B278" s="145">
        <v>424200</v>
      </c>
      <c r="C278" s="84" t="s">
        <v>253</v>
      </c>
      <c r="D278" s="108"/>
      <c r="E278" s="109">
        <f t="shared" si="63"/>
        <v>0</v>
      </c>
      <c r="F278" s="108"/>
      <c r="G278" s="108"/>
      <c r="H278" s="108"/>
      <c r="I278" s="108"/>
      <c r="J278" s="108"/>
      <c r="K278" s="110"/>
      <c r="L278" s="137" t="e">
        <f t="shared" si="65"/>
        <v>#DIV/0!</v>
      </c>
    </row>
    <row r="279" spans="1:12" ht="12.75" customHeight="1" x14ac:dyDescent="0.25">
      <c r="A279" s="94">
        <v>5223</v>
      </c>
      <c r="B279" s="145">
        <v>424300</v>
      </c>
      <c r="C279" s="84" t="s">
        <v>254</v>
      </c>
      <c r="D279" s="108">
        <v>1480</v>
      </c>
      <c r="E279" s="109">
        <f t="shared" si="63"/>
        <v>712</v>
      </c>
      <c r="F279" s="108"/>
      <c r="G279" s="108"/>
      <c r="H279" s="108"/>
      <c r="I279" s="108">
        <v>414</v>
      </c>
      <c r="J279" s="108"/>
      <c r="K279" s="110">
        <v>298</v>
      </c>
      <c r="L279" s="137">
        <f t="shared" si="65"/>
        <v>0.48108108108108111</v>
      </c>
    </row>
    <row r="280" spans="1:12" ht="12.75" hidden="1" customHeight="1" x14ac:dyDescent="0.25">
      <c r="A280" s="94">
        <v>5224</v>
      </c>
      <c r="B280" s="145">
        <v>424400</v>
      </c>
      <c r="C280" s="84" t="s">
        <v>255</v>
      </c>
      <c r="D280" s="108"/>
      <c r="E280" s="109">
        <f t="shared" si="63"/>
        <v>0</v>
      </c>
      <c r="F280" s="108"/>
      <c r="G280" s="108"/>
      <c r="H280" s="108"/>
      <c r="I280" s="108"/>
      <c r="J280" s="108"/>
      <c r="K280" s="110"/>
      <c r="L280" s="137" t="e">
        <f t="shared" si="65"/>
        <v>#DIV/0!</v>
      </c>
    </row>
    <row r="281" spans="1:12" ht="12.75" hidden="1" customHeight="1" x14ac:dyDescent="0.25">
      <c r="A281" s="94">
        <v>5225</v>
      </c>
      <c r="B281" s="145">
        <v>424500</v>
      </c>
      <c r="C281" s="84" t="s">
        <v>256</v>
      </c>
      <c r="D281" s="108"/>
      <c r="E281" s="109">
        <f t="shared" si="63"/>
        <v>0</v>
      </c>
      <c r="F281" s="108"/>
      <c r="G281" s="108"/>
      <c r="H281" s="108"/>
      <c r="I281" s="108"/>
      <c r="J281" s="108"/>
      <c r="K281" s="110"/>
      <c r="L281" s="137" t="e">
        <f t="shared" si="65"/>
        <v>#DIV/0!</v>
      </c>
    </row>
    <row r="282" spans="1:12" ht="12.75" customHeight="1" x14ac:dyDescent="0.25">
      <c r="A282" s="94">
        <v>5226</v>
      </c>
      <c r="B282" s="145">
        <v>424600</v>
      </c>
      <c r="C282" s="84" t="s">
        <v>257</v>
      </c>
      <c r="D282" s="108">
        <v>300</v>
      </c>
      <c r="E282" s="109">
        <f t="shared" si="63"/>
        <v>191</v>
      </c>
      <c r="F282" s="108"/>
      <c r="G282" s="108"/>
      <c r="H282" s="108"/>
      <c r="I282" s="108"/>
      <c r="J282" s="108"/>
      <c r="K282" s="110">
        <v>191</v>
      </c>
      <c r="L282" s="137">
        <f t="shared" si="65"/>
        <v>0.63666666666666671</v>
      </c>
    </row>
    <row r="283" spans="1:12" ht="12.75" customHeight="1" x14ac:dyDescent="0.25">
      <c r="A283" s="94">
        <v>5227</v>
      </c>
      <c r="B283" s="145">
        <v>424900</v>
      </c>
      <c r="C283" s="84" t="s">
        <v>258</v>
      </c>
      <c r="D283" s="146">
        <v>4315</v>
      </c>
      <c r="E283" s="147">
        <f t="shared" si="63"/>
        <v>1886</v>
      </c>
      <c r="F283" s="146">
        <v>1054</v>
      </c>
      <c r="G283" s="146"/>
      <c r="H283" s="146"/>
      <c r="I283" s="146"/>
      <c r="J283" s="146"/>
      <c r="K283" s="148">
        <v>832</v>
      </c>
      <c r="L283" s="149">
        <f t="shared" si="65"/>
        <v>0.43707995365005792</v>
      </c>
    </row>
    <row r="284" spans="1:12" ht="12.75" customHeight="1" x14ac:dyDescent="0.25">
      <c r="A284" s="93">
        <v>5228</v>
      </c>
      <c r="B284" s="140">
        <v>425000</v>
      </c>
      <c r="C284" s="82" t="s">
        <v>259</v>
      </c>
      <c r="D284" s="100">
        <f>D285+D286</f>
        <v>12310</v>
      </c>
      <c r="E284" s="100">
        <f t="shared" si="63"/>
        <v>5061</v>
      </c>
      <c r="F284" s="100">
        <f t="shared" ref="F284:K284" si="81">F285+F286</f>
        <v>0</v>
      </c>
      <c r="G284" s="100">
        <f t="shared" si="81"/>
        <v>0</v>
      </c>
      <c r="H284" s="100">
        <f t="shared" si="81"/>
        <v>0</v>
      </c>
      <c r="I284" s="100">
        <f t="shared" si="81"/>
        <v>4834</v>
      </c>
      <c r="J284" s="100">
        <f t="shared" si="81"/>
        <v>0</v>
      </c>
      <c r="K284" s="101">
        <f t="shared" si="81"/>
        <v>227</v>
      </c>
      <c r="L284" s="137">
        <f t="shared" ref="L284:L347" si="82">E284/D284</f>
        <v>0.41112916328188465</v>
      </c>
    </row>
    <row r="285" spans="1:12" ht="12.75" customHeight="1" x14ac:dyDescent="0.25">
      <c r="A285" s="94">
        <v>5229</v>
      </c>
      <c r="B285" s="145">
        <v>425100</v>
      </c>
      <c r="C285" s="84" t="s">
        <v>260</v>
      </c>
      <c r="D285" s="108">
        <v>720</v>
      </c>
      <c r="E285" s="109">
        <f t="shared" si="63"/>
        <v>200</v>
      </c>
      <c r="F285" s="108"/>
      <c r="G285" s="108"/>
      <c r="H285" s="108"/>
      <c r="I285" s="108">
        <v>200</v>
      </c>
      <c r="J285" s="108"/>
      <c r="K285" s="110"/>
      <c r="L285" s="137">
        <f t="shared" si="82"/>
        <v>0.27777777777777779</v>
      </c>
    </row>
    <row r="286" spans="1:12" ht="12.75" customHeight="1" x14ac:dyDescent="0.25">
      <c r="A286" s="94">
        <v>5230</v>
      </c>
      <c r="B286" s="145">
        <v>425200</v>
      </c>
      <c r="C286" s="84" t="s">
        <v>261</v>
      </c>
      <c r="D286" s="108">
        <v>11590</v>
      </c>
      <c r="E286" s="109">
        <f t="shared" si="63"/>
        <v>4861</v>
      </c>
      <c r="F286" s="108"/>
      <c r="G286" s="108"/>
      <c r="H286" s="108"/>
      <c r="I286" s="108">
        <v>4634</v>
      </c>
      <c r="J286" s="108"/>
      <c r="K286" s="110">
        <v>227</v>
      </c>
      <c r="L286" s="137">
        <f t="shared" si="82"/>
        <v>0.41941328731665228</v>
      </c>
    </row>
    <row r="287" spans="1:12" ht="12.75" customHeight="1" x14ac:dyDescent="0.25">
      <c r="A287" s="93">
        <v>5231</v>
      </c>
      <c r="B287" s="140">
        <v>426000</v>
      </c>
      <c r="C287" s="82" t="s">
        <v>262</v>
      </c>
      <c r="D287" s="100">
        <f>SUM(D288:D296)</f>
        <v>280102</v>
      </c>
      <c r="E287" s="100">
        <f t="shared" si="63"/>
        <v>134857</v>
      </c>
      <c r="F287" s="100">
        <f t="shared" ref="F287:K287" si="83">SUM(F288:F296)</f>
        <v>342</v>
      </c>
      <c r="G287" s="100">
        <f t="shared" si="83"/>
        <v>0</v>
      </c>
      <c r="H287" s="100">
        <f t="shared" si="83"/>
        <v>0</v>
      </c>
      <c r="I287" s="100">
        <f t="shared" si="83"/>
        <v>133081</v>
      </c>
      <c r="J287" s="100">
        <f t="shared" si="83"/>
        <v>0</v>
      </c>
      <c r="K287" s="101">
        <f t="shared" si="83"/>
        <v>1434</v>
      </c>
      <c r="L287" s="137">
        <f t="shared" si="82"/>
        <v>0.48145675503923568</v>
      </c>
    </row>
    <row r="288" spans="1:12" ht="12.75" customHeight="1" x14ac:dyDescent="0.25">
      <c r="A288" s="94">
        <v>5232</v>
      </c>
      <c r="B288" s="145">
        <v>426100</v>
      </c>
      <c r="C288" s="84" t="s">
        <v>263</v>
      </c>
      <c r="D288" s="108">
        <v>5020</v>
      </c>
      <c r="E288" s="109">
        <f t="shared" si="63"/>
        <v>2425</v>
      </c>
      <c r="F288" s="108"/>
      <c r="G288" s="108"/>
      <c r="H288" s="108"/>
      <c r="I288" s="108">
        <v>2425</v>
      </c>
      <c r="J288" s="108"/>
      <c r="K288" s="110"/>
      <c r="L288" s="137">
        <f t="shared" si="82"/>
        <v>0.48306772908366535</v>
      </c>
    </row>
    <row r="289" spans="1:12" ht="12.75" hidden="1" customHeight="1" x14ac:dyDescent="0.25">
      <c r="A289" s="94">
        <v>5233</v>
      </c>
      <c r="B289" s="145">
        <v>426200</v>
      </c>
      <c r="C289" s="84" t="s">
        <v>264</v>
      </c>
      <c r="D289" s="108"/>
      <c r="E289" s="109">
        <f t="shared" si="63"/>
        <v>0</v>
      </c>
      <c r="F289" s="108"/>
      <c r="G289" s="108"/>
      <c r="H289" s="108"/>
      <c r="I289" s="108"/>
      <c r="J289" s="108"/>
      <c r="K289" s="110"/>
      <c r="L289" s="137" t="e">
        <f t="shared" si="82"/>
        <v>#DIV/0!</v>
      </c>
    </row>
    <row r="290" spans="1:12" ht="12.75" customHeight="1" x14ac:dyDescent="0.25">
      <c r="A290" s="94">
        <v>5234</v>
      </c>
      <c r="B290" s="145">
        <v>426300</v>
      </c>
      <c r="C290" s="84" t="s">
        <v>265</v>
      </c>
      <c r="D290" s="108">
        <v>200</v>
      </c>
      <c r="E290" s="109">
        <f t="shared" si="63"/>
        <v>119</v>
      </c>
      <c r="F290" s="108"/>
      <c r="G290" s="108"/>
      <c r="H290" s="108"/>
      <c r="I290" s="108"/>
      <c r="J290" s="108"/>
      <c r="K290" s="110">
        <v>119</v>
      </c>
      <c r="L290" s="137">
        <f t="shared" si="82"/>
        <v>0.59499999999999997</v>
      </c>
    </row>
    <row r="291" spans="1:12" ht="12.75" customHeight="1" x14ac:dyDescent="0.25">
      <c r="A291" s="94">
        <v>5235</v>
      </c>
      <c r="B291" s="145">
        <v>426400</v>
      </c>
      <c r="C291" s="84" t="s">
        <v>266</v>
      </c>
      <c r="D291" s="108">
        <v>1950</v>
      </c>
      <c r="E291" s="109">
        <f t="shared" si="63"/>
        <v>790</v>
      </c>
      <c r="F291" s="111"/>
      <c r="G291" s="111"/>
      <c r="H291" s="111"/>
      <c r="I291" s="111">
        <v>786</v>
      </c>
      <c r="J291" s="111"/>
      <c r="K291" s="112">
        <v>4</v>
      </c>
      <c r="L291" s="137">
        <f t="shared" si="82"/>
        <v>0.40512820512820513</v>
      </c>
    </row>
    <row r="292" spans="1:12" ht="12.75" hidden="1" customHeight="1" x14ac:dyDescent="0.25">
      <c r="A292" s="94">
        <v>5236</v>
      </c>
      <c r="B292" s="145">
        <v>426500</v>
      </c>
      <c r="C292" s="84" t="s">
        <v>267</v>
      </c>
      <c r="D292" s="108"/>
      <c r="E292" s="109">
        <f t="shared" ref="E292:E367" si="84">SUM(F292:K292)</f>
        <v>0</v>
      </c>
      <c r="F292" s="108"/>
      <c r="G292" s="108"/>
      <c r="H292" s="108"/>
      <c r="I292" s="108"/>
      <c r="J292" s="108"/>
      <c r="K292" s="110"/>
      <c r="L292" s="137" t="e">
        <f t="shared" si="82"/>
        <v>#DIV/0!</v>
      </c>
    </row>
    <row r="293" spans="1:12" ht="12.75" hidden="1" customHeight="1" x14ac:dyDescent="0.25">
      <c r="A293" s="94">
        <v>5237</v>
      </c>
      <c r="B293" s="145">
        <v>426600</v>
      </c>
      <c r="C293" s="84" t="s">
        <v>268</v>
      </c>
      <c r="D293" s="108"/>
      <c r="E293" s="109">
        <f t="shared" si="84"/>
        <v>0</v>
      </c>
      <c r="F293" s="108"/>
      <c r="G293" s="108"/>
      <c r="H293" s="108"/>
      <c r="I293" s="108"/>
      <c r="J293" s="108"/>
      <c r="K293" s="110"/>
      <c r="L293" s="137" t="e">
        <f t="shared" si="82"/>
        <v>#DIV/0!</v>
      </c>
    </row>
    <row r="294" spans="1:12" ht="12.75" customHeight="1" x14ac:dyDescent="0.25">
      <c r="A294" s="94">
        <v>5238</v>
      </c>
      <c r="B294" s="145">
        <v>426700</v>
      </c>
      <c r="C294" s="84" t="s">
        <v>269</v>
      </c>
      <c r="D294" s="108">
        <v>250607</v>
      </c>
      <c r="E294" s="109">
        <f t="shared" si="84"/>
        <v>119174</v>
      </c>
      <c r="F294" s="108"/>
      <c r="G294" s="108"/>
      <c r="H294" s="108"/>
      <c r="I294" s="108">
        <v>118175</v>
      </c>
      <c r="J294" s="108"/>
      <c r="K294" s="110">
        <v>999</v>
      </c>
      <c r="L294" s="137">
        <f t="shared" si="82"/>
        <v>0.47554138551596725</v>
      </c>
    </row>
    <row r="295" spans="1:12" ht="12.75" customHeight="1" x14ac:dyDescent="0.25">
      <c r="A295" s="94">
        <v>5239</v>
      </c>
      <c r="B295" s="145">
        <v>426800</v>
      </c>
      <c r="C295" s="84" t="s">
        <v>515</v>
      </c>
      <c r="D295" s="108">
        <v>13287</v>
      </c>
      <c r="E295" s="109">
        <f t="shared" si="84"/>
        <v>7053</v>
      </c>
      <c r="F295" s="108"/>
      <c r="G295" s="108"/>
      <c r="H295" s="108"/>
      <c r="I295" s="108">
        <v>7053</v>
      </c>
      <c r="J295" s="108"/>
      <c r="K295" s="110"/>
      <c r="L295" s="137">
        <f t="shared" si="82"/>
        <v>0.5308195981034094</v>
      </c>
    </row>
    <row r="296" spans="1:12" ht="12.75" customHeight="1" x14ac:dyDescent="0.25">
      <c r="A296" s="94">
        <v>5240</v>
      </c>
      <c r="B296" s="145">
        <v>426900</v>
      </c>
      <c r="C296" s="84" t="s">
        <v>270</v>
      </c>
      <c r="D296" s="108">
        <v>9038</v>
      </c>
      <c r="E296" s="109">
        <f t="shared" si="84"/>
        <v>5296</v>
      </c>
      <c r="F296" s="108">
        <v>342</v>
      </c>
      <c r="G296" s="108"/>
      <c r="H296" s="108"/>
      <c r="I296" s="108">
        <v>4642</v>
      </c>
      <c r="J296" s="108"/>
      <c r="K296" s="110">
        <v>312</v>
      </c>
      <c r="L296" s="137">
        <f t="shared" si="82"/>
        <v>0.58597034742199605</v>
      </c>
    </row>
    <row r="297" spans="1:12" ht="12.75" hidden="1" customHeight="1" x14ac:dyDescent="0.25">
      <c r="A297" s="93">
        <v>5241</v>
      </c>
      <c r="B297" s="140">
        <v>430000</v>
      </c>
      <c r="C297" s="82" t="s">
        <v>271</v>
      </c>
      <c r="D297" s="100">
        <f>D298+D306+D308+D310+D314</f>
        <v>0</v>
      </c>
      <c r="E297" s="100">
        <f t="shared" si="84"/>
        <v>0</v>
      </c>
      <c r="F297" s="100">
        <f t="shared" ref="F297:K297" si="85">F298+F306+F308+F310+F314</f>
        <v>0</v>
      </c>
      <c r="G297" s="100">
        <f t="shared" si="85"/>
        <v>0</v>
      </c>
      <c r="H297" s="100">
        <f t="shared" si="85"/>
        <v>0</v>
      </c>
      <c r="I297" s="100">
        <f t="shared" si="85"/>
        <v>0</v>
      </c>
      <c r="J297" s="100">
        <f t="shared" si="85"/>
        <v>0</v>
      </c>
      <c r="K297" s="101">
        <f t="shared" si="85"/>
        <v>0</v>
      </c>
      <c r="L297" s="137" t="e">
        <f t="shared" si="82"/>
        <v>#DIV/0!</v>
      </c>
    </row>
    <row r="298" spans="1:12" ht="12.75" hidden="1" customHeight="1" x14ac:dyDescent="0.25">
      <c r="A298" s="93">
        <v>5242</v>
      </c>
      <c r="B298" s="140">
        <v>431000</v>
      </c>
      <c r="C298" s="82" t="s">
        <v>272</v>
      </c>
      <c r="D298" s="100">
        <f>SUM(D299:D301)</f>
        <v>0</v>
      </c>
      <c r="E298" s="100">
        <f t="shared" si="84"/>
        <v>0</v>
      </c>
      <c r="F298" s="100">
        <f t="shared" ref="F298:K298" si="86">SUM(F299:F301)</f>
        <v>0</v>
      </c>
      <c r="G298" s="100">
        <f t="shared" si="86"/>
        <v>0</v>
      </c>
      <c r="H298" s="100">
        <f t="shared" si="86"/>
        <v>0</v>
      </c>
      <c r="I298" s="100">
        <f t="shared" si="86"/>
        <v>0</v>
      </c>
      <c r="J298" s="100">
        <f t="shared" si="86"/>
        <v>0</v>
      </c>
      <c r="K298" s="101">
        <f t="shared" si="86"/>
        <v>0</v>
      </c>
      <c r="L298" s="137" t="e">
        <f t="shared" si="82"/>
        <v>#DIV/0!</v>
      </c>
    </row>
    <row r="299" spans="1:12" ht="12.75" hidden="1" customHeight="1" x14ac:dyDescent="0.25">
      <c r="A299" s="94">
        <v>5243</v>
      </c>
      <c r="B299" s="145">
        <v>431100</v>
      </c>
      <c r="C299" s="84" t="s">
        <v>273</v>
      </c>
      <c r="D299" s="108"/>
      <c r="E299" s="109">
        <f t="shared" si="84"/>
        <v>0</v>
      </c>
      <c r="F299" s="108"/>
      <c r="G299" s="108"/>
      <c r="H299" s="108"/>
      <c r="I299" s="108"/>
      <c r="J299" s="108"/>
      <c r="K299" s="110"/>
      <c r="L299" s="137" t="e">
        <f t="shared" si="82"/>
        <v>#DIV/0!</v>
      </c>
    </row>
    <row r="300" spans="1:12" ht="12.75" hidden="1" customHeight="1" x14ac:dyDescent="0.25">
      <c r="A300" s="94">
        <v>5244</v>
      </c>
      <c r="B300" s="145">
        <v>431200</v>
      </c>
      <c r="C300" s="84" t="s">
        <v>274</v>
      </c>
      <c r="D300" s="108"/>
      <c r="E300" s="109">
        <f t="shared" si="84"/>
        <v>0</v>
      </c>
      <c r="F300" s="108"/>
      <c r="G300" s="108"/>
      <c r="H300" s="108"/>
      <c r="I300" s="108"/>
      <c r="J300" s="108"/>
      <c r="K300" s="110"/>
      <c r="L300" s="137" t="e">
        <f t="shared" si="82"/>
        <v>#DIV/0!</v>
      </c>
    </row>
    <row r="301" spans="1:12" ht="12.75" hidden="1" customHeight="1" x14ac:dyDescent="0.25">
      <c r="A301" s="94">
        <v>5245</v>
      </c>
      <c r="B301" s="145">
        <v>431300</v>
      </c>
      <c r="C301" s="84" t="s">
        <v>275</v>
      </c>
      <c r="D301" s="108"/>
      <c r="E301" s="109">
        <f t="shared" si="84"/>
        <v>0</v>
      </c>
      <c r="F301" s="108"/>
      <c r="G301" s="108"/>
      <c r="H301" s="108"/>
      <c r="I301" s="108"/>
      <c r="J301" s="108"/>
      <c r="K301" s="110"/>
      <c r="L301" s="137" t="e">
        <f t="shared" si="82"/>
        <v>#DIV/0!</v>
      </c>
    </row>
    <row r="302" spans="1:12" ht="12.75" hidden="1" customHeight="1" x14ac:dyDescent="0.25">
      <c r="A302" s="583" t="s">
        <v>0</v>
      </c>
      <c r="B302" s="584" t="s">
        <v>1</v>
      </c>
      <c r="C302" s="585" t="s">
        <v>2</v>
      </c>
      <c r="D302" s="585" t="s">
        <v>217</v>
      </c>
      <c r="E302" s="575" t="s">
        <v>198</v>
      </c>
      <c r="F302" s="589"/>
      <c r="G302" s="589"/>
      <c r="H302" s="589"/>
      <c r="I302" s="589"/>
      <c r="J302" s="589"/>
      <c r="K302" s="592"/>
      <c r="L302" s="137" t="e">
        <f t="shared" si="82"/>
        <v>#VALUE!</v>
      </c>
    </row>
    <row r="303" spans="1:12" ht="12.75" hidden="1" customHeight="1" x14ac:dyDescent="0.25">
      <c r="A303" s="583"/>
      <c r="B303" s="584"/>
      <c r="C303" s="585"/>
      <c r="D303" s="585"/>
      <c r="E303" s="575" t="s">
        <v>199</v>
      </c>
      <c r="F303" s="575" t="s">
        <v>200</v>
      </c>
      <c r="G303" s="589"/>
      <c r="H303" s="589"/>
      <c r="I303" s="589"/>
      <c r="J303" s="575" t="s">
        <v>7</v>
      </c>
      <c r="K303" s="582" t="s">
        <v>8</v>
      </c>
      <c r="L303" s="137" t="e">
        <f t="shared" si="82"/>
        <v>#VALUE!</v>
      </c>
    </row>
    <row r="304" spans="1:12" ht="12.75" hidden="1" customHeight="1" x14ac:dyDescent="0.25">
      <c r="A304" s="583"/>
      <c r="B304" s="584"/>
      <c r="C304" s="585"/>
      <c r="D304" s="585"/>
      <c r="E304" s="589"/>
      <c r="F304" s="140" t="s">
        <v>201</v>
      </c>
      <c r="G304" s="140" t="s">
        <v>10</v>
      </c>
      <c r="H304" s="140" t="s">
        <v>11</v>
      </c>
      <c r="I304" s="140" t="s">
        <v>12</v>
      </c>
      <c r="J304" s="589"/>
      <c r="K304" s="592"/>
      <c r="L304" s="137" t="e">
        <f t="shared" si="82"/>
        <v>#DIV/0!</v>
      </c>
    </row>
    <row r="305" spans="1:12" ht="12.75" hidden="1" customHeight="1" x14ac:dyDescent="0.25">
      <c r="A305" s="95" t="s">
        <v>18</v>
      </c>
      <c r="B305" s="139" t="s">
        <v>19</v>
      </c>
      <c r="C305" s="139" t="s">
        <v>20</v>
      </c>
      <c r="D305" s="139" t="s">
        <v>21</v>
      </c>
      <c r="E305" s="139" t="s">
        <v>22</v>
      </c>
      <c r="F305" s="139" t="s">
        <v>23</v>
      </c>
      <c r="G305" s="139" t="s">
        <v>24</v>
      </c>
      <c r="H305" s="139" t="s">
        <v>25</v>
      </c>
      <c r="I305" s="139" t="s">
        <v>26</v>
      </c>
      <c r="J305" s="139" t="s">
        <v>27</v>
      </c>
      <c r="K305" s="99" t="s">
        <v>28</v>
      </c>
      <c r="L305" s="137">
        <f t="shared" si="82"/>
        <v>1.25</v>
      </c>
    </row>
    <row r="306" spans="1:12" ht="12.75" hidden="1" customHeight="1" x14ac:dyDescent="0.25">
      <c r="A306" s="93">
        <v>5246</v>
      </c>
      <c r="B306" s="140">
        <v>432000</v>
      </c>
      <c r="C306" s="82" t="s">
        <v>276</v>
      </c>
      <c r="D306" s="100">
        <f>D307</f>
        <v>0</v>
      </c>
      <c r="E306" s="100">
        <f t="shared" si="84"/>
        <v>0</v>
      </c>
      <c r="F306" s="100">
        <f t="shared" ref="F306:K306" si="87">F307</f>
        <v>0</v>
      </c>
      <c r="G306" s="100">
        <f t="shared" si="87"/>
        <v>0</v>
      </c>
      <c r="H306" s="100">
        <f t="shared" si="87"/>
        <v>0</v>
      </c>
      <c r="I306" s="100">
        <f t="shared" si="87"/>
        <v>0</v>
      </c>
      <c r="J306" s="100">
        <f t="shared" si="87"/>
        <v>0</v>
      </c>
      <c r="K306" s="101">
        <f t="shared" si="87"/>
        <v>0</v>
      </c>
      <c r="L306" s="137" t="e">
        <f t="shared" si="82"/>
        <v>#DIV/0!</v>
      </c>
    </row>
    <row r="307" spans="1:12" ht="12.75" hidden="1" customHeight="1" x14ac:dyDescent="0.25">
      <c r="A307" s="94">
        <v>5247</v>
      </c>
      <c r="B307" s="145">
        <v>432100</v>
      </c>
      <c r="C307" s="84" t="s">
        <v>277</v>
      </c>
      <c r="D307" s="108"/>
      <c r="E307" s="109">
        <f t="shared" si="84"/>
        <v>0</v>
      </c>
      <c r="F307" s="108"/>
      <c r="G307" s="108"/>
      <c r="H307" s="108"/>
      <c r="I307" s="108"/>
      <c r="J307" s="108"/>
      <c r="K307" s="110"/>
      <c r="L307" s="137" t="e">
        <f t="shared" si="82"/>
        <v>#DIV/0!</v>
      </c>
    </row>
    <row r="308" spans="1:12" ht="12.75" hidden="1" customHeight="1" x14ac:dyDescent="0.25">
      <c r="A308" s="93">
        <v>5248</v>
      </c>
      <c r="B308" s="140">
        <v>433000</v>
      </c>
      <c r="C308" s="82" t="s">
        <v>278</v>
      </c>
      <c r="D308" s="100">
        <f>D309</f>
        <v>0</v>
      </c>
      <c r="E308" s="100">
        <f t="shared" si="84"/>
        <v>0</v>
      </c>
      <c r="F308" s="100">
        <f t="shared" ref="F308:K308" si="88">F309</f>
        <v>0</v>
      </c>
      <c r="G308" s="100">
        <f t="shared" si="88"/>
        <v>0</v>
      </c>
      <c r="H308" s="100">
        <f t="shared" si="88"/>
        <v>0</v>
      </c>
      <c r="I308" s="100">
        <f t="shared" si="88"/>
        <v>0</v>
      </c>
      <c r="J308" s="100">
        <f t="shared" si="88"/>
        <v>0</v>
      </c>
      <c r="K308" s="101">
        <f t="shared" si="88"/>
        <v>0</v>
      </c>
      <c r="L308" s="137" t="e">
        <f t="shared" si="82"/>
        <v>#DIV/0!</v>
      </c>
    </row>
    <row r="309" spans="1:12" ht="12.75" hidden="1" customHeight="1" x14ac:dyDescent="0.25">
      <c r="A309" s="94">
        <v>5249</v>
      </c>
      <c r="B309" s="145">
        <v>433100</v>
      </c>
      <c r="C309" s="84" t="s">
        <v>279</v>
      </c>
      <c r="D309" s="108"/>
      <c r="E309" s="109">
        <f t="shared" si="84"/>
        <v>0</v>
      </c>
      <c r="F309" s="108"/>
      <c r="G309" s="108"/>
      <c r="H309" s="108"/>
      <c r="I309" s="108"/>
      <c r="J309" s="108"/>
      <c r="K309" s="110"/>
      <c r="L309" s="137" t="e">
        <f t="shared" si="82"/>
        <v>#DIV/0!</v>
      </c>
    </row>
    <row r="310" spans="1:12" ht="12.75" hidden="1" customHeight="1" x14ac:dyDescent="0.25">
      <c r="A310" s="93">
        <v>5250</v>
      </c>
      <c r="B310" s="140">
        <v>434000</v>
      </c>
      <c r="C310" s="82" t="s">
        <v>280</v>
      </c>
      <c r="D310" s="100">
        <f>SUM(D311:D313)</f>
        <v>0</v>
      </c>
      <c r="E310" s="100">
        <f t="shared" si="84"/>
        <v>0</v>
      </c>
      <c r="F310" s="100">
        <f t="shared" ref="F310:K310" si="89">SUM(F311:F313)</f>
        <v>0</v>
      </c>
      <c r="G310" s="100">
        <f t="shared" si="89"/>
        <v>0</v>
      </c>
      <c r="H310" s="100">
        <f t="shared" si="89"/>
        <v>0</v>
      </c>
      <c r="I310" s="100">
        <f t="shared" si="89"/>
        <v>0</v>
      </c>
      <c r="J310" s="100">
        <f t="shared" si="89"/>
        <v>0</v>
      </c>
      <c r="K310" s="101">
        <f t="shared" si="89"/>
        <v>0</v>
      </c>
      <c r="L310" s="137" t="e">
        <f t="shared" si="82"/>
        <v>#DIV/0!</v>
      </c>
    </row>
    <row r="311" spans="1:12" ht="12.75" hidden="1" customHeight="1" x14ac:dyDescent="0.25">
      <c r="A311" s="94">
        <v>5251</v>
      </c>
      <c r="B311" s="145">
        <v>434100</v>
      </c>
      <c r="C311" s="84" t="s">
        <v>281</v>
      </c>
      <c r="D311" s="108"/>
      <c r="E311" s="109">
        <f t="shared" si="84"/>
        <v>0</v>
      </c>
      <c r="F311" s="108"/>
      <c r="G311" s="108"/>
      <c r="H311" s="108"/>
      <c r="I311" s="108"/>
      <c r="J311" s="108"/>
      <c r="K311" s="110"/>
      <c r="L311" s="137" t="e">
        <f t="shared" si="82"/>
        <v>#DIV/0!</v>
      </c>
    </row>
    <row r="312" spans="1:12" ht="12.75" hidden="1" customHeight="1" x14ac:dyDescent="0.25">
      <c r="A312" s="94">
        <v>5252</v>
      </c>
      <c r="B312" s="145">
        <v>434200</v>
      </c>
      <c r="C312" s="84" t="s">
        <v>282</v>
      </c>
      <c r="D312" s="108"/>
      <c r="E312" s="109">
        <f t="shared" si="84"/>
        <v>0</v>
      </c>
      <c r="F312" s="108"/>
      <c r="G312" s="108"/>
      <c r="H312" s="108"/>
      <c r="I312" s="108"/>
      <c r="J312" s="108"/>
      <c r="K312" s="110"/>
      <c r="L312" s="137" t="e">
        <f t="shared" si="82"/>
        <v>#DIV/0!</v>
      </c>
    </row>
    <row r="313" spans="1:12" ht="12.75" hidden="1" customHeight="1" x14ac:dyDescent="0.25">
      <c r="A313" s="94">
        <v>5253</v>
      </c>
      <c r="B313" s="145">
        <v>434300</v>
      </c>
      <c r="C313" s="84" t="s">
        <v>283</v>
      </c>
      <c r="D313" s="108"/>
      <c r="E313" s="109">
        <f t="shared" si="84"/>
        <v>0</v>
      </c>
      <c r="F313" s="108"/>
      <c r="G313" s="108"/>
      <c r="H313" s="108"/>
      <c r="I313" s="108"/>
      <c r="J313" s="108"/>
      <c r="K313" s="110"/>
      <c r="L313" s="137" t="e">
        <f t="shared" si="82"/>
        <v>#DIV/0!</v>
      </c>
    </row>
    <row r="314" spans="1:12" ht="12.75" hidden="1" customHeight="1" x14ac:dyDescent="0.25">
      <c r="A314" s="93">
        <v>5254</v>
      </c>
      <c r="B314" s="140">
        <v>435000</v>
      </c>
      <c r="C314" s="82" t="s">
        <v>284</v>
      </c>
      <c r="D314" s="100">
        <f>D315</f>
        <v>0</v>
      </c>
      <c r="E314" s="100">
        <f t="shared" si="84"/>
        <v>0</v>
      </c>
      <c r="F314" s="100">
        <f t="shared" ref="F314:K314" si="90">F315</f>
        <v>0</v>
      </c>
      <c r="G314" s="100">
        <f t="shared" si="90"/>
        <v>0</v>
      </c>
      <c r="H314" s="100">
        <f t="shared" si="90"/>
        <v>0</v>
      </c>
      <c r="I314" s="100">
        <f t="shared" si="90"/>
        <v>0</v>
      </c>
      <c r="J314" s="100">
        <f t="shared" si="90"/>
        <v>0</v>
      </c>
      <c r="K314" s="101">
        <f t="shared" si="90"/>
        <v>0</v>
      </c>
      <c r="L314" s="137" t="e">
        <f t="shared" si="82"/>
        <v>#DIV/0!</v>
      </c>
    </row>
    <row r="315" spans="1:12" ht="12.75" hidden="1" customHeight="1" x14ac:dyDescent="0.25">
      <c r="A315" s="94">
        <v>5255</v>
      </c>
      <c r="B315" s="145">
        <v>435100</v>
      </c>
      <c r="C315" s="84" t="s">
        <v>285</v>
      </c>
      <c r="D315" s="108"/>
      <c r="E315" s="109">
        <f t="shared" si="84"/>
        <v>0</v>
      </c>
      <c r="F315" s="108"/>
      <c r="G315" s="108"/>
      <c r="H315" s="108"/>
      <c r="I315" s="108"/>
      <c r="J315" s="108"/>
      <c r="K315" s="110"/>
      <c r="L315" s="137" t="e">
        <f t="shared" si="82"/>
        <v>#DIV/0!</v>
      </c>
    </row>
    <row r="316" spans="1:12" ht="12.75" customHeight="1" x14ac:dyDescent="0.25">
      <c r="A316" s="93">
        <v>5256</v>
      </c>
      <c r="B316" s="140">
        <v>440000</v>
      </c>
      <c r="C316" s="82" t="s">
        <v>286</v>
      </c>
      <c r="D316" s="100">
        <f>D317+D327+D338+D340</f>
        <v>681</v>
      </c>
      <c r="E316" s="100">
        <f t="shared" si="84"/>
        <v>629</v>
      </c>
      <c r="F316" s="100">
        <f t="shared" ref="F316:K316" si="91">F317+F327+F338+F340</f>
        <v>0</v>
      </c>
      <c r="G316" s="100">
        <f t="shared" si="91"/>
        <v>0</v>
      </c>
      <c r="H316" s="100">
        <f t="shared" si="91"/>
        <v>0</v>
      </c>
      <c r="I316" s="100">
        <f t="shared" si="91"/>
        <v>0</v>
      </c>
      <c r="J316" s="100">
        <f t="shared" si="91"/>
        <v>0</v>
      </c>
      <c r="K316" s="101">
        <f t="shared" si="91"/>
        <v>629</v>
      </c>
      <c r="L316" s="137">
        <f t="shared" si="82"/>
        <v>0.92364170337738616</v>
      </c>
    </row>
    <row r="317" spans="1:12" ht="12.75" customHeight="1" x14ac:dyDescent="0.25">
      <c r="A317" s="93">
        <v>5257</v>
      </c>
      <c r="B317" s="140">
        <v>441000</v>
      </c>
      <c r="C317" s="82" t="s">
        <v>287</v>
      </c>
      <c r="D317" s="100">
        <f>SUM(D318:D326)</f>
        <v>681</v>
      </c>
      <c r="E317" s="100">
        <f t="shared" si="84"/>
        <v>629</v>
      </c>
      <c r="F317" s="100">
        <f t="shared" ref="F317:K317" si="92">SUM(F318:F326)</f>
        <v>0</v>
      </c>
      <c r="G317" s="100">
        <f t="shared" si="92"/>
        <v>0</v>
      </c>
      <c r="H317" s="100">
        <f t="shared" si="92"/>
        <v>0</v>
      </c>
      <c r="I317" s="100">
        <f t="shared" si="92"/>
        <v>0</v>
      </c>
      <c r="J317" s="100">
        <f t="shared" si="92"/>
        <v>0</v>
      </c>
      <c r="K317" s="101">
        <f t="shared" si="92"/>
        <v>629</v>
      </c>
      <c r="L317" s="137">
        <f t="shared" si="82"/>
        <v>0.92364170337738616</v>
      </c>
    </row>
    <row r="318" spans="1:12" ht="12.75" hidden="1" customHeight="1" x14ac:dyDescent="0.25">
      <c r="A318" s="94">
        <v>5258</v>
      </c>
      <c r="B318" s="145">
        <v>441100</v>
      </c>
      <c r="C318" s="84" t="s">
        <v>288</v>
      </c>
      <c r="D318" s="108"/>
      <c r="E318" s="109">
        <f t="shared" si="84"/>
        <v>0</v>
      </c>
      <c r="F318" s="108"/>
      <c r="G318" s="108"/>
      <c r="H318" s="108"/>
      <c r="I318" s="108"/>
      <c r="J318" s="108"/>
      <c r="K318" s="110"/>
      <c r="L318" s="137" t="e">
        <f t="shared" si="82"/>
        <v>#DIV/0!</v>
      </c>
    </row>
    <row r="319" spans="1:12" ht="12.75" hidden="1" customHeight="1" x14ac:dyDescent="0.25">
      <c r="A319" s="94">
        <v>5259</v>
      </c>
      <c r="B319" s="145">
        <v>441200</v>
      </c>
      <c r="C319" s="84" t="s">
        <v>289</v>
      </c>
      <c r="D319" s="108"/>
      <c r="E319" s="109">
        <f t="shared" si="84"/>
        <v>0</v>
      </c>
      <c r="F319" s="108"/>
      <c r="G319" s="108"/>
      <c r="H319" s="108"/>
      <c r="I319" s="108"/>
      <c r="J319" s="108"/>
      <c r="K319" s="110"/>
      <c r="L319" s="137" t="e">
        <f t="shared" si="82"/>
        <v>#DIV/0!</v>
      </c>
    </row>
    <row r="320" spans="1:12" ht="12.75" hidden="1" customHeight="1" x14ac:dyDescent="0.25">
      <c r="A320" s="94">
        <v>5260</v>
      </c>
      <c r="B320" s="145">
        <v>441300</v>
      </c>
      <c r="C320" s="84" t="s">
        <v>290</v>
      </c>
      <c r="D320" s="108"/>
      <c r="E320" s="109">
        <f t="shared" si="84"/>
        <v>0</v>
      </c>
      <c r="F320" s="108"/>
      <c r="G320" s="108"/>
      <c r="H320" s="108"/>
      <c r="I320" s="108"/>
      <c r="J320" s="108"/>
      <c r="K320" s="110"/>
      <c r="L320" s="137" t="e">
        <f t="shared" si="82"/>
        <v>#DIV/0!</v>
      </c>
    </row>
    <row r="321" spans="1:12" ht="12.75" hidden="1" customHeight="1" x14ac:dyDescent="0.25">
      <c r="A321" s="94">
        <v>5261</v>
      </c>
      <c r="B321" s="145">
        <v>441400</v>
      </c>
      <c r="C321" s="84" t="s">
        <v>291</v>
      </c>
      <c r="D321" s="108"/>
      <c r="E321" s="109">
        <f t="shared" si="84"/>
        <v>0</v>
      </c>
      <c r="F321" s="108"/>
      <c r="G321" s="108"/>
      <c r="H321" s="108"/>
      <c r="I321" s="108"/>
      <c r="J321" s="108"/>
      <c r="K321" s="110"/>
      <c r="L321" s="137" t="e">
        <f t="shared" si="82"/>
        <v>#DIV/0!</v>
      </c>
    </row>
    <row r="322" spans="1:12" ht="12.75" customHeight="1" x14ac:dyDescent="0.25">
      <c r="A322" s="94">
        <v>5262</v>
      </c>
      <c r="B322" s="145">
        <v>441500</v>
      </c>
      <c r="C322" s="84" t="s">
        <v>292</v>
      </c>
      <c r="D322" s="108">
        <v>681</v>
      </c>
      <c r="E322" s="109">
        <f t="shared" si="84"/>
        <v>629</v>
      </c>
      <c r="F322" s="108"/>
      <c r="G322" s="108"/>
      <c r="H322" s="108"/>
      <c r="I322" s="108"/>
      <c r="J322" s="108"/>
      <c r="K322" s="110">
        <v>629</v>
      </c>
      <c r="L322" s="137">
        <f t="shared" si="82"/>
        <v>0.92364170337738616</v>
      </c>
    </row>
    <row r="323" spans="1:12" ht="12.75" hidden="1" customHeight="1" x14ac:dyDescent="0.25">
      <c r="A323" s="94">
        <v>5263</v>
      </c>
      <c r="B323" s="145">
        <v>441600</v>
      </c>
      <c r="C323" s="84" t="s">
        <v>293</v>
      </c>
      <c r="D323" s="108"/>
      <c r="E323" s="109">
        <f t="shared" si="84"/>
        <v>0</v>
      </c>
      <c r="F323" s="108"/>
      <c r="G323" s="108"/>
      <c r="H323" s="108"/>
      <c r="I323" s="108"/>
      <c r="J323" s="108"/>
      <c r="K323" s="110"/>
      <c r="L323" s="137" t="e">
        <f t="shared" si="82"/>
        <v>#DIV/0!</v>
      </c>
    </row>
    <row r="324" spans="1:12" ht="12.75" hidden="1" customHeight="1" x14ac:dyDescent="0.25">
      <c r="A324" s="94">
        <v>5264</v>
      </c>
      <c r="B324" s="145">
        <v>441700</v>
      </c>
      <c r="C324" s="84" t="s">
        <v>294</v>
      </c>
      <c r="D324" s="108"/>
      <c r="E324" s="109">
        <f t="shared" si="84"/>
        <v>0</v>
      </c>
      <c r="F324" s="108"/>
      <c r="G324" s="108"/>
      <c r="H324" s="108"/>
      <c r="I324" s="108"/>
      <c r="J324" s="108"/>
      <c r="K324" s="110"/>
      <c r="L324" s="137" t="e">
        <f t="shared" si="82"/>
        <v>#DIV/0!</v>
      </c>
    </row>
    <row r="325" spans="1:12" ht="12.75" hidden="1" customHeight="1" x14ac:dyDescent="0.25">
      <c r="A325" s="94">
        <v>5265</v>
      </c>
      <c r="B325" s="145">
        <v>441800</v>
      </c>
      <c r="C325" s="84" t="s">
        <v>295</v>
      </c>
      <c r="D325" s="108"/>
      <c r="E325" s="109">
        <f t="shared" si="84"/>
        <v>0</v>
      </c>
      <c r="F325" s="108"/>
      <c r="G325" s="108"/>
      <c r="H325" s="108"/>
      <c r="I325" s="108"/>
      <c r="J325" s="108"/>
      <c r="K325" s="110"/>
      <c r="L325" s="137" t="e">
        <f t="shared" si="82"/>
        <v>#DIV/0!</v>
      </c>
    </row>
    <row r="326" spans="1:12" ht="12.75" hidden="1" customHeight="1" x14ac:dyDescent="0.25">
      <c r="A326" s="94">
        <v>5266</v>
      </c>
      <c r="B326" s="145">
        <v>441900</v>
      </c>
      <c r="C326" s="84" t="s">
        <v>99</v>
      </c>
      <c r="D326" s="108"/>
      <c r="E326" s="109">
        <f t="shared" si="84"/>
        <v>0</v>
      </c>
      <c r="F326" s="108"/>
      <c r="G326" s="108"/>
      <c r="H326" s="108"/>
      <c r="I326" s="108"/>
      <c r="J326" s="108"/>
      <c r="K326" s="110"/>
      <c r="L326" s="137" t="e">
        <f t="shared" si="82"/>
        <v>#DIV/0!</v>
      </c>
    </row>
    <row r="327" spans="1:12" ht="12.75" hidden="1" customHeight="1" x14ac:dyDescent="0.25">
      <c r="A327" s="93">
        <v>5267</v>
      </c>
      <c r="B327" s="140">
        <v>442000</v>
      </c>
      <c r="C327" s="82" t="s">
        <v>296</v>
      </c>
      <c r="D327" s="100">
        <f>SUM(D328:D337)</f>
        <v>0</v>
      </c>
      <c r="E327" s="100">
        <f t="shared" si="84"/>
        <v>0</v>
      </c>
      <c r="F327" s="100">
        <f t="shared" ref="F327:K327" si="93">SUM(F328:F337)</f>
        <v>0</v>
      </c>
      <c r="G327" s="100">
        <f t="shared" si="93"/>
        <v>0</v>
      </c>
      <c r="H327" s="100">
        <f t="shared" si="93"/>
        <v>0</v>
      </c>
      <c r="I327" s="100">
        <f t="shared" si="93"/>
        <v>0</v>
      </c>
      <c r="J327" s="100">
        <f t="shared" si="93"/>
        <v>0</v>
      </c>
      <c r="K327" s="101">
        <f t="shared" si="93"/>
        <v>0</v>
      </c>
      <c r="L327" s="137" t="e">
        <f t="shared" si="82"/>
        <v>#DIV/0!</v>
      </c>
    </row>
    <row r="328" spans="1:12" ht="12.75" hidden="1" customHeight="1" x14ac:dyDescent="0.25">
      <c r="A328" s="94">
        <v>5268</v>
      </c>
      <c r="B328" s="145">
        <v>442100</v>
      </c>
      <c r="C328" s="84" t="s">
        <v>297</v>
      </c>
      <c r="D328" s="108"/>
      <c r="E328" s="109">
        <f t="shared" si="84"/>
        <v>0</v>
      </c>
      <c r="F328" s="108"/>
      <c r="G328" s="108"/>
      <c r="H328" s="108"/>
      <c r="I328" s="108"/>
      <c r="J328" s="108"/>
      <c r="K328" s="110"/>
      <c r="L328" s="137" t="e">
        <f t="shared" si="82"/>
        <v>#DIV/0!</v>
      </c>
    </row>
    <row r="329" spans="1:12" ht="12.75" hidden="1" customHeight="1" x14ac:dyDescent="0.25">
      <c r="A329" s="94">
        <v>5269</v>
      </c>
      <c r="B329" s="145">
        <v>442200</v>
      </c>
      <c r="C329" s="84" t="s">
        <v>298</v>
      </c>
      <c r="D329" s="108"/>
      <c r="E329" s="109">
        <f t="shared" si="84"/>
        <v>0</v>
      </c>
      <c r="F329" s="108"/>
      <c r="G329" s="108"/>
      <c r="H329" s="108"/>
      <c r="I329" s="108"/>
      <c r="J329" s="108"/>
      <c r="K329" s="110"/>
      <c r="L329" s="137" t="e">
        <f t="shared" si="82"/>
        <v>#DIV/0!</v>
      </c>
    </row>
    <row r="330" spans="1:12" ht="12.75" hidden="1" customHeight="1" x14ac:dyDescent="0.25">
      <c r="A330" s="94">
        <v>5270</v>
      </c>
      <c r="B330" s="145">
        <v>442300</v>
      </c>
      <c r="C330" s="84" t="s">
        <v>299</v>
      </c>
      <c r="D330" s="108"/>
      <c r="E330" s="109">
        <f t="shared" si="84"/>
        <v>0</v>
      </c>
      <c r="F330" s="108"/>
      <c r="G330" s="108"/>
      <c r="H330" s="108"/>
      <c r="I330" s="108"/>
      <c r="J330" s="108"/>
      <c r="K330" s="110"/>
      <c r="L330" s="137" t="e">
        <f t="shared" si="82"/>
        <v>#DIV/0!</v>
      </c>
    </row>
    <row r="331" spans="1:12" ht="12.75" hidden="1" customHeight="1" x14ac:dyDescent="0.25">
      <c r="A331" s="94">
        <v>5271</v>
      </c>
      <c r="B331" s="145">
        <v>442400</v>
      </c>
      <c r="C331" s="84" t="s">
        <v>300</v>
      </c>
      <c r="D331" s="108"/>
      <c r="E331" s="109">
        <f t="shared" si="84"/>
        <v>0</v>
      </c>
      <c r="F331" s="108"/>
      <c r="G331" s="108"/>
      <c r="H331" s="108"/>
      <c r="I331" s="108"/>
      <c r="J331" s="108"/>
      <c r="K331" s="110"/>
      <c r="L331" s="137" t="e">
        <f t="shared" si="82"/>
        <v>#DIV/0!</v>
      </c>
    </row>
    <row r="332" spans="1:12" ht="12.75" hidden="1" customHeight="1" x14ac:dyDescent="0.25">
      <c r="A332" s="583" t="s">
        <v>0</v>
      </c>
      <c r="B332" s="584" t="s">
        <v>1</v>
      </c>
      <c r="C332" s="585" t="s">
        <v>2</v>
      </c>
      <c r="D332" s="585" t="s">
        <v>217</v>
      </c>
      <c r="E332" s="575" t="s">
        <v>198</v>
      </c>
      <c r="F332" s="589"/>
      <c r="G332" s="589"/>
      <c r="H332" s="589"/>
      <c r="I332" s="589"/>
      <c r="J332" s="589"/>
      <c r="K332" s="592"/>
      <c r="L332" s="137" t="e">
        <f t="shared" si="82"/>
        <v>#VALUE!</v>
      </c>
    </row>
    <row r="333" spans="1:12" ht="12.75" hidden="1" customHeight="1" x14ac:dyDescent="0.25">
      <c r="A333" s="583"/>
      <c r="B333" s="584"/>
      <c r="C333" s="585"/>
      <c r="D333" s="585"/>
      <c r="E333" s="575" t="s">
        <v>199</v>
      </c>
      <c r="F333" s="575" t="s">
        <v>200</v>
      </c>
      <c r="G333" s="589"/>
      <c r="H333" s="589"/>
      <c r="I333" s="589"/>
      <c r="J333" s="575" t="s">
        <v>7</v>
      </c>
      <c r="K333" s="582" t="s">
        <v>8</v>
      </c>
      <c r="L333" s="137" t="e">
        <f t="shared" si="82"/>
        <v>#VALUE!</v>
      </c>
    </row>
    <row r="334" spans="1:12" ht="12.75" hidden="1" customHeight="1" x14ac:dyDescent="0.25">
      <c r="A334" s="583"/>
      <c r="B334" s="584"/>
      <c r="C334" s="585"/>
      <c r="D334" s="585"/>
      <c r="E334" s="589"/>
      <c r="F334" s="140" t="s">
        <v>201</v>
      </c>
      <c r="G334" s="140" t="s">
        <v>10</v>
      </c>
      <c r="H334" s="140" t="s">
        <v>11</v>
      </c>
      <c r="I334" s="140" t="s">
        <v>12</v>
      </c>
      <c r="J334" s="589"/>
      <c r="K334" s="592"/>
      <c r="L334" s="137" t="e">
        <f t="shared" si="82"/>
        <v>#DIV/0!</v>
      </c>
    </row>
    <row r="335" spans="1:12" ht="12.75" hidden="1" customHeight="1" x14ac:dyDescent="0.25">
      <c r="A335" s="95" t="s">
        <v>18</v>
      </c>
      <c r="B335" s="139" t="s">
        <v>19</v>
      </c>
      <c r="C335" s="139" t="s">
        <v>20</v>
      </c>
      <c r="D335" s="139" t="s">
        <v>21</v>
      </c>
      <c r="E335" s="139" t="s">
        <v>22</v>
      </c>
      <c r="F335" s="139" t="s">
        <v>23</v>
      </c>
      <c r="G335" s="139" t="s">
        <v>24</v>
      </c>
      <c r="H335" s="139" t="s">
        <v>25</v>
      </c>
      <c r="I335" s="139" t="s">
        <v>26</v>
      </c>
      <c r="J335" s="139" t="s">
        <v>27</v>
      </c>
      <c r="K335" s="99" t="s">
        <v>28</v>
      </c>
      <c r="L335" s="137">
        <f t="shared" si="82"/>
        <v>1.25</v>
      </c>
    </row>
    <row r="336" spans="1:12" ht="12.75" hidden="1" customHeight="1" x14ac:dyDescent="0.25">
      <c r="A336" s="94">
        <v>5272</v>
      </c>
      <c r="B336" s="145">
        <v>442500</v>
      </c>
      <c r="C336" s="84" t="s">
        <v>301</v>
      </c>
      <c r="D336" s="108"/>
      <c r="E336" s="109">
        <f t="shared" si="84"/>
        <v>0</v>
      </c>
      <c r="F336" s="108"/>
      <c r="G336" s="108"/>
      <c r="H336" s="108"/>
      <c r="I336" s="108"/>
      <c r="J336" s="108"/>
      <c r="K336" s="110"/>
      <c r="L336" s="137" t="e">
        <f t="shared" si="82"/>
        <v>#DIV/0!</v>
      </c>
    </row>
    <row r="337" spans="1:12" ht="12.75" hidden="1" customHeight="1" x14ac:dyDescent="0.25">
      <c r="A337" s="94">
        <v>5273</v>
      </c>
      <c r="B337" s="145">
        <v>442600</v>
      </c>
      <c r="C337" s="84" t="s">
        <v>302</v>
      </c>
      <c r="D337" s="108"/>
      <c r="E337" s="109">
        <f t="shared" si="84"/>
        <v>0</v>
      </c>
      <c r="F337" s="108"/>
      <c r="G337" s="108"/>
      <c r="H337" s="108"/>
      <c r="I337" s="108"/>
      <c r="J337" s="108"/>
      <c r="K337" s="110"/>
      <c r="L337" s="137" t="e">
        <f t="shared" si="82"/>
        <v>#DIV/0!</v>
      </c>
    </row>
    <row r="338" spans="1:12" ht="12.75" hidden="1" customHeight="1" x14ac:dyDescent="0.25">
      <c r="A338" s="93">
        <v>5274</v>
      </c>
      <c r="B338" s="140">
        <v>443000</v>
      </c>
      <c r="C338" s="82" t="s">
        <v>303</v>
      </c>
      <c r="D338" s="100">
        <f>D339</f>
        <v>0</v>
      </c>
      <c r="E338" s="100">
        <f t="shared" si="84"/>
        <v>0</v>
      </c>
      <c r="F338" s="100">
        <f t="shared" ref="F338:K338" si="94">F339</f>
        <v>0</v>
      </c>
      <c r="G338" s="100">
        <f t="shared" si="94"/>
        <v>0</v>
      </c>
      <c r="H338" s="100">
        <f t="shared" si="94"/>
        <v>0</v>
      </c>
      <c r="I338" s="100">
        <f t="shared" si="94"/>
        <v>0</v>
      </c>
      <c r="J338" s="100">
        <f t="shared" si="94"/>
        <v>0</v>
      </c>
      <c r="K338" s="101">
        <f t="shared" si="94"/>
        <v>0</v>
      </c>
      <c r="L338" s="137" t="e">
        <f t="shared" si="82"/>
        <v>#DIV/0!</v>
      </c>
    </row>
    <row r="339" spans="1:12" ht="12.75" hidden="1" customHeight="1" x14ac:dyDescent="0.25">
      <c r="A339" s="94">
        <v>5275</v>
      </c>
      <c r="B339" s="145">
        <v>443100</v>
      </c>
      <c r="C339" s="84" t="s">
        <v>304</v>
      </c>
      <c r="D339" s="108"/>
      <c r="E339" s="109">
        <f t="shared" si="84"/>
        <v>0</v>
      </c>
      <c r="F339" s="108"/>
      <c r="G339" s="108"/>
      <c r="H339" s="108"/>
      <c r="I339" s="108"/>
      <c r="J339" s="108"/>
      <c r="K339" s="110"/>
      <c r="L339" s="137" t="e">
        <f t="shared" si="82"/>
        <v>#DIV/0!</v>
      </c>
    </row>
    <row r="340" spans="1:12" ht="12.75" hidden="1" customHeight="1" x14ac:dyDescent="0.25">
      <c r="A340" s="93">
        <v>5276</v>
      </c>
      <c r="B340" s="140">
        <v>444000</v>
      </c>
      <c r="C340" s="82" t="s">
        <v>305</v>
      </c>
      <c r="D340" s="100">
        <f>SUM(D341:D343)</f>
        <v>0</v>
      </c>
      <c r="E340" s="100">
        <f t="shared" si="84"/>
        <v>0</v>
      </c>
      <c r="F340" s="100">
        <f t="shared" ref="F340:K340" si="95">SUM(F341:F343)</f>
        <v>0</v>
      </c>
      <c r="G340" s="100">
        <f t="shared" si="95"/>
        <v>0</v>
      </c>
      <c r="H340" s="100">
        <f t="shared" si="95"/>
        <v>0</v>
      </c>
      <c r="I340" s="100">
        <f t="shared" si="95"/>
        <v>0</v>
      </c>
      <c r="J340" s="100">
        <f t="shared" si="95"/>
        <v>0</v>
      </c>
      <c r="K340" s="101">
        <f t="shared" si="95"/>
        <v>0</v>
      </c>
      <c r="L340" s="137" t="e">
        <f t="shared" si="82"/>
        <v>#DIV/0!</v>
      </c>
    </row>
    <row r="341" spans="1:12" ht="12.75" hidden="1" customHeight="1" x14ac:dyDescent="0.25">
      <c r="A341" s="94">
        <v>5277</v>
      </c>
      <c r="B341" s="145">
        <v>444100</v>
      </c>
      <c r="C341" s="84" t="s">
        <v>306</v>
      </c>
      <c r="D341" s="108"/>
      <c r="E341" s="109">
        <f t="shared" si="84"/>
        <v>0</v>
      </c>
      <c r="F341" s="108"/>
      <c r="G341" s="108"/>
      <c r="H341" s="108"/>
      <c r="I341" s="108"/>
      <c r="J341" s="108"/>
      <c r="K341" s="110"/>
      <c r="L341" s="137" t="e">
        <f t="shared" si="82"/>
        <v>#DIV/0!</v>
      </c>
    </row>
    <row r="342" spans="1:12" ht="12.75" hidden="1" customHeight="1" x14ac:dyDescent="0.25">
      <c r="A342" s="94">
        <v>5278</v>
      </c>
      <c r="B342" s="145">
        <v>444200</v>
      </c>
      <c r="C342" s="84" t="s">
        <v>307</v>
      </c>
      <c r="D342" s="108"/>
      <c r="E342" s="109">
        <f t="shared" si="84"/>
        <v>0</v>
      </c>
      <c r="F342" s="108"/>
      <c r="G342" s="108"/>
      <c r="H342" s="108"/>
      <c r="I342" s="108"/>
      <c r="J342" s="108"/>
      <c r="K342" s="110"/>
      <c r="L342" s="137" t="e">
        <f t="shared" si="82"/>
        <v>#DIV/0!</v>
      </c>
    </row>
    <row r="343" spans="1:12" ht="12.75" hidden="1" customHeight="1" x14ac:dyDescent="0.25">
      <c r="A343" s="94">
        <v>5279</v>
      </c>
      <c r="B343" s="145">
        <v>444300</v>
      </c>
      <c r="C343" s="84" t="s">
        <v>308</v>
      </c>
      <c r="D343" s="108"/>
      <c r="E343" s="109">
        <f t="shared" si="84"/>
        <v>0</v>
      </c>
      <c r="F343" s="108"/>
      <c r="G343" s="108"/>
      <c r="H343" s="108"/>
      <c r="I343" s="108"/>
      <c r="J343" s="108"/>
      <c r="K343" s="110"/>
      <c r="L343" s="137" t="e">
        <f t="shared" si="82"/>
        <v>#DIV/0!</v>
      </c>
    </row>
    <row r="344" spans="1:12" ht="12.75" hidden="1" customHeight="1" x14ac:dyDescent="0.25">
      <c r="A344" s="93">
        <v>5280</v>
      </c>
      <c r="B344" s="140">
        <v>450000</v>
      </c>
      <c r="C344" s="82" t="s">
        <v>309</v>
      </c>
      <c r="D344" s="100">
        <f>D345+D348+D351+D354</f>
        <v>0</v>
      </c>
      <c r="E344" s="100">
        <f t="shared" si="84"/>
        <v>0</v>
      </c>
      <c r="F344" s="100">
        <f t="shared" ref="F344:K344" si="96">F345+F348+F351+F354</f>
        <v>0</v>
      </c>
      <c r="G344" s="100">
        <f t="shared" si="96"/>
        <v>0</v>
      </c>
      <c r="H344" s="100">
        <f t="shared" si="96"/>
        <v>0</v>
      </c>
      <c r="I344" s="100">
        <f t="shared" si="96"/>
        <v>0</v>
      </c>
      <c r="J344" s="100">
        <f t="shared" si="96"/>
        <v>0</v>
      </c>
      <c r="K344" s="101">
        <f t="shared" si="96"/>
        <v>0</v>
      </c>
      <c r="L344" s="137" t="e">
        <f t="shared" si="82"/>
        <v>#DIV/0!</v>
      </c>
    </row>
    <row r="345" spans="1:12" ht="12.75" hidden="1" customHeight="1" x14ac:dyDescent="0.25">
      <c r="A345" s="93">
        <v>5281</v>
      </c>
      <c r="B345" s="140">
        <v>451000</v>
      </c>
      <c r="C345" s="82" t="s">
        <v>310</v>
      </c>
      <c r="D345" s="100">
        <f>D346+D347</f>
        <v>0</v>
      </c>
      <c r="E345" s="100">
        <f t="shared" si="84"/>
        <v>0</v>
      </c>
      <c r="F345" s="100">
        <f t="shared" ref="F345:K345" si="97">F346+F347</f>
        <v>0</v>
      </c>
      <c r="G345" s="100">
        <f t="shared" si="97"/>
        <v>0</v>
      </c>
      <c r="H345" s="100">
        <f t="shared" si="97"/>
        <v>0</v>
      </c>
      <c r="I345" s="100">
        <f t="shared" si="97"/>
        <v>0</v>
      </c>
      <c r="J345" s="100">
        <f t="shared" si="97"/>
        <v>0</v>
      </c>
      <c r="K345" s="101">
        <f t="shared" si="97"/>
        <v>0</v>
      </c>
      <c r="L345" s="137" t="e">
        <f t="shared" si="82"/>
        <v>#DIV/0!</v>
      </c>
    </row>
    <row r="346" spans="1:12" ht="12.75" hidden="1" customHeight="1" x14ac:dyDescent="0.25">
      <c r="A346" s="94">
        <v>5282</v>
      </c>
      <c r="B346" s="145">
        <v>451100</v>
      </c>
      <c r="C346" s="84" t="s">
        <v>311</v>
      </c>
      <c r="D346" s="108"/>
      <c r="E346" s="109">
        <f t="shared" si="84"/>
        <v>0</v>
      </c>
      <c r="F346" s="108"/>
      <c r="G346" s="108"/>
      <c r="H346" s="108"/>
      <c r="I346" s="108"/>
      <c r="J346" s="108"/>
      <c r="K346" s="110"/>
      <c r="L346" s="137" t="e">
        <f t="shared" si="82"/>
        <v>#DIV/0!</v>
      </c>
    </row>
    <row r="347" spans="1:12" ht="12.75" hidden="1" customHeight="1" x14ac:dyDescent="0.25">
      <c r="A347" s="94">
        <v>5283</v>
      </c>
      <c r="B347" s="145">
        <v>451200</v>
      </c>
      <c r="C347" s="84" t="s">
        <v>312</v>
      </c>
      <c r="D347" s="108"/>
      <c r="E347" s="109">
        <f t="shared" si="84"/>
        <v>0</v>
      </c>
      <c r="F347" s="108"/>
      <c r="G347" s="108"/>
      <c r="H347" s="108"/>
      <c r="I347" s="108"/>
      <c r="J347" s="108"/>
      <c r="K347" s="110"/>
      <c r="L347" s="137" t="e">
        <f t="shared" si="82"/>
        <v>#DIV/0!</v>
      </c>
    </row>
    <row r="348" spans="1:12" ht="12.75" hidden="1" customHeight="1" x14ac:dyDescent="0.25">
      <c r="A348" s="93">
        <v>5284</v>
      </c>
      <c r="B348" s="140">
        <v>452000</v>
      </c>
      <c r="C348" s="82" t="s">
        <v>313</v>
      </c>
      <c r="D348" s="100">
        <f>D349+D350</f>
        <v>0</v>
      </c>
      <c r="E348" s="100">
        <f t="shared" si="84"/>
        <v>0</v>
      </c>
      <c r="F348" s="100">
        <f t="shared" ref="F348:K348" si="98">F349+F350</f>
        <v>0</v>
      </c>
      <c r="G348" s="100">
        <f t="shared" si="98"/>
        <v>0</v>
      </c>
      <c r="H348" s="100">
        <f t="shared" si="98"/>
        <v>0</v>
      </c>
      <c r="I348" s="100">
        <f t="shared" si="98"/>
        <v>0</v>
      </c>
      <c r="J348" s="100">
        <f t="shared" si="98"/>
        <v>0</v>
      </c>
      <c r="K348" s="101">
        <f t="shared" si="98"/>
        <v>0</v>
      </c>
      <c r="L348" s="137" t="e">
        <f t="shared" ref="L348:L411" si="99">E348/D348</f>
        <v>#DIV/0!</v>
      </c>
    </row>
    <row r="349" spans="1:12" ht="12.75" hidden="1" customHeight="1" x14ac:dyDescent="0.25">
      <c r="A349" s="94">
        <v>5285</v>
      </c>
      <c r="B349" s="145">
        <v>452100</v>
      </c>
      <c r="C349" s="84" t="s">
        <v>314</v>
      </c>
      <c r="D349" s="108"/>
      <c r="E349" s="109">
        <f t="shared" si="84"/>
        <v>0</v>
      </c>
      <c r="F349" s="108"/>
      <c r="G349" s="108"/>
      <c r="H349" s="108"/>
      <c r="I349" s="108"/>
      <c r="J349" s="108"/>
      <c r="K349" s="110"/>
      <c r="L349" s="137" t="e">
        <f t="shared" si="99"/>
        <v>#DIV/0!</v>
      </c>
    </row>
    <row r="350" spans="1:12" ht="12.75" hidden="1" customHeight="1" x14ac:dyDescent="0.25">
      <c r="A350" s="94">
        <v>5286</v>
      </c>
      <c r="B350" s="145">
        <v>452200</v>
      </c>
      <c r="C350" s="84" t="s">
        <v>315</v>
      </c>
      <c r="D350" s="108"/>
      <c r="E350" s="109">
        <f t="shared" si="84"/>
        <v>0</v>
      </c>
      <c r="F350" s="108"/>
      <c r="G350" s="108"/>
      <c r="H350" s="108"/>
      <c r="I350" s="108"/>
      <c r="J350" s="108"/>
      <c r="K350" s="110"/>
      <c r="L350" s="137" t="e">
        <f t="shared" si="99"/>
        <v>#DIV/0!</v>
      </c>
    </row>
    <row r="351" spans="1:12" ht="12.75" hidden="1" customHeight="1" x14ac:dyDescent="0.25">
      <c r="A351" s="93">
        <v>5287</v>
      </c>
      <c r="B351" s="140">
        <v>453000</v>
      </c>
      <c r="C351" s="82" t="s">
        <v>316</v>
      </c>
      <c r="D351" s="100">
        <f>D352+D353</f>
        <v>0</v>
      </c>
      <c r="E351" s="100">
        <f t="shared" si="84"/>
        <v>0</v>
      </c>
      <c r="F351" s="100">
        <f t="shared" ref="F351:K351" si="100">F352+F353</f>
        <v>0</v>
      </c>
      <c r="G351" s="100">
        <f t="shared" si="100"/>
        <v>0</v>
      </c>
      <c r="H351" s="100">
        <f t="shared" si="100"/>
        <v>0</v>
      </c>
      <c r="I351" s="100">
        <f t="shared" si="100"/>
        <v>0</v>
      </c>
      <c r="J351" s="100">
        <f t="shared" si="100"/>
        <v>0</v>
      </c>
      <c r="K351" s="101">
        <f t="shared" si="100"/>
        <v>0</v>
      </c>
      <c r="L351" s="137" t="e">
        <f t="shared" si="99"/>
        <v>#DIV/0!</v>
      </c>
    </row>
    <row r="352" spans="1:12" ht="12.75" hidden="1" customHeight="1" x14ac:dyDescent="0.25">
      <c r="A352" s="94">
        <v>5288</v>
      </c>
      <c r="B352" s="145">
        <v>453100</v>
      </c>
      <c r="C352" s="84" t="s">
        <v>317</v>
      </c>
      <c r="D352" s="108"/>
      <c r="E352" s="109">
        <f t="shared" si="84"/>
        <v>0</v>
      </c>
      <c r="F352" s="108"/>
      <c r="G352" s="108"/>
      <c r="H352" s="108"/>
      <c r="I352" s="108"/>
      <c r="J352" s="108"/>
      <c r="K352" s="110"/>
      <c r="L352" s="137" t="e">
        <f t="shared" si="99"/>
        <v>#DIV/0!</v>
      </c>
    </row>
    <row r="353" spans="1:12" ht="12.75" hidden="1" customHeight="1" x14ac:dyDescent="0.25">
      <c r="A353" s="94">
        <v>5289</v>
      </c>
      <c r="B353" s="145">
        <v>453200</v>
      </c>
      <c r="C353" s="84" t="s">
        <v>318</v>
      </c>
      <c r="D353" s="108"/>
      <c r="E353" s="109">
        <f t="shared" si="84"/>
        <v>0</v>
      </c>
      <c r="F353" s="108"/>
      <c r="G353" s="108"/>
      <c r="H353" s="108"/>
      <c r="I353" s="108"/>
      <c r="J353" s="108"/>
      <c r="K353" s="110"/>
      <c r="L353" s="137" t="e">
        <f t="shared" si="99"/>
        <v>#DIV/0!</v>
      </c>
    </row>
    <row r="354" spans="1:12" ht="12.75" hidden="1" customHeight="1" x14ac:dyDescent="0.25">
      <c r="A354" s="93">
        <v>5290</v>
      </c>
      <c r="B354" s="140">
        <v>454000</v>
      </c>
      <c r="C354" s="82" t="s">
        <v>319</v>
      </c>
      <c r="D354" s="100">
        <f>D355+D356</f>
        <v>0</v>
      </c>
      <c r="E354" s="100">
        <f t="shared" si="84"/>
        <v>0</v>
      </c>
      <c r="F354" s="100">
        <f t="shared" ref="F354:K354" si="101">F355+F356</f>
        <v>0</v>
      </c>
      <c r="G354" s="100">
        <f t="shared" si="101"/>
        <v>0</v>
      </c>
      <c r="H354" s="100">
        <f t="shared" si="101"/>
        <v>0</v>
      </c>
      <c r="I354" s="100">
        <f t="shared" si="101"/>
        <v>0</v>
      </c>
      <c r="J354" s="100">
        <f t="shared" si="101"/>
        <v>0</v>
      </c>
      <c r="K354" s="101">
        <f t="shared" si="101"/>
        <v>0</v>
      </c>
      <c r="L354" s="137" t="e">
        <f t="shared" si="99"/>
        <v>#DIV/0!</v>
      </c>
    </row>
    <row r="355" spans="1:12" ht="12.75" hidden="1" customHeight="1" x14ac:dyDescent="0.25">
      <c r="A355" s="94">
        <v>5291</v>
      </c>
      <c r="B355" s="145">
        <v>454100</v>
      </c>
      <c r="C355" s="84" t="s">
        <v>320</v>
      </c>
      <c r="D355" s="108"/>
      <c r="E355" s="109">
        <f t="shared" si="84"/>
        <v>0</v>
      </c>
      <c r="F355" s="108"/>
      <c r="G355" s="108"/>
      <c r="H355" s="108"/>
      <c r="I355" s="108"/>
      <c r="J355" s="108"/>
      <c r="K355" s="110"/>
      <c r="L355" s="137" t="e">
        <f t="shared" si="99"/>
        <v>#DIV/0!</v>
      </c>
    </row>
    <row r="356" spans="1:12" ht="12.75" hidden="1" customHeight="1" x14ac:dyDescent="0.25">
      <c r="A356" s="94">
        <v>5292</v>
      </c>
      <c r="B356" s="145">
        <v>454200</v>
      </c>
      <c r="C356" s="84" t="s">
        <v>321</v>
      </c>
      <c r="D356" s="108"/>
      <c r="E356" s="109">
        <f t="shared" si="84"/>
        <v>0</v>
      </c>
      <c r="F356" s="108"/>
      <c r="G356" s="108"/>
      <c r="H356" s="108"/>
      <c r="I356" s="108"/>
      <c r="J356" s="108"/>
      <c r="K356" s="110"/>
      <c r="L356" s="137" t="e">
        <f t="shared" si="99"/>
        <v>#DIV/0!</v>
      </c>
    </row>
    <row r="357" spans="1:12" ht="12.75" customHeight="1" x14ac:dyDescent="0.25">
      <c r="A357" s="93">
        <v>5293</v>
      </c>
      <c r="B357" s="140">
        <v>460000</v>
      </c>
      <c r="C357" s="82" t="s">
        <v>322</v>
      </c>
      <c r="D357" s="100">
        <f>D362+D365+D368+D371+D374</f>
        <v>7710</v>
      </c>
      <c r="E357" s="100">
        <f t="shared" si="84"/>
        <v>4149</v>
      </c>
      <c r="F357" s="100">
        <f t="shared" ref="F357:K357" si="102">F362+F365+F368+F371+F374</f>
        <v>0</v>
      </c>
      <c r="G357" s="100">
        <f t="shared" si="102"/>
        <v>0</v>
      </c>
      <c r="H357" s="100">
        <f t="shared" si="102"/>
        <v>0</v>
      </c>
      <c r="I357" s="100">
        <f t="shared" si="102"/>
        <v>4107</v>
      </c>
      <c r="J357" s="100">
        <f t="shared" si="102"/>
        <v>0</v>
      </c>
      <c r="K357" s="101">
        <f t="shared" si="102"/>
        <v>42</v>
      </c>
      <c r="L357" s="137">
        <f t="shared" si="99"/>
        <v>0.53813229571984433</v>
      </c>
    </row>
    <row r="358" spans="1:12" ht="12.75" hidden="1" customHeight="1" x14ac:dyDescent="0.25">
      <c r="A358" s="583" t="s">
        <v>0</v>
      </c>
      <c r="B358" s="584" t="s">
        <v>1</v>
      </c>
      <c r="C358" s="585" t="s">
        <v>2</v>
      </c>
      <c r="D358" s="585" t="s">
        <v>217</v>
      </c>
      <c r="E358" s="575" t="s">
        <v>198</v>
      </c>
      <c r="F358" s="589"/>
      <c r="G358" s="589"/>
      <c r="H358" s="589"/>
      <c r="I358" s="589"/>
      <c r="J358" s="589"/>
      <c r="K358" s="592"/>
      <c r="L358" s="137" t="e">
        <f t="shared" si="99"/>
        <v>#VALUE!</v>
      </c>
    </row>
    <row r="359" spans="1:12" ht="12.75" hidden="1" customHeight="1" x14ac:dyDescent="0.25">
      <c r="A359" s="583"/>
      <c r="B359" s="584"/>
      <c r="C359" s="585"/>
      <c r="D359" s="585"/>
      <c r="E359" s="575" t="s">
        <v>199</v>
      </c>
      <c r="F359" s="575" t="s">
        <v>200</v>
      </c>
      <c r="G359" s="589"/>
      <c r="H359" s="589"/>
      <c r="I359" s="589"/>
      <c r="J359" s="575" t="s">
        <v>7</v>
      </c>
      <c r="K359" s="582" t="s">
        <v>8</v>
      </c>
      <c r="L359" s="137" t="e">
        <f t="shared" si="99"/>
        <v>#VALUE!</v>
      </c>
    </row>
    <row r="360" spans="1:12" ht="12.75" hidden="1" customHeight="1" x14ac:dyDescent="0.25">
      <c r="A360" s="583"/>
      <c r="B360" s="584"/>
      <c r="C360" s="585"/>
      <c r="D360" s="585"/>
      <c r="E360" s="589"/>
      <c r="F360" s="140" t="s">
        <v>201</v>
      </c>
      <c r="G360" s="140" t="s">
        <v>10</v>
      </c>
      <c r="H360" s="140" t="s">
        <v>11</v>
      </c>
      <c r="I360" s="140" t="s">
        <v>12</v>
      </c>
      <c r="J360" s="589"/>
      <c r="K360" s="592"/>
      <c r="L360" s="137" t="e">
        <f t="shared" si="99"/>
        <v>#DIV/0!</v>
      </c>
    </row>
    <row r="361" spans="1:12" ht="12.75" hidden="1" customHeight="1" x14ac:dyDescent="0.25">
      <c r="A361" s="95" t="s">
        <v>18</v>
      </c>
      <c r="B361" s="139" t="s">
        <v>19</v>
      </c>
      <c r="C361" s="139" t="s">
        <v>20</v>
      </c>
      <c r="D361" s="139" t="s">
        <v>21</v>
      </c>
      <c r="E361" s="139" t="s">
        <v>22</v>
      </c>
      <c r="F361" s="139" t="s">
        <v>23</v>
      </c>
      <c r="G361" s="139" t="s">
        <v>24</v>
      </c>
      <c r="H361" s="139" t="s">
        <v>25</v>
      </c>
      <c r="I361" s="139" t="s">
        <v>26</v>
      </c>
      <c r="J361" s="139" t="s">
        <v>27</v>
      </c>
      <c r="K361" s="99" t="s">
        <v>28</v>
      </c>
      <c r="L361" s="137">
        <f t="shared" si="99"/>
        <v>1.25</v>
      </c>
    </row>
    <row r="362" spans="1:12" ht="12.75" hidden="1" customHeight="1" x14ac:dyDescent="0.25">
      <c r="A362" s="93">
        <v>5294</v>
      </c>
      <c r="B362" s="140">
        <v>461000</v>
      </c>
      <c r="C362" s="82" t="s">
        <v>323</v>
      </c>
      <c r="D362" s="100">
        <f>D363+D364</f>
        <v>0</v>
      </c>
      <c r="E362" s="100">
        <f t="shared" si="84"/>
        <v>0</v>
      </c>
      <c r="F362" s="100">
        <f t="shared" ref="F362:K362" si="103">F363+F364</f>
        <v>0</v>
      </c>
      <c r="G362" s="100">
        <f t="shared" si="103"/>
        <v>0</v>
      </c>
      <c r="H362" s="100">
        <f t="shared" si="103"/>
        <v>0</v>
      </c>
      <c r="I362" s="100">
        <f t="shared" si="103"/>
        <v>0</v>
      </c>
      <c r="J362" s="100">
        <f t="shared" si="103"/>
        <v>0</v>
      </c>
      <c r="K362" s="101">
        <f t="shared" si="103"/>
        <v>0</v>
      </c>
      <c r="L362" s="137" t="e">
        <f t="shared" si="99"/>
        <v>#DIV/0!</v>
      </c>
    </row>
    <row r="363" spans="1:12" ht="12.75" hidden="1" customHeight="1" x14ac:dyDescent="0.25">
      <c r="A363" s="94">
        <v>5295</v>
      </c>
      <c r="B363" s="145">
        <v>461100</v>
      </c>
      <c r="C363" s="84" t="s">
        <v>324</v>
      </c>
      <c r="D363" s="108"/>
      <c r="E363" s="109">
        <f t="shared" si="84"/>
        <v>0</v>
      </c>
      <c r="F363" s="108"/>
      <c r="G363" s="108"/>
      <c r="H363" s="108"/>
      <c r="I363" s="108"/>
      <c r="J363" s="108"/>
      <c r="K363" s="110"/>
      <c r="L363" s="137" t="e">
        <f t="shared" si="99"/>
        <v>#DIV/0!</v>
      </c>
    </row>
    <row r="364" spans="1:12" ht="12.75" hidden="1" customHeight="1" x14ac:dyDescent="0.25">
      <c r="A364" s="94">
        <v>5296</v>
      </c>
      <c r="B364" s="145">
        <v>461200</v>
      </c>
      <c r="C364" s="84" t="s">
        <v>325</v>
      </c>
      <c r="D364" s="108"/>
      <c r="E364" s="109">
        <f t="shared" si="84"/>
        <v>0</v>
      </c>
      <c r="F364" s="108"/>
      <c r="G364" s="108"/>
      <c r="H364" s="108"/>
      <c r="I364" s="108"/>
      <c r="J364" s="108"/>
      <c r="K364" s="110"/>
      <c r="L364" s="137" t="e">
        <f t="shared" si="99"/>
        <v>#DIV/0!</v>
      </c>
    </row>
    <row r="365" spans="1:12" ht="12.75" hidden="1" customHeight="1" x14ac:dyDescent="0.25">
      <c r="A365" s="93">
        <v>5297</v>
      </c>
      <c r="B365" s="140">
        <v>462000</v>
      </c>
      <c r="C365" s="82" t="s">
        <v>326</v>
      </c>
      <c r="D365" s="100">
        <f>D366+D367</f>
        <v>0</v>
      </c>
      <c r="E365" s="100">
        <f t="shared" si="84"/>
        <v>0</v>
      </c>
      <c r="F365" s="100">
        <f t="shared" ref="F365:K365" si="104">F366+F367</f>
        <v>0</v>
      </c>
      <c r="G365" s="100">
        <f t="shared" si="104"/>
        <v>0</v>
      </c>
      <c r="H365" s="100">
        <f t="shared" si="104"/>
        <v>0</v>
      </c>
      <c r="I365" s="100">
        <f t="shared" si="104"/>
        <v>0</v>
      </c>
      <c r="J365" s="100">
        <f t="shared" si="104"/>
        <v>0</v>
      </c>
      <c r="K365" s="101">
        <f t="shared" si="104"/>
        <v>0</v>
      </c>
      <c r="L365" s="137" t="e">
        <f t="shared" si="99"/>
        <v>#DIV/0!</v>
      </c>
    </row>
    <row r="366" spans="1:12" ht="12.75" hidden="1" customHeight="1" x14ac:dyDescent="0.25">
      <c r="A366" s="94">
        <v>5298</v>
      </c>
      <c r="B366" s="145">
        <v>462100</v>
      </c>
      <c r="C366" s="84" t="s">
        <v>327</v>
      </c>
      <c r="D366" s="108"/>
      <c r="E366" s="109">
        <f t="shared" si="84"/>
        <v>0</v>
      </c>
      <c r="F366" s="108"/>
      <c r="G366" s="108"/>
      <c r="H366" s="108"/>
      <c r="I366" s="108"/>
      <c r="J366" s="108"/>
      <c r="K366" s="110"/>
      <c r="L366" s="137" t="e">
        <f t="shared" si="99"/>
        <v>#DIV/0!</v>
      </c>
    </row>
    <row r="367" spans="1:12" ht="12.75" hidden="1" customHeight="1" x14ac:dyDescent="0.25">
      <c r="A367" s="94">
        <v>5299</v>
      </c>
      <c r="B367" s="145">
        <v>462200</v>
      </c>
      <c r="C367" s="84" t="s">
        <v>328</v>
      </c>
      <c r="D367" s="108"/>
      <c r="E367" s="109">
        <f t="shared" si="84"/>
        <v>0</v>
      </c>
      <c r="F367" s="108"/>
      <c r="G367" s="108"/>
      <c r="H367" s="108"/>
      <c r="I367" s="108"/>
      <c r="J367" s="108"/>
      <c r="K367" s="110"/>
      <c r="L367" s="137" t="e">
        <f t="shared" si="99"/>
        <v>#DIV/0!</v>
      </c>
    </row>
    <row r="368" spans="1:12" ht="12.75" hidden="1" customHeight="1" x14ac:dyDescent="0.25">
      <c r="A368" s="93">
        <v>5300</v>
      </c>
      <c r="B368" s="140">
        <v>463000</v>
      </c>
      <c r="C368" s="82" t="s">
        <v>329</v>
      </c>
      <c r="D368" s="100">
        <f>D369+D370</f>
        <v>0</v>
      </c>
      <c r="E368" s="100">
        <f t="shared" ref="E368:E440" si="105">SUM(F368:K368)</f>
        <v>0</v>
      </c>
      <c r="F368" s="100">
        <f t="shared" ref="F368:K368" si="106">F369+F370</f>
        <v>0</v>
      </c>
      <c r="G368" s="100">
        <f t="shared" si="106"/>
        <v>0</v>
      </c>
      <c r="H368" s="100">
        <f t="shared" si="106"/>
        <v>0</v>
      </c>
      <c r="I368" s="100">
        <f t="shared" si="106"/>
        <v>0</v>
      </c>
      <c r="J368" s="100">
        <f t="shared" si="106"/>
        <v>0</v>
      </c>
      <c r="K368" s="101">
        <f t="shared" si="106"/>
        <v>0</v>
      </c>
      <c r="L368" s="137" t="e">
        <f t="shared" si="99"/>
        <v>#DIV/0!</v>
      </c>
    </row>
    <row r="369" spans="1:12" ht="12.75" hidden="1" customHeight="1" x14ac:dyDescent="0.25">
      <c r="A369" s="94">
        <v>5301</v>
      </c>
      <c r="B369" s="145">
        <v>463100</v>
      </c>
      <c r="C369" s="84" t="s">
        <v>330</v>
      </c>
      <c r="D369" s="108"/>
      <c r="E369" s="109">
        <f t="shared" si="105"/>
        <v>0</v>
      </c>
      <c r="F369" s="108"/>
      <c r="G369" s="108"/>
      <c r="H369" s="108"/>
      <c r="I369" s="108"/>
      <c r="J369" s="108"/>
      <c r="K369" s="110"/>
      <c r="L369" s="137" t="e">
        <f t="shared" si="99"/>
        <v>#DIV/0!</v>
      </c>
    </row>
    <row r="370" spans="1:12" ht="12.75" hidden="1" customHeight="1" x14ac:dyDescent="0.25">
      <c r="A370" s="94">
        <v>5302</v>
      </c>
      <c r="B370" s="145">
        <v>463200</v>
      </c>
      <c r="C370" s="84" t="s">
        <v>331</v>
      </c>
      <c r="D370" s="108"/>
      <c r="E370" s="109">
        <f t="shared" si="105"/>
        <v>0</v>
      </c>
      <c r="F370" s="108"/>
      <c r="G370" s="108"/>
      <c r="H370" s="108"/>
      <c r="I370" s="108"/>
      <c r="J370" s="108"/>
      <c r="K370" s="110"/>
      <c r="L370" s="137" t="e">
        <f t="shared" si="99"/>
        <v>#DIV/0!</v>
      </c>
    </row>
    <row r="371" spans="1:12" ht="12.75" hidden="1" customHeight="1" x14ac:dyDescent="0.25">
      <c r="A371" s="93">
        <v>5303</v>
      </c>
      <c r="B371" s="140">
        <v>464000</v>
      </c>
      <c r="C371" s="82" t="s">
        <v>332</v>
      </c>
      <c r="D371" s="100">
        <f>D372+D373</f>
        <v>0</v>
      </c>
      <c r="E371" s="100">
        <f t="shared" si="105"/>
        <v>0</v>
      </c>
      <c r="F371" s="100">
        <f t="shared" ref="F371:K371" si="107">F372+F373</f>
        <v>0</v>
      </c>
      <c r="G371" s="100">
        <f t="shared" si="107"/>
        <v>0</v>
      </c>
      <c r="H371" s="100">
        <f t="shared" si="107"/>
        <v>0</v>
      </c>
      <c r="I371" s="100">
        <f t="shared" si="107"/>
        <v>0</v>
      </c>
      <c r="J371" s="100">
        <f t="shared" si="107"/>
        <v>0</v>
      </c>
      <c r="K371" s="101">
        <f t="shared" si="107"/>
        <v>0</v>
      </c>
      <c r="L371" s="137" t="e">
        <f t="shared" si="99"/>
        <v>#DIV/0!</v>
      </c>
    </row>
    <row r="372" spans="1:12" ht="12.75" hidden="1" customHeight="1" x14ac:dyDescent="0.25">
      <c r="A372" s="94">
        <v>5304</v>
      </c>
      <c r="B372" s="145">
        <v>464100</v>
      </c>
      <c r="C372" s="84" t="s">
        <v>333</v>
      </c>
      <c r="D372" s="108"/>
      <c r="E372" s="109">
        <f t="shared" si="105"/>
        <v>0</v>
      </c>
      <c r="F372" s="108"/>
      <c r="G372" s="108"/>
      <c r="H372" s="108"/>
      <c r="I372" s="108"/>
      <c r="J372" s="108"/>
      <c r="K372" s="110"/>
      <c r="L372" s="137" t="e">
        <f t="shared" si="99"/>
        <v>#DIV/0!</v>
      </c>
    </row>
    <row r="373" spans="1:12" ht="12.75" hidden="1" customHeight="1" x14ac:dyDescent="0.25">
      <c r="A373" s="94">
        <v>5305</v>
      </c>
      <c r="B373" s="145">
        <v>464200</v>
      </c>
      <c r="C373" s="84" t="s">
        <v>334</v>
      </c>
      <c r="D373" s="108"/>
      <c r="E373" s="109">
        <f t="shared" si="105"/>
        <v>0</v>
      </c>
      <c r="F373" s="108"/>
      <c r="G373" s="108"/>
      <c r="H373" s="108"/>
      <c r="I373" s="108"/>
      <c r="J373" s="108"/>
      <c r="K373" s="110"/>
      <c r="L373" s="137" t="e">
        <f t="shared" si="99"/>
        <v>#DIV/0!</v>
      </c>
    </row>
    <row r="374" spans="1:12" ht="12.75" customHeight="1" x14ac:dyDescent="0.25">
      <c r="A374" s="93">
        <v>5306</v>
      </c>
      <c r="B374" s="140">
        <v>465000</v>
      </c>
      <c r="C374" s="82" t="s">
        <v>335</v>
      </c>
      <c r="D374" s="100">
        <f>D375+D376</f>
        <v>7710</v>
      </c>
      <c r="E374" s="100">
        <f t="shared" si="105"/>
        <v>4149</v>
      </c>
      <c r="F374" s="100">
        <f t="shared" ref="F374:K374" si="108">F375+F376</f>
        <v>0</v>
      </c>
      <c r="G374" s="100">
        <f t="shared" si="108"/>
        <v>0</v>
      </c>
      <c r="H374" s="100">
        <f t="shared" si="108"/>
        <v>0</v>
      </c>
      <c r="I374" s="100">
        <f t="shared" si="108"/>
        <v>4107</v>
      </c>
      <c r="J374" s="100">
        <f t="shared" si="108"/>
        <v>0</v>
      </c>
      <c r="K374" s="101">
        <f t="shared" si="108"/>
        <v>42</v>
      </c>
      <c r="L374" s="137">
        <f t="shared" si="99"/>
        <v>0.53813229571984433</v>
      </c>
    </row>
    <row r="375" spans="1:12" ht="12.75" customHeight="1" x14ac:dyDescent="0.25">
      <c r="A375" s="94">
        <v>5307</v>
      </c>
      <c r="B375" s="145">
        <v>465100</v>
      </c>
      <c r="C375" s="84" t="s">
        <v>336</v>
      </c>
      <c r="D375" s="108">
        <v>7710</v>
      </c>
      <c r="E375" s="109">
        <f t="shared" si="105"/>
        <v>4149</v>
      </c>
      <c r="F375" s="108"/>
      <c r="G375" s="108"/>
      <c r="H375" s="108"/>
      <c r="I375" s="108">
        <v>4107</v>
      </c>
      <c r="J375" s="108"/>
      <c r="K375" s="110">
        <v>42</v>
      </c>
      <c r="L375" s="137">
        <f t="shared" si="99"/>
        <v>0.53813229571984433</v>
      </c>
    </row>
    <row r="376" spans="1:12" ht="12.75" hidden="1" customHeight="1" x14ac:dyDescent="0.25">
      <c r="A376" s="94">
        <v>5308</v>
      </c>
      <c r="B376" s="145">
        <v>465200</v>
      </c>
      <c r="C376" s="84" t="s">
        <v>337</v>
      </c>
      <c r="D376" s="108"/>
      <c r="E376" s="109">
        <f t="shared" si="105"/>
        <v>0</v>
      </c>
      <c r="F376" s="108"/>
      <c r="G376" s="108"/>
      <c r="H376" s="108"/>
      <c r="I376" s="108"/>
      <c r="J376" s="108"/>
      <c r="K376" s="110"/>
      <c r="L376" s="137" t="e">
        <f t="shared" si="99"/>
        <v>#DIV/0!</v>
      </c>
    </row>
    <row r="377" spans="1:12" ht="12.75" hidden="1" customHeight="1" x14ac:dyDescent="0.25">
      <c r="A377" s="93">
        <v>5309</v>
      </c>
      <c r="B377" s="140">
        <v>470000</v>
      </c>
      <c r="C377" s="82" t="s">
        <v>338</v>
      </c>
      <c r="D377" s="100">
        <f>D378+D382</f>
        <v>0</v>
      </c>
      <c r="E377" s="100">
        <f t="shared" si="105"/>
        <v>0</v>
      </c>
      <c r="F377" s="100">
        <f t="shared" ref="F377:K377" si="109">F378+F382</f>
        <v>0</v>
      </c>
      <c r="G377" s="100">
        <f t="shared" si="109"/>
        <v>0</v>
      </c>
      <c r="H377" s="100">
        <f t="shared" si="109"/>
        <v>0</v>
      </c>
      <c r="I377" s="100">
        <f t="shared" si="109"/>
        <v>0</v>
      </c>
      <c r="J377" s="100">
        <f t="shared" si="109"/>
        <v>0</v>
      </c>
      <c r="K377" s="101">
        <f t="shared" si="109"/>
        <v>0</v>
      </c>
      <c r="L377" s="137" t="e">
        <f t="shared" si="99"/>
        <v>#DIV/0!</v>
      </c>
    </row>
    <row r="378" spans="1:12" ht="12.75" hidden="1" customHeight="1" x14ac:dyDescent="0.25">
      <c r="A378" s="93">
        <v>5310</v>
      </c>
      <c r="B378" s="140">
        <v>471000</v>
      </c>
      <c r="C378" s="82" t="s">
        <v>339</v>
      </c>
      <c r="D378" s="100">
        <f>SUM(D379:D381)</f>
        <v>0</v>
      </c>
      <c r="E378" s="100">
        <f t="shared" si="105"/>
        <v>0</v>
      </c>
      <c r="F378" s="100">
        <f t="shared" ref="F378:K378" si="110">SUM(F379:F381)</f>
        <v>0</v>
      </c>
      <c r="G378" s="100">
        <f t="shared" si="110"/>
        <v>0</v>
      </c>
      <c r="H378" s="100">
        <f t="shared" si="110"/>
        <v>0</v>
      </c>
      <c r="I378" s="100">
        <f t="shared" si="110"/>
        <v>0</v>
      </c>
      <c r="J378" s="100">
        <f t="shared" si="110"/>
        <v>0</v>
      </c>
      <c r="K378" s="101">
        <f t="shared" si="110"/>
        <v>0</v>
      </c>
      <c r="L378" s="137" t="e">
        <f t="shared" si="99"/>
        <v>#DIV/0!</v>
      </c>
    </row>
    <row r="379" spans="1:12" ht="12.75" hidden="1" customHeight="1" x14ac:dyDescent="0.25">
      <c r="A379" s="94">
        <v>5311</v>
      </c>
      <c r="B379" s="145">
        <v>471100</v>
      </c>
      <c r="C379" s="84" t="s">
        <v>340</v>
      </c>
      <c r="D379" s="108"/>
      <c r="E379" s="109">
        <f t="shared" si="105"/>
        <v>0</v>
      </c>
      <c r="F379" s="108"/>
      <c r="G379" s="108"/>
      <c r="H379" s="108"/>
      <c r="I379" s="108"/>
      <c r="J379" s="108"/>
      <c r="K379" s="110"/>
      <c r="L379" s="137" t="e">
        <f t="shared" si="99"/>
        <v>#DIV/0!</v>
      </c>
    </row>
    <row r="380" spans="1:12" ht="12.75" hidden="1" customHeight="1" x14ac:dyDescent="0.25">
      <c r="A380" s="94">
        <v>5312</v>
      </c>
      <c r="B380" s="145">
        <v>471200</v>
      </c>
      <c r="C380" s="84" t="s">
        <v>341</v>
      </c>
      <c r="D380" s="108"/>
      <c r="E380" s="109">
        <f t="shared" si="105"/>
        <v>0</v>
      </c>
      <c r="F380" s="108"/>
      <c r="G380" s="108"/>
      <c r="H380" s="108"/>
      <c r="I380" s="108"/>
      <c r="J380" s="108"/>
      <c r="K380" s="110"/>
      <c r="L380" s="137" t="e">
        <f t="shared" si="99"/>
        <v>#DIV/0!</v>
      </c>
    </row>
    <row r="381" spans="1:12" ht="12.75" hidden="1" customHeight="1" x14ac:dyDescent="0.25">
      <c r="A381" s="94">
        <v>5313</v>
      </c>
      <c r="B381" s="145">
        <v>471900</v>
      </c>
      <c r="C381" s="84" t="s">
        <v>342</v>
      </c>
      <c r="D381" s="108"/>
      <c r="E381" s="109">
        <f t="shared" si="105"/>
        <v>0</v>
      </c>
      <c r="F381" s="108"/>
      <c r="G381" s="108"/>
      <c r="H381" s="108"/>
      <c r="I381" s="108"/>
      <c r="J381" s="108"/>
      <c r="K381" s="110"/>
      <c r="L381" s="137" t="e">
        <f t="shared" si="99"/>
        <v>#DIV/0!</v>
      </c>
    </row>
    <row r="382" spans="1:12" ht="12.75" hidden="1" customHeight="1" x14ac:dyDescent="0.25">
      <c r="A382" s="93">
        <v>5314</v>
      </c>
      <c r="B382" s="140">
        <v>472000</v>
      </c>
      <c r="C382" s="82" t="s">
        <v>343</v>
      </c>
      <c r="D382" s="100">
        <f>SUM(D387:D395)</f>
        <v>0</v>
      </c>
      <c r="E382" s="100">
        <f t="shared" si="105"/>
        <v>0</v>
      </c>
      <c r="F382" s="100">
        <f t="shared" ref="F382:K382" si="111">SUM(F387:F395)</f>
        <v>0</v>
      </c>
      <c r="G382" s="100">
        <f t="shared" si="111"/>
        <v>0</v>
      </c>
      <c r="H382" s="100">
        <f t="shared" si="111"/>
        <v>0</v>
      </c>
      <c r="I382" s="100">
        <f t="shared" si="111"/>
        <v>0</v>
      </c>
      <c r="J382" s="100">
        <f t="shared" si="111"/>
        <v>0</v>
      </c>
      <c r="K382" s="101">
        <f t="shared" si="111"/>
        <v>0</v>
      </c>
      <c r="L382" s="137" t="e">
        <f t="shared" si="99"/>
        <v>#DIV/0!</v>
      </c>
    </row>
    <row r="383" spans="1:12" ht="12.75" hidden="1" customHeight="1" x14ac:dyDescent="0.25">
      <c r="A383" s="583" t="s">
        <v>0</v>
      </c>
      <c r="B383" s="584" t="s">
        <v>1</v>
      </c>
      <c r="C383" s="585" t="s">
        <v>2</v>
      </c>
      <c r="D383" s="585" t="s">
        <v>217</v>
      </c>
      <c r="E383" s="575" t="s">
        <v>198</v>
      </c>
      <c r="F383" s="589"/>
      <c r="G383" s="589"/>
      <c r="H383" s="589"/>
      <c r="I383" s="589"/>
      <c r="J383" s="589"/>
      <c r="K383" s="592"/>
      <c r="L383" s="137" t="e">
        <f t="shared" si="99"/>
        <v>#VALUE!</v>
      </c>
    </row>
    <row r="384" spans="1:12" ht="12.75" hidden="1" customHeight="1" x14ac:dyDescent="0.25">
      <c r="A384" s="583"/>
      <c r="B384" s="584"/>
      <c r="C384" s="585"/>
      <c r="D384" s="585"/>
      <c r="E384" s="575" t="s">
        <v>199</v>
      </c>
      <c r="F384" s="575" t="s">
        <v>200</v>
      </c>
      <c r="G384" s="589"/>
      <c r="H384" s="589"/>
      <c r="I384" s="589"/>
      <c r="J384" s="575" t="s">
        <v>7</v>
      </c>
      <c r="K384" s="582" t="s">
        <v>8</v>
      </c>
      <c r="L384" s="137" t="e">
        <f t="shared" si="99"/>
        <v>#VALUE!</v>
      </c>
    </row>
    <row r="385" spans="1:12" ht="12.75" hidden="1" customHeight="1" x14ac:dyDescent="0.25">
      <c r="A385" s="583"/>
      <c r="B385" s="584"/>
      <c r="C385" s="585"/>
      <c r="D385" s="585"/>
      <c r="E385" s="589"/>
      <c r="F385" s="140" t="s">
        <v>201</v>
      </c>
      <c r="G385" s="140" t="s">
        <v>10</v>
      </c>
      <c r="H385" s="140" t="s">
        <v>11</v>
      </c>
      <c r="I385" s="140" t="s">
        <v>12</v>
      </c>
      <c r="J385" s="589"/>
      <c r="K385" s="592"/>
      <c r="L385" s="137" t="e">
        <f t="shared" si="99"/>
        <v>#DIV/0!</v>
      </c>
    </row>
    <row r="386" spans="1:12" ht="12.75" hidden="1" customHeight="1" x14ac:dyDescent="0.25">
      <c r="A386" s="95" t="s">
        <v>18</v>
      </c>
      <c r="B386" s="139" t="s">
        <v>19</v>
      </c>
      <c r="C386" s="139" t="s">
        <v>20</v>
      </c>
      <c r="D386" s="139" t="s">
        <v>21</v>
      </c>
      <c r="E386" s="139" t="s">
        <v>22</v>
      </c>
      <c r="F386" s="139" t="s">
        <v>23</v>
      </c>
      <c r="G386" s="139" t="s">
        <v>24</v>
      </c>
      <c r="H386" s="139" t="s">
        <v>25</v>
      </c>
      <c r="I386" s="139" t="s">
        <v>26</v>
      </c>
      <c r="J386" s="139" t="s">
        <v>27</v>
      </c>
      <c r="K386" s="99" t="s">
        <v>28</v>
      </c>
      <c r="L386" s="137">
        <f t="shared" si="99"/>
        <v>1.25</v>
      </c>
    </row>
    <row r="387" spans="1:12" ht="12.75" hidden="1" customHeight="1" x14ac:dyDescent="0.25">
      <c r="A387" s="94">
        <v>5315</v>
      </c>
      <c r="B387" s="145">
        <v>472100</v>
      </c>
      <c r="C387" s="84" t="s">
        <v>344</v>
      </c>
      <c r="D387" s="108"/>
      <c r="E387" s="109">
        <f t="shared" si="105"/>
        <v>0</v>
      </c>
      <c r="F387" s="108"/>
      <c r="G387" s="108"/>
      <c r="H387" s="108"/>
      <c r="I387" s="108"/>
      <c r="J387" s="108"/>
      <c r="K387" s="110"/>
      <c r="L387" s="137" t="e">
        <f t="shared" si="99"/>
        <v>#DIV/0!</v>
      </c>
    </row>
    <row r="388" spans="1:12" ht="12.75" hidden="1" customHeight="1" x14ac:dyDescent="0.25">
      <c r="A388" s="94">
        <v>5316</v>
      </c>
      <c r="B388" s="145">
        <v>472200</v>
      </c>
      <c r="C388" s="84" t="s">
        <v>345</v>
      </c>
      <c r="D388" s="108"/>
      <c r="E388" s="109">
        <f t="shared" si="105"/>
        <v>0</v>
      </c>
      <c r="F388" s="108"/>
      <c r="G388" s="108"/>
      <c r="H388" s="108"/>
      <c r="I388" s="108"/>
      <c r="J388" s="108"/>
      <c r="K388" s="110"/>
      <c r="L388" s="137" t="e">
        <f t="shared" si="99"/>
        <v>#DIV/0!</v>
      </c>
    </row>
    <row r="389" spans="1:12" ht="12.75" hidden="1" customHeight="1" x14ac:dyDescent="0.25">
      <c r="A389" s="94">
        <v>5317</v>
      </c>
      <c r="B389" s="145">
        <v>472300</v>
      </c>
      <c r="C389" s="84" t="s">
        <v>346</v>
      </c>
      <c r="D389" s="108"/>
      <c r="E389" s="109">
        <f t="shared" si="105"/>
        <v>0</v>
      </c>
      <c r="F389" s="108"/>
      <c r="G389" s="108"/>
      <c r="H389" s="108"/>
      <c r="I389" s="108"/>
      <c r="J389" s="108"/>
      <c r="K389" s="110"/>
      <c r="L389" s="137" t="e">
        <f t="shared" si="99"/>
        <v>#DIV/0!</v>
      </c>
    </row>
    <row r="390" spans="1:12" ht="12.75" hidden="1" customHeight="1" x14ac:dyDescent="0.25">
      <c r="A390" s="94">
        <v>5318</v>
      </c>
      <c r="B390" s="145">
        <v>472400</v>
      </c>
      <c r="C390" s="84" t="s">
        <v>347</v>
      </c>
      <c r="D390" s="108"/>
      <c r="E390" s="109">
        <f t="shared" si="105"/>
        <v>0</v>
      </c>
      <c r="F390" s="108"/>
      <c r="G390" s="108"/>
      <c r="H390" s="108"/>
      <c r="I390" s="108"/>
      <c r="J390" s="108"/>
      <c r="K390" s="110"/>
      <c r="L390" s="137" t="e">
        <f t="shared" si="99"/>
        <v>#DIV/0!</v>
      </c>
    </row>
    <row r="391" spans="1:12" ht="12.75" hidden="1" customHeight="1" x14ac:dyDescent="0.25">
      <c r="A391" s="94">
        <v>5319</v>
      </c>
      <c r="B391" s="145">
        <v>472500</v>
      </c>
      <c r="C391" s="84" t="s">
        <v>348</v>
      </c>
      <c r="D391" s="108"/>
      <c r="E391" s="109">
        <f t="shared" si="105"/>
        <v>0</v>
      </c>
      <c r="F391" s="108"/>
      <c r="G391" s="108"/>
      <c r="H391" s="108"/>
      <c r="I391" s="108"/>
      <c r="J391" s="108"/>
      <c r="K391" s="110"/>
      <c r="L391" s="137" t="e">
        <f t="shared" si="99"/>
        <v>#DIV/0!</v>
      </c>
    </row>
    <row r="392" spans="1:12" ht="12.75" hidden="1" customHeight="1" x14ac:dyDescent="0.25">
      <c r="A392" s="94">
        <v>5320</v>
      </c>
      <c r="B392" s="145">
        <v>472600</v>
      </c>
      <c r="C392" s="84" t="s">
        <v>349</v>
      </c>
      <c r="D392" s="108"/>
      <c r="E392" s="109">
        <f t="shared" si="105"/>
        <v>0</v>
      </c>
      <c r="F392" s="108"/>
      <c r="G392" s="108"/>
      <c r="H392" s="108"/>
      <c r="I392" s="108"/>
      <c r="J392" s="108"/>
      <c r="K392" s="110"/>
      <c r="L392" s="137" t="e">
        <f t="shared" si="99"/>
        <v>#DIV/0!</v>
      </c>
    </row>
    <row r="393" spans="1:12" ht="12.75" hidden="1" customHeight="1" x14ac:dyDescent="0.25">
      <c r="A393" s="94">
        <v>5321</v>
      </c>
      <c r="B393" s="145">
        <v>472700</v>
      </c>
      <c r="C393" s="84" t="s">
        <v>350</v>
      </c>
      <c r="D393" s="108"/>
      <c r="E393" s="109">
        <f t="shared" si="105"/>
        <v>0</v>
      </c>
      <c r="F393" s="108"/>
      <c r="G393" s="108"/>
      <c r="H393" s="108"/>
      <c r="I393" s="108"/>
      <c r="J393" s="108"/>
      <c r="K393" s="110"/>
      <c r="L393" s="137" t="e">
        <f t="shared" si="99"/>
        <v>#DIV/0!</v>
      </c>
    </row>
    <row r="394" spans="1:12" ht="12.75" hidden="1" customHeight="1" x14ac:dyDescent="0.25">
      <c r="A394" s="94">
        <v>5322</v>
      </c>
      <c r="B394" s="145">
        <v>472800</v>
      </c>
      <c r="C394" s="84" t="s">
        <v>351</v>
      </c>
      <c r="D394" s="108"/>
      <c r="E394" s="109">
        <f t="shared" si="105"/>
        <v>0</v>
      </c>
      <c r="F394" s="108"/>
      <c r="G394" s="108"/>
      <c r="H394" s="108"/>
      <c r="I394" s="108"/>
      <c r="J394" s="108"/>
      <c r="K394" s="110"/>
      <c r="L394" s="137" t="e">
        <f t="shared" si="99"/>
        <v>#DIV/0!</v>
      </c>
    </row>
    <row r="395" spans="1:12" ht="12.75" hidden="1" customHeight="1" x14ac:dyDescent="0.25">
      <c r="A395" s="94">
        <v>5323</v>
      </c>
      <c r="B395" s="145">
        <v>472900</v>
      </c>
      <c r="C395" s="84" t="s">
        <v>352</v>
      </c>
      <c r="D395" s="108"/>
      <c r="E395" s="109">
        <f t="shared" si="105"/>
        <v>0</v>
      </c>
      <c r="F395" s="108"/>
      <c r="G395" s="108"/>
      <c r="H395" s="108"/>
      <c r="I395" s="108"/>
      <c r="J395" s="108"/>
      <c r="K395" s="110"/>
      <c r="L395" s="137" t="e">
        <f t="shared" si="99"/>
        <v>#DIV/0!</v>
      </c>
    </row>
    <row r="396" spans="1:12" ht="12.75" customHeight="1" x14ac:dyDescent="0.25">
      <c r="A396" s="93">
        <v>5324</v>
      </c>
      <c r="B396" s="140">
        <v>480000</v>
      </c>
      <c r="C396" s="82" t="s">
        <v>353</v>
      </c>
      <c r="D396" s="100">
        <f>D397+D400+D404+D406+D409+D415</f>
        <v>135</v>
      </c>
      <c r="E396" s="100">
        <f t="shared" si="105"/>
        <v>92</v>
      </c>
      <c r="F396" s="100">
        <f t="shared" ref="F396:K396" si="112">F397+F400+F404+F406+F409+F415</f>
        <v>0</v>
      </c>
      <c r="G396" s="100">
        <f t="shared" si="112"/>
        <v>0</v>
      </c>
      <c r="H396" s="100">
        <f t="shared" si="112"/>
        <v>0</v>
      </c>
      <c r="I396" s="100">
        <f t="shared" si="112"/>
        <v>10</v>
      </c>
      <c r="J396" s="100">
        <f t="shared" si="112"/>
        <v>0</v>
      </c>
      <c r="K396" s="101">
        <f t="shared" si="112"/>
        <v>82</v>
      </c>
      <c r="L396" s="137">
        <f t="shared" si="99"/>
        <v>0.68148148148148147</v>
      </c>
    </row>
    <row r="397" spans="1:12" ht="12.75" customHeight="1" x14ac:dyDescent="0.25">
      <c r="A397" s="93">
        <v>5325</v>
      </c>
      <c r="B397" s="140">
        <v>481000</v>
      </c>
      <c r="C397" s="82" t="s">
        <v>354</v>
      </c>
      <c r="D397" s="100">
        <f>D398+D399</f>
        <v>35</v>
      </c>
      <c r="E397" s="100">
        <f t="shared" si="105"/>
        <v>25</v>
      </c>
      <c r="F397" s="100">
        <f t="shared" ref="F397:K397" si="113">F398+F399</f>
        <v>0</v>
      </c>
      <c r="G397" s="100">
        <f t="shared" si="113"/>
        <v>0</v>
      </c>
      <c r="H397" s="100">
        <f t="shared" si="113"/>
        <v>0</v>
      </c>
      <c r="I397" s="100">
        <f t="shared" si="113"/>
        <v>0</v>
      </c>
      <c r="J397" s="100">
        <f t="shared" si="113"/>
        <v>0</v>
      </c>
      <c r="K397" s="101">
        <f t="shared" si="113"/>
        <v>25</v>
      </c>
      <c r="L397" s="137">
        <f t="shared" si="99"/>
        <v>0.7142857142857143</v>
      </c>
    </row>
    <row r="398" spans="1:12" ht="12.75" hidden="1" customHeight="1" x14ac:dyDescent="0.25">
      <c r="A398" s="94">
        <v>5326</v>
      </c>
      <c r="B398" s="145">
        <v>481100</v>
      </c>
      <c r="C398" s="84" t="s">
        <v>355</v>
      </c>
      <c r="D398" s="108"/>
      <c r="E398" s="109">
        <f t="shared" si="105"/>
        <v>0</v>
      </c>
      <c r="F398" s="108"/>
      <c r="G398" s="108"/>
      <c r="H398" s="108"/>
      <c r="I398" s="108"/>
      <c r="J398" s="108"/>
      <c r="K398" s="110"/>
      <c r="L398" s="137" t="e">
        <f t="shared" si="99"/>
        <v>#DIV/0!</v>
      </c>
    </row>
    <row r="399" spans="1:12" ht="12.75" customHeight="1" x14ac:dyDescent="0.25">
      <c r="A399" s="94">
        <v>5327</v>
      </c>
      <c r="B399" s="145">
        <v>481900</v>
      </c>
      <c r="C399" s="84" t="s">
        <v>356</v>
      </c>
      <c r="D399" s="108">
        <v>35</v>
      </c>
      <c r="E399" s="109">
        <f t="shared" si="105"/>
        <v>25</v>
      </c>
      <c r="F399" s="108"/>
      <c r="G399" s="108"/>
      <c r="H399" s="108"/>
      <c r="I399" s="108"/>
      <c r="J399" s="108"/>
      <c r="K399" s="110">
        <v>25</v>
      </c>
      <c r="L399" s="137">
        <f t="shared" si="99"/>
        <v>0.7142857142857143</v>
      </c>
    </row>
    <row r="400" spans="1:12" ht="12.75" customHeight="1" x14ac:dyDescent="0.25">
      <c r="A400" s="93">
        <v>5328</v>
      </c>
      <c r="B400" s="140">
        <v>482000</v>
      </c>
      <c r="C400" s="82" t="s">
        <v>357</v>
      </c>
      <c r="D400" s="100">
        <f>SUM(D401:D403)</f>
        <v>50</v>
      </c>
      <c r="E400" s="100">
        <f t="shared" si="105"/>
        <v>20</v>
      </c>
      <c r="F400" s="100">
        <f t="shared" ref="F400:K400" si="114">SUM(F401:F403)</f>
        <v>0</v>
      </c>
      <c r="G400" s="100">
        <f t="shared" si="114"/>
        <v>0</v>
      </c>
      <c r="H400" s="100">
        <f t="shared" si="114"/>
        <v>0</v>
      </c>
      <c r="I400" s="100">
        <f t="shared" si="114"/>
        <v>10</v>
      </c>
      <c r="J400" s="100">
        <f t="shared" si="114"/>
        <v>0</v>
      </c>
      <c r="K400" s="101">
        <f t="shared" si="114"/>
        <v>10</v>
      </c>
      <c r="L400" s="137">
        <f t="shared" si="99"/>
        <v>0.4</v>
      </c>
    </row>
    <row r="401" spans="1:12" ht="12.75" customHeight="1" x14ac:dyDescent="0.25">
      <c r="A401" s="94">
        <v>5329</v>
      </c>
      <c r="B401" s="145">
        <v>482100</v>
      </c>
      <c r="C401" s="84" t="s">
        <v>358</v>
      </c>
      <c r="D401" s="108">
        <v>20</v>
      </c>
      <c r="E401" s="109">
        <f t="shared" si="105"/>
        <v>5</v>
      </c>
      <c r="F401" s="108"/>
      <c r="G401" s="108"/>
      <c r="H401" s="108"/>
      <c r="I401" s="108"/>
      <c r="J401" s="108"/>
      <c r="K401" s="110">
        <v>5</v>
      </c>
      <c r="L401" s="137">
        <f t="shared" si="99"/>
        <v>0.25</v>
      </c>
    </row>
    <row r="402" spans="1:12" ht="12.75" customHeight="1" x14ac:dyDescent="0.25">
      <c r="A402" s="94">
        <v>5330</v>
      </c>
      <c r="B402" s="145">
        <v>482200</v>
      </c>
      <c r="C402" s="84" t="s">
        <v>359</v>
      </c>
      <c r="D402" s="108">
        <v>20</v>
      </c>
      <c r="E402" s="109">
        <f t="shared" si="105"/>
        <v>13</v>
      </c>
      <c r="F402" s="108"/>
      <c r="G402" s="108"/>
      <c r="H402" s="108"/>
      <c r="I402" s="108">
        <v>10</v>
      </c>
      <c r="J402" s="108"/>
      <c r="K402" s="110">
        <v>3</v>
      </c>
      <c r="L402" s="137">
        <f t="shared" si="99"/>
        <v>0.65</v>
      </c>
    </row>
    <row r="403" spans="1:12" ht="12.75" customHeight="1" x14ac:dyDescent="0.25">
      <c r="A403" s="94">
        <v>5331</v>
      </c>
      <c r="B403" s="145">
        <v>482300</v>
      </c>
      <c r="C403" s="84" t="s">
        <v>360</v>
      </c>
      <c r="D403" s="108">
        <f>40-30</f>
        <v>10</v>
      </c>
      <c r="E403" s="109">
        <f t="shared" si="105"/>
        <v>2</v>
      </c>
      <c r="F403" s="108"/>
      <c r="G403" s="108"/>
      <c r="H403" s="108"/>
      <c r="I403" s="108"/>
      <c r="J403" s="108"/>
      <c r="K403" s="110">
        <v>2</v>
      </c>
      <c r="L403" s="137">
        <f t="shared" si="99"/>
        <v>0.2</v>
      </c>
    </row>
    <row r="404" spans="1:12" ht="12.75" customHeight="1" x14ac:dyDescent="0.25">
      <c r="A404" s="93">
        <v>5332</v>
      </c>
      <c r="B404" s="140">
        <v>483000</v>
      </c>
      <c r="C404" s="82" t="s">
        <v>361</v>
      </c>
      <c r="D404" s="100">
        <f>D405</f>
        <v>50</v>
      </c>
      <c r="E404" s="100">
        <f t="shared" si="105"/>
        <v>47</v>
      </c>
      <c r="F404" s="100">
        <f t="shared" ref="F404:K404" si="115">F405</f>
        <v>0</v>
      </c>
      <c r="G404" s="100">
        <f t="shared" si="115"/>
        <v>0</v>
      </c>
      <c r="H404" s="100">
        <f t="shared" si="115"/>
        <v>0</v>
      </c>
      <c r="I404" s="100">
        <f t="shared" si="115"/>
        <v>0</v>
      </c>
      <c r="J404" s="100">
        <f t="shared" si="115"/>
        <v>0</v>
      </c>
      <c r="K404" s="101">
        <f t="shared" si="115"/>
        <v>47</v>
      </c>
      <c r="L404" s="137">
        <f t="shared" si="99"/>
        <v>0.94</v>
      </c>
    </row>
    <row r="405" spans="1:12" ht="12.75" customHeight="1" x14ac:dyDescent="0.25">
      <c r="A405" s="94">
        <v>5333</v>
      </c>
      <c r="B405" s="145">
        <v>483100</v>
      </c>
      <c r="C405" s="84" t="s">
        <v>362</v>
      </c>
      <c r="D405" s="108">
        <f>20+30</f>
        <v>50</v>
      </c>
      <c r="E405" s="109">
        <f t="shared" si="105"/>
        <v>47</v>
      </c>
      <c r="F405" s="108"/>
      <c r="G405" s="108"/>
      <c r="H405" s="108"/>
      <c r="I405" s="108"/>
      <c r="J405" s="108"/>
      <c r="K405" s="110">
        <v>47</v>
      </c>
      <c r="L405" s="137">
        <f t="shared" si="99"/>
        <v>0.94</v>
      </c>
    </row>
    <row r="406" spans="1:12" ht="12.75" hidden="1" customHeight="1" x14ac:dyDescent="0.25">
      <c r="A406" s="93">
        <v>5334</v>
      </c>
      <c r="B406" s="140">
        <v>484000</v>
      </c>
      <c r="C406" s="82" t="s">
        <v>363</v>
      </c>
      <c r="D406" s="100">
        <f>D407+D408</f>
        <v>0</v>
      </c>
      <c r="E406" s="100">
        <f t="shared" si="105"/>
        <v>0</v>
      </c>
      <c r="F406" s="100">
        <f t="shared" ref="F406:K406" si="116">F407+F408</f>
        <v>0</v>
      </c>
      <c r="G406" s="100">
        <f t="shared" si="116"/>
        <v>0</v>
      </c>
      <c r="H406" s="100">
        <f t="shared" si="116"/>
        <v>0</v>
      </c>
      <c r="I406" s="100">
        <f t="shared" si="116"/>
        <v>0</v>
      </c>
      <c r="J406" s="100">
        <f t="shared" si="116"/>
        <v>0</v>
      </c>
      <c r="K406" s="101">
        <f t="shared" si="116"/>
        <v>0</v>
      </c>
      <c r="L406" s="137" t="e">
        <f t="shared" si="99"/>
        <v>#DIV/0!</v>
      </c>
    </row>
    <row r="407" spans="1:12" ht="12.75" hidden="1" customHeight="1" x14ac:dyDescent="0.25">
      <c r="A407" s="94">
        <v>5335</v>
      </c>
      <c r="B407" s="145">
        <v>484100</v>
      </c>
      <c r="C407" s="84" t="s">
        <v>364</v>
      </c>
      <c r="D407" s="108"/>
      <c r="E407" s="109">
        <f t="shared" si="105"/>
        <v>0</v>
      </c>
      <c r="F407" s="108"/>
      <c r="G407" s="108"/>
      <c r="H407" s="108"/>
      <c r="I407" s="108"/>
      <c r="J407" s="108"/>
      <c r="K407" s="110"/>
      <c r="L407" s="137" t="e">
        <f t="shared" si="99"/>
        <v>#DIV/0!</v>
      </c>
    </row>
    <row r="408" spans="1:12" ht="12.75" hidden="1" customHeight="1" x14ac:dyDescent="0.25">
      <c r="A408" s="94">
        <v>5336</v>
      </c>
      <c r="B408" s="145">
        <v>484200</v>
      </c>
      <c r="C408" s="84" t="s">
        <v>365</v>
      </c>
      <c r="D408" s="108"/>
      <c r="E408" s="109">
        <f t="shared" si="105"/>
        <v>0</v>
      </c>
      <c r="F408" s="108"/>
      <c r="G408" s="108"/>
      <c r="H408" s="108"/>
      <c r="I408" s="108"/>
      <c r="J408" s="108"/>
      <c r="K408" s="110"/>
      <c r="L408" s="137" t="e">
        <f t="shared" si="99"/>
        <v>#DIV/0!</v>
      </c>
    </row>
    <row r="409" spans="1:12" ht="12.75" hidden="1" customHeight="1" x14ac:dyDescent="0.25">
      <c r="A409" s="93">
        <v>5337</v>
      </c>
      <c r="B409" s="140">
        <v>485000</v>
      </c>
      <c r="C409" s="82" t="s">
        <v>366</v>
      </c>
      <c r="D409" s="100">
        <f>D410</f>
        <v>0</v>
      </c>
      <c r="E409" s="100">
        <f t="shared" si="105"/>
        <v>0</v>
      </c>
      <c r="F409" s="100">
        <f t="shared" ref="F409:K409" si="117">F410</f>
        <v>0</v>
      </c>
      <c r="G409" s="100">
        <f t="shared" si="117"/>
        <v>0</v>
      </c>
      <c r="H409" s="100">
        <f t="shared" si="117"/>
        <v>0</v>
      </c>
      <c r="I409" s="100">
        <f t="shared" si="117"/>
        <v>0</v>
      </c>
      <c r="J409" s="100">
        <f t="shared" si="117"/>
        <v>0</v>
      </c>
      <c r="K409" s="101">
        <f t="shared" si="117"/>
        <v>0</v>
      </c>
      <c r="L409" s="137" t="e">
        <f t="shared" si="99"/>
        <v>#DIV/0!</v>
      </c>
    </row>
    <row r="410" spans="1:12" ht="12.75" hidden="1" customHeight="1" x14ac:dyDescent="0.25">
      <c r="A410" s="94">
        <v>5338</v>
      </c>
      <c r="B410" s="145">
        <v>485100</v>
      </c>
      <c r="C410" s="84" t="s">
        <v>367</v>
      </c>
      <c r="D410" s="108"/>
      <c r="E410" s="109">
        <f t="shared" si="105"/>
        <v>0</v>
      </c>
      <c r="F410" s="108"/>
      <c r="G410" s="108"/>
      <c r="H410" s="108"/>
      <c r="I410" s="108"/>
      <c r="J410" s="108"/>
      <c r="K410" s="110"/>
      <c r="L410" s="137" t="e">
        <f t="shared" si="99"/>
        <v>#DIV/0!</v>
      </c>
    </row>
    <row r="411" spans="1:12" ht="12.75" hidden="1" customHeight="1" x14ac:dyDescent="0.25">
      <c r="A411" s="583" t="s">
        <v>0</v>
      </c>
      <c r="B411" s="584" t="s">
        <v>1</v>
      </c>
      <c r="C411" s="585" t="s">
        <v>2</v>
      </c>
      <c r="D411" s="585" t="s">
        <v>217</v>
      </c>
      <c r="E411" s="575" t="s">
        <v>198</v>
      </c>
      <c r="F411" s="589"/>
      <c r="G411" s="589"/>
      <c r="H411" s="589"/>
      <c r="I411" s="589"/>
      <c r="J411" s="589"/>
      <c r="K411" s="592"/>
      <c r="L411" s="137" t="e">
        <f t="shared" si="99"/>
        <v>#VALUE!</v>
      </c>
    </row>
    <row r="412" spans="1:12" ht="12.75" hidden="1" customHeight="1" x14ac:dyDescent="0.25">
      <c r="A412" s="583"/>
      <c r="B412" s="584"/>
      <c r="C412" s="585"/>
      <c r="D412" s="585"/>
      <c r="E412" s="575" t="s">
        <v>199</v>
      </c>
      <c r="F412" s="575" t="s">
        <v>200</v>
      </c>
      <c r="G412" s="589"/>
      <c r="H412" s="589"/>
      <c r="I412" s="589"/>
      <c r="J412" s="575" t="s">
        <v>7</v>
      </c>
      <c r="K412" s="582" t="s">
        <v>8</v>
      </c>
      <c r="L412" s="137" t="e">
        <f t="shared" ref="L412:L476" si="118">E412/D412</f>
        <v>#VALUE!</v>
      </c>
    </row>
    <row r="413" spans="1:12" ht="12.75" hidden="1" customHeight="1" x14ac:dyDescent="0.25">
      <c r="A413" s="583"/>
      <c r="B413" s="584"/>
      <c r="C413" s="585"/>
      <c r="D413" s="585"/>
      <c r="E413" s="589"/>
      <c r="F413" s="140" t="s">
        <v>201</v>
      </c>
      <c r="G413" s="140" t="s">
        <v>10</v>
      </c>
      <c r="H413" s="140" t="s">
        <v>11</v>
      </c>
      <c r="I413" s="140" t="s">
        <v>12</v>
      </c>
      <c r="J413" s="589"/>
      <c r="K413" s="592"/>
      <c r="L413" s="137" t="e">
        <f t="shared" si="118"/>
        <v>#DIV/0!</v>
      </c>
    </row>
    <row r="414" spans="1:12" ht="12.75" hidden="1" customHeight="1" x14ac:dyDescent="0.25">
      <c r="A414" s="95" t="s">
        <v>18</v>
      </c>
      <c r="B414" s="139" t="s">
        <v>19</v>
      </c>
      <c r="C414" s="139" t="s">
        <v>20</v>
      </c>
      <c r="D414" s="139" t="s">
        <v>21</v>
      </c>
      <c r="E414" s="139" t="s">
        <v>22</v>
      </c>
      <c r="F414" s="139" t="s">
        <v>23</v>
      </c>
      <c r="G414" s="139" t="s">
        <v>24</v>
      </c>
      <c r="H414" s="139" t="s">
        <v>25</v>
      </c>
      <c r="I414" s="139" t="s">
        <v>26</v>
      </c>
      <c r="J414" s="139" t="s">
        <v>27</v>
      </c>
      <c r="K414" s="99" t="s">
        <v>28</v>
      </c>
      <c r="L414" s="137">
        <f t="shared" si="118"/>
        <v>1.25</v>
      </c>
    </row>
    <row r="415" spans="1:12" ht="12.75" hidden="1" customHeight="1" x14ac:dyDescent="0.25">
      <c r="A415" s="93">
        <v>5339</v>
      </c>
      <c r="B415" s="140">
        <v>489000</v>
      </c>
      <c r="C415" s="82" t="s">
        <v>368</v>
      </c>
      <c r="D415" s="100">
        <f>D416</f>
        <v>0</v>
      </c>
      <c r="E415" s="100">
        <f t="shared" si="105"/>
        <v>0</v>
      </c>
      <c r="F415" s="100">
        <f t="shared" ref="F415:K415" si="119">F416</f>
        <v>0</v>
      </c>
      <c r="G415" s="100">
        <f t="shared" si="119"/>
        <v>0</v>
      </c>
      <c r="H415" s="100">
        <f t="shared" si="119"/>
        <v>0</v>
      </c>
      <c r="I415" s="100">
        <f t="shared" si="119"/>
        <v>0</v>
      </c>
      <c r="J415" s="100">
        <f t="shared" si="119"/>
        <v>0</v>
      </c>
      <c r="K415" s="101">
        <f t="shared" si="119"/>
        <v>0</v>
      </c>
      <c r="L415" s="137" t="e">
        <f t="shared" si="118"/>
        <v>#DIV/0!</v>
      </c>
    </row>
    <row r="416" spans="1:12" ht="12.75" hidden="1" customHeight="1" x14ac:dyDescent="0.25">
      <c r="A416" s="94">
        <v>5340</v>
      </c>
      <c r="B416" s="145">
        <v>489100</v>
      </c>
      <c r="C416" s="84" t="s">
        <v>369</v>
      </c>
      <c r="D416" s="108"/>
      <c r="E416" s="109">
        <f t="shared" si="105"/>
        <v>0</v>
      </c>
      <c r="F416" s="108"/>
      <c r="G416" s="108"/>
      <c r="H416" s="108"/>
      <c r="I416" s="108"/>
      <c r="J416" s="108"/>
      <c r="K416" s="110"/>
      <c r="L416" s="137" t="e">
        <f t="shared" si="118"/>
        <v>#DIV/0!</v>
      </c>
    </row>
    <row r="417" spans="1:12" ht="12.75" customHeight="1" x14ac:dyDescent="0.25">
      <c r="A417" s="93">
        <v>5341</v>
      </c>
      <c r="B417" s="140">
        <v>500000</v>
      </c>
      <c r="C417" s="82" t="s">
        <v>370</v>
      </c>
      <c r="D417" s="100">
        <f>D418+D441+D454+D457+D465</f>
        <v>25605</v>
      </c>
      <c r="E417" s="100">
        <f t="shared" si="105"/>
        <v>9526</v>
      </c>
      <c r="F417" s="100">
        <f t="shared" ref="F417:K417" si="120">F418+F441+F454+F457+F465</f>
        <v>5958</v>
      </c>
      <c r="G417" s="100">
        <f t="shared" si="120"/>
        <v>0</v>
      </c>
      <c r="H417" s="100">
        <f t="shared" si="120"/>
        <v>0</v>
      </c>
      <c r="I417" s="100">
        <f t="shared" si="120"/>
        <v>0</v>
      </c>
      <c r="J417" s="100">
        <f t="shared" si="120"/>
        <v>0</v>
      </c>
      <c r="K417" s="101">
        <f t="shared" si="120"/>
        <v>3568</v>
      </c>
      <c r="L417" s="137">
        <f t="shared" si="118"/>
        <v>0.37203671157976959</v>
      </c>
    </row>
    <row r="418" spans="1:12" ht="12.75" customHeight="1" x14ac:dyDescent="0.25">
      <c r="A418" s="93">
        <v>5342</v>
      </c>
      <c r="B418" s="140">
        <v>510000</v>
      </c>
      <c r="C418" s="82" t="s">
        <v>371</v>
      </c>
      <c r="D418" s="100">
        <f>D419+D424+D435+D437+D439</f>
        <v>25605</v>
      </c>
      <c r="E418" s="100">
        <f t="shared" si="105"/>
        <v>9526</v>
      </c>
      <c r="F418" s="100">
        <f t="shared" ref="F418:K418" si="121">F419+F424+F435+F437+F439</f>
        <v>5958</v>
      </c>
      <c r="G418" s="100">
        <f t="shared" si="121"/>
        <v>0</v>
      </c>
      <c r="H418" s="100">
        <f t="shared" si="121"/>
        <v>0</v>
      </c>
      <c r="I418" s="100">
        <f t="shared" si="121"/>
        <v>0</v>
      </c>
      <c r="J418" s="100">
        <f t="shared" si="121"/>
        <v>0</v>
      </c>
      <c r="K418" s="101">
        <f t="shared" si="121"/>
        <v>3568</v>
      </c>
      <c r="L418" s="137">
        <f t="shared" si="118"/>
        <v>0.37203671157976959</v>
      </c>
    </row>
    <row r="419" spans="1:12" ht="12.75" customHeight="1" x14ac:dyDescent="0.25">
      <c r="A419" s="93">
        <v>5343</v>
      </c>
      <c r="B419" s="140">
        <v>511000</v>
      </c>
      <c r="C419" s="82" t="s">
        <v>372</v>
      </c>
      <c r="D419" s="100">
        <f>SUM(D420:D423)</f>
        <v>2124</v>
      </c>
      <c r="E419" s="100">
        <f t="shared" si="105"/>
        <v>0</v>
      </c>
      <c r="F419" s="100">
        <f t="shared" ref="F419:K419" si="122">SUM(F420:F423)</f>
        <v>0</v>
      </c>
      <c r="G419" s="100">
        <f t="shared" si="122"/>
        <v>0</v>
      </c>
      <c r="H419" s="100">
        <f t="shared" si="122"/>
        <v>0</v>
      </c>
      <c r="I419" s="100">
        <f t="shared" si="122"/>
        <v>0</v>
      </c>
      <c r="J419" s="100">
        <f t="shared" si="122"/>
        <v>0</v>
      </c>
      <c r="K419" s="101">
        <f t="shared" si="122"/>
        <v>0</v>
      </c>
      <c r="L419" s="137">
        <f t="shared" si="118"/>
        <v>0</v>
      </c>
    </row>
    <row r="420" spans="1:12" ht="12.75" hidden="1" customHeight="1" x14ac:dyDescent="0.25">
      <c r="A420" s="94">
        <v>5344</v>
      </c>
      <c r="B420" s="145">
        <v>511100</v>
      </c>
      <c r="C420" s="84" t="s">
        <v>373</v>
      </c>
      <c r="D420" s="108"/>
      <c r="E420" s="109">
        <f t="shared" si="105"/>
        <v>0</v>
      </c>
      <c r="F420" s="108"/>
      <c r="G420" s="108"/>
      <c r="H420" s="108"/>
      <c r="I420" s="108"/>
      <c r="J420" s="108"/>
      <c r="K420" s="110"/>
      <c r="L420" s="137" t="e">
        <f t="shared" si="118"/>
        <v>#DIV/0!</v>
      </c>
    </row>
    <row r="421" spans="1:12" ht="12.75" hidden="1" customHeight="1" x14ac:dyDescent="0.25">
      <c r="A421" s="94">
        <v>5345</v>
      </c>
      <c r="B421" s="145">
        <v>511200</v>
      </c>
      <c r="C421" s="84" t="s">
        <v>374</v>
      </c>
      <c r="D421" s="108"/>
      <c r="E421" s="109">
        <f t="shared" si="105"/>
        <v>0</v>
      </c>
      <c r="F421" s="108"/>
      <c r="G421" s="108"/>
      <c r="H421" s="108"/>
      <c r="I421" s="108"/>
      <c r="J421" s="108"/>
      <c r="K421" s="110"/>
      <c r="L421" s="137" t="e">
        <f t="shared" si="118"/>
        <v>#DIV/0!</v>
      </c>
    </row>
    <row r="422" spans="1:12" ht="12.75" customHeight="1" x14ac:dyDescent="0.25">
      <c r="A422" s="94">
        <v>5346</v>
      </c>
      <c r="B422" s="145">
        <v>511300</v>
      </c>
      <c r="C422" s="84" t="s">
        <v>375</v>
      </c>
      <c r="D422" s="108">
        <v>2124</v>
      </c>
      <c r="E422" s="109">
        <f t="shared" si="105"/>
        <v>0</v>
      </c>
      <c r="F422" s="108"/>
      <c r="G422" s="108"/>
      <c r="H422" s="108"/>
      <c r="I422" s="108"/>
      <c r="J422" s="108"/>
      <c r="K422" s="110"/>
      <c r="L422" s="137">
        <f t="shared" si="118"/>
        <v>0</v>
      </c>
    </row>
    <row r="423" spans="1:12" ht="12.75" hidden="1" customHeight="1" x14ac:dyDescent="0.25">
      <c r="A423" s="94">
        <v>5347</v>
      </c>
      <c r="B423" s="145">
        <v>511400</v>
      </c>
      <c r="C423" s="84" t="s">
        <v>376</v>
      </c>
      <c r="D423" s="108"/>
      <c r="E423" s="109">
        <f t="shared" si="105"/>
        <v>0</v>
      </c>
      <c r="F423" s="108"/>
      <c r="G423" s="108"/>
      <c r="H423" s="108"/>
      <c r="I423" s="108"/>
      <c r="J423" s="108"/>
      <c r="K423" s="110"/>
      <c r="L423" s="137" t="e">
        <f t="shared" si="118"/>
        <v>#DIV/0!</v>
      </c>
    </row>
    <row r="424" spans="1:12" ht="12.75" customHeight="1" x14ac:dyDescent="0.25">
      <c r="A424" s="93">
        <v>5348</v>
      </c>
      <c r="B424" s="140">
        <v>512000</v>
      </c>
      <c r="C424" s="82" t="s">
        <v>377</v>
      </c>
      <c r="D424" s="100">
        <f>SUM(D425:D434)</f>
        <v>23381</v>
      </c>
      <c r="E424" s="100">
        <f t="shared" si="105"/>
        <v>9526</v>
      </c>
      <c r="F424" s="100">
        <f t="shared" ref="F424:K424" si="123">SUM(F425:F434)</f>
        <v>5958</v>
      </c>
      <c r="G424" s="100">
        <f t="shared" si="123"/>
        <v>0</v>
      </c>
      <c r="H424" s="100">
        <f t="shared" si="123"/>
        <v>0</v>
      </c>
      <c r="I424" s="100">
        <f t="shared" si="123"/>
        <v>0</v>
      </c>
      <c r="J424" s="100">
        <f t="shared" si="123"/>
        <v>0</v>
      </c>
      <c r="K424" s="101">
        <f t="shared" si="123"/>
        <v>3568</v>
      </c>
      <c r="L424" s="137">
        <f t="shared" si="118"/>
        <v>0.40742483212865149</v>
      </c>
    </row>
    <row r="425" spans="1:12" ht="12.75" hidden="1" customHeight="1" x14ac:dyDescent="0.25">
      <c r="A425" s="94">
        <v>5349</v>
      </c>
      <c r="B425" s="145">
        <v>512100</v>
      </c>
      <c r="C425" s="84" t="s">
        <v>378</v>
      </c>
      <c r="D425" s="108"/>
      <c r="E425" s="100">
        <f t="shared" si="105"/>
        <v>0</v>
      </c>
      <c r="F425" s="108"/>
      <c r="G425" s="108"/>
      <c r="H425" s="108"/>
      <c r="I425" s="108"/>
      <c r="J425" s="108"/>
      <c r="K425" s="110"/>
      <c r="L425" s="137" t="e">
        <f t="shared" si="118"/>
        <v>#DIV/0!</v>
      </c>
    </row>
    <row r="426" spans="1:12" ht="12.75" customHeight="1" x14ac:dyDescent="0.25">
      <c r="A426" s="94">
        <v>5349</v>
      </c>
      <c r="B426" s="145">
        <v>512100</v>
      </c>
      <c r="C426" s="84" t="s">
        <v>378</v>
      </c>
      <c r="D426" s="108">
        <v>3848</v>
      </c>
      <c r="E426" s="129">
        <f t="shared" si="105"/>
        <v>3568</v>
      </c>
      <c r="F426" s="108"/>
      <c r="G426" s="108"/>
      <c r="H426" s="108"/>
      <c r="I426" s="108"/>
      <c r="J426" s="108"/>
      <c r="K426" s="110">
        <v>3568</v>
      </c>
      <c r="L426" s="137">
        <f t="shared" si="118"/>
        <v>0.92723492723492729</v>
      </c>
    </row>
    <row r="427" spans="1:12" ht="12.75" customHeight="1" x14ac:dyDescent="0.25">
      <c r="A427" s="94">
        <v>5350</v>
      </c>
      <c r="B427" s="145">
        <v>512200</v>
      </c>
      <c r="C427" s="84" t="s">
        <v>379</v>
      </c>
      <c r="D427" s="108">
        <v>1376</v>
      </c>
      <c r="E427" s="109">
        <f t="shared" si="105"/>
        <v>0</v>
      </c>
      <c r="F427" s="108"/>
      <c r="G427" s="108"/>
      <c r="H427" s="108"/>
      <c r="I427" s="108"/>
      <c r="J427" s="108"/>
      <c r="K427" s="110"/>
      <c r="L427" s="137">
        <f t="shared" si="118"/>
        <v>0</v>
      </c>
    </row>
    <row r="428" spans="1:12" ht="12.75" hidden="1" customHeight="1" x14ac:dyDescent="0.25">
      <c r="A428" s="94">
        <v>5351</v>
      </c>
      <c r="B428" s="145">
        <v>512300</v>
      </c>
      <c r="C428" s="84" t="s">
        <v>380</v>
      </c>
      <c r="D428" s="108"/>
      <c r="E428" s="109">
        <f t="shared" si="105"/>
        <v>0</v>
      </c>
      <c r="F428" s="108"/>
      <c r="G428" s="108"/>
      <c r="H428" s="108"/>
      <c r="I428" s="108"/>
      <c r="J428" s="108"/>
      <c r="K428" s="110"/>
      <c r="L428" s="137" t="e">
        <f t="shared" si="118"/>
        <v>#DIV/0!</v>
      </c>
    </row>
    <row r="429" spans="1:12" ht="12.75" hidden="1" customHeight="1" x14ac:dyDescent="0.25">
      <c r="A429" s="94">
        <v>5352</v>
      </c>
      <c r="B429" s="145">
        <v>512400</v>
      </c>
      <c r="C429" s="84" t="s">
        <v>381</v>
      </c>
      <c r="D429" s="108"/>
      <c r="E429" s="109">
        <f t="shared" si="105"/>
        <v>0</v>
      </c>
      <c r="F429" s="108"/>
      <c r="G429" s="108"/>
      <c r="H429" s="108"/>
      <c r="I429" s="108"/>
      <c r="J429" s="108"/>
      <c r="K429" s="110"/>
      <c r="L429" s="137" t="e">
        <f t="shared" si="118"/>
        <v>#DIV/0!</v>
      </c>
    </row>
    <row r="430" spans="1:12" ht="12.75" customHeight="1" x14ac:dyDescent="0.25">
      <c r="A430" s="94">
        <v>5353</v>
      </c>
      <c r="B430" s="145">
        <v>512500</v>
      </c>
      <c r="C430" s="84" t="s">
        <v>382</v>
      </c>
      <c r="D430" s="108">
        <v>18157</v>
      </c>
      <c r="E430" s="109">
        <f t="shared" si="105"/>
        <v>5958</v>
      </c>
      <c r="F430" s="108">
        <v>5958</v>
      </c>
      <c r="G430" s="108"/>
      <c r="H430" s="108"/>
      <c r="I430" s="108"/>
      <c r="J430" s="108"/>
      <c r="K430" s="110"/>
      <c r="L430" s="137">
        <f t="shared" si="118"/>
        <v>0.32813790824475408</v>
      </c>
    </row>
    <row r="431" spans="1:12" ht="12.75" hidden="1" customHeight="1" x14ac:dyDescent="0.25">
      <c r="A431" s="94">
        <v>5354</v>
      </c>
      <c r="B431" s="145">
        <v>512600</v>
      </c>
      <c r="C431" s="84" t="s">
        <v>383</v>
      </c>
      <c r="D431" s="108"/>
      <c r="E431" s="109">
        <f t="shared" si="105"/>
        <v>0</v>
      </c>
      <c r="F431" s="108"/>
      <c r="G431" s="108"/>
      <c r="H431" s="108"/>
      <c r="I431" s="108"/>
      <c r="J431" s="108"/>
      <c r="K431" s="110"/>
      <c r="L431" s="137" t="e">
        <f t="shared" si="118"/>
        <v>#DIV/0!</v>
      </c>
    </row>
    <row r="432" spans="1:12" ht="12.75" hidden="1" customHeight="1" x14ac:dyDescent="0.25">
      <c r="A432" s="94">
        <v>5355</v>
      </c>
      <c r="B432" s="145">
        <v>512700</v>
      </c>
      <c r="C432" s="84" t="s">
        <v>384</v>
      </c>
      <c r="D432" s="108"/>
      <c r="E432" s="109">
        <f t="shared" si="105"/>
        <v>0</v>
      </c>
      <c r="F432" s="108"/>
      <c r="G432" s="108"/>
      <c r="H432" s="108"/>
      <c r="I432" s="108"/>
      <c r="J432" s="108"/>
      <c r="K432" s="110"/>
      <c r="L432" s="137" t="e">
        <f t="shared" si="118"/>
        <v>#DIV/0!</v>
      </c>
    </row>
    <row r="433" spans="1:12" ht="12.75" hidden="1" customHeight="1" x14ac:dyDescent="0.25">
      <c r="A433" s="94">
        <v>5356</v>
      </c>
      <c r="B433" s="145">
        <v>512800</v>
      </c>
      <c r="C433" s="84" t="s">
        <v>385</v>
      </c>
      <c r="D433" s="108"/>
      <c r="E433" s="109">
        <f t="shared" si="105"/>
        <v>0</v>
      </c>
      <c r="F433" s="108"/>
      <c r="G433" s="108"/>
      <c r="H433" s="108"/>
      <c r="I433" s="108"/>
      <c r="J433" s="108"/>
      <c r="K433" s="110"/>
      <c r="L433" s="137" t="e">
        <f t="shared" si="118"/>
        <v>#DIV/0!</v>
      </c>
    </row>
    <row r="434" spans="1:12" ht="12.75" hidden="1" customHeight="1" x14ac:dyDescent="0.25">
      <c r="A434" s="94">
        <v>5357</v>
      </c>
      <c r="B434" s="145">
        <v>512900</v>
      </c>
      <c r="C434" s="84" t="s">
        <v>386</v>
      </c>
      <c r="D434" s="108"/>
      <c r="E434" s="109">
        <f t="shared" si="105"/>
        <v>0</v>
      </c>
      <c r="F434" s="108"/>
      <c r="G434" s="108"/>
      <c r="H434" s="108"/>
      <c r="I434" s="108"/>
      <c r="J434" s="108"/>
      <c r="K434" s="110"/>
      <c r="L434" s="137" t="e">
        <f t="shared" si="118"/>
        <v>#DIV/0!</v>
      </c>
    </row>
    <row r="435" spans="1:12" ht="12.75" hidden="1" customHeight="1" x14ac:dyDescent="0.25">
      <c r="A435" s="93">
        <v>5358</v>
      </c>
      <c r="B435" s="140">
        <v>513000</v>
      </c>
      <c r="C435" s="82" t="s">
        <v>387</v>
      </c>
      <c r="D435" s="100">
        <f>D436</f>
        <v>0</v>
      </c>
      <c r="E435" s="100">
        <f t="shared" si="105"/>
        <v>0</v>
      </c>
      <c r="F435" s="100">
        <f t="shared" ref="F435:K435" si="124">F436</f>
        <v>0</v>
      </c>
      <c r="G435" s="100">
        <f t="shared" si="124"/>
        <v>0</v>
      </c>
      <c r="H435" s="100">
        <f t="shared" si="124"/>
        <v>0</v>
      </c>
      <c r="I435" s="100">
        <f t="shared" si="124"/>
        <v>0</v>
      </c>
      <c r="J435" s="100">
        <f t="shared" si="124"/>
        <v>0</v>
      </c>
      <c r="K435" s="101">
        <f t="shared" si="124"/>
        <v>0</v>
      </c>
      <c r="L435" s="137" t="e">
        <f t="shared" si="118"/>
        <v>#DIV/0!</v>
      </c>
    </row>
    <row r="436" spans="1:12" ht="12.75" hidden="1" customHeight="1" x14ac:dyDescent="0.25">
      <c r="A436" s="94">
        <v>5359</v>
      </c>
      <c r="B436" s="145">
        <v>513100</v>
      </c>
      <c r="C436" s="84" t="s">
        <v>388</v>
      </c>
      <c r="D436" s="108"/>
      <c r="E436" s="109">
        <f t="shared" si="105"/>
        <v>0</v>
      </c>
      <c r="F436" s="108"/>
      <c r="G436" s="108"/>
      <c r="H436" s="108"/>
      <c r="I436" s="108"/>
      <c r="J436" s="108"/>
      <c r="K436" s="110"/>
      <c r="L436" s="137" t="e">
        <f t="shared" si="118"/>
        <v>#DIV/0!</v>
      </c>
    </row>
    <row r="437" spans="1:12" ht="12.75" hidden="1" customHeight="1" x14ac:dyDescent="0.25">
      <c r="A437" s="93">
        <v>5360</v>
      </c>
      <c r="B437" s="140">
        <v>514000</v>
      </c>
      <c r="C437" s="82" t="s">
        <v>389</v>
      </c>
      <c r="D437" s="100">
        <f>D438</f>
        <v>0</v>
      </c>
      <c r="E437" s="100">
        <f t="shared" si="105"/>
        <v>0</v>
      </c>
      <c r="F437" s="100">
        <f t="shared" ref="F437:K437" si="125">F438</f>
        <v>0</v>
      </c>
      <c r="G437" s="100">
        <f t="shared" si="125"/>
        <v>0</v>
      </c>
      <c r="H437" s="100">
        <f t="shared" si="125"/>
        <v>0</v>
      </c>
      <c r="I437" s="100">
        <f t="shared" si="125"/>
        <v>0</v>
      </c>
      <c r="J437" s="100">
        <f t="shared" si="125"/>
        <v>0</v>
      </c>
      <c r="K437" s="101">
        <f t="shared" si="125"/>
        <v>0</v>
      </c>
      <c r="L437" s="137" t="e">
        <f t="shared" si="118"/>
        <v>#DIV/0!</v>
      </c>
    </row>
    <row r="438" spans="1:12" ht="12.75" hidden="1" customHeight="1" x14ac:dyDescent="0.25">
      <c r="A438" s="94">
        <v>5361</v>
      </c>
      <c r="B438" s="145">
        <v>514100</v>
      </c>
      <c r="C438" s="84" t="s">
        <v>390</v>
      </c>
      <c r="D438" s="108"/>
      <c r="E438" s="109">
        <f t="shared" si="105"/>
        <v>0</v>
      </c>
      <c r="F438" s="108"/>
      <c r="G438" s="108"/>
      <c r="H438" s="108"/>
      <c r="I438" s="108"/>
      <c r="J438" s="108"/>
      <c r="K438" s="110"/>
      <c r="L438" s="137" t="e">
        <f t="shared" si="118"/>
        <v>#DIV/0!</v>
      </c>
    </row>
    <row r="439" spans="1:12" ht="12.75" customHeight="1" x14ac:dyDescent="0.25">
      <c r="A439" s="93">
        <v>5362</v>
      </c>
      <c r="B439" s="140">
        <v>515000</v>
      </c>
      <c r="C439" s="82" t="s">
        <v>391</v>
      </c>
      <c r="D439" s="100">
        <f>D440</f>
        <v>100</v>
      </c>
      <c r="E439" s="100">
        <f t="shared" si="105"/>
        <v>0</v>
      </c>
      <c r="F439" s="100">
        <f t="shared" ref="F439:K439" si="126">F440</f>
        <v>0</v>
      </c>
      <c r="G439" s="100">
        <f t="shared" si="126"/>
        <v>0</v>
      </c>
      <c r="H439" s="100">
        <f t="shared" si="126"/>
        <v>0</v>
      </c>
      <c r="I439" s="100">
        <f t="shared" si="126"/>
        <v>0</v>
      </c>
      <c r="J439" s="100">
        <f t="shared" si="126"/>
        <v>0</v>
      </c>
      <c r="K439" s="101">
        <f t="shared" si="126"/>
        <v>0</v>
      </c>
      <c r="L439" s="137">
        <f t="shared" si="118"/>
        <v>0</v>
      </c>
    </row>
    <row r="440" spans="1:12" ht="12.75" customHeight="1" x14ac:dyDescent="0.25">
      <c r="A440" s="94">
        <v>5363</v>
      </c>
      <c r="B440" s="145">
        <v>515100</v>
      </c>
      <c r="C440" s="84" t="s">
        <v>392</v>
      </c>
      <c r="D440" s="108">
        <v>100</v>
      </c>
      <c r="E440" s="109">
        <f t="shared" si="105"/>
        <v>0</v>
      </c>
      <c r="F440" s="108"/>
      <c r="G440" s="108"/>
      <c r="H440" s="108"/>
      <c r="I440" s="108"/>
      <c r="J440" s="108"/>
      <c r="K440" s="110"/>
      <c r="L440" s="137">
        <f t="shared" si="118"/>
        <v>0</v>
      </c>
    </row>
    <row r="441" spans="1:12" ht="12.75" hidden="1" customHeight="1" x14ac:dyDescent="0.25">
      <c r="A441" s="93">
        <v>5364</v>
      </c>
      <c r="B441" s="140">
        <v>520000</v>
      </c>
      <c r="C441" s="82" t="s">
        <v>393</v>
      </c>
      <c r="D441" s="100">
        <f>D442+D444+D452</f>
        <v>0</v>
      </c>
      <c r="E441" s="100">
        <f t="shared" ref="E441:E518" si="127">SUM(F441:K441)</f>
        <v>0</v>
      </c>
      <c r="F441" s="100">
        <f t="shared" ref="F441:K441" si="128">F442+F444+F452</f>
        <v>0</v>
      </c>
      <c r="G441" s="100">
        <f t="shared" si="128"/>
        <v>0</v>
      </c>
      <c r="H441" s="100">
        <f t="shared" si="128"/>
        <v>0</v>
      </c>
      <c r="I441" s="100">
        <f t="shared" si="128"/>
        <v>0</v>
      </c>
      <c r="J441" s="100">
        <f t="shared" si="128"/>
        <v>0</v>
      </c>
      <c r="K441" s="101">
        <f t="shared" si="128"/>
        <v>0</v>
      </c>
      <c r="L441" s="137" t="e">
        <f t="shared" si="118"/>
        <v>#DIV/0!</v>
      </c>
    </row>
    <row r="442" spans="1:12" ht="12.75" hidden="1" customHeight="1" x14ac:dyDescent="0.25">
      <c r="A442" s="93">
        <v>5365</v>
      </c>
      <c r="B442" s="140">
        <v>521000</v>
      </c>
      <c r="C442" s="82" t="s">
        <v>394</v>
      </c>
      <c r="D442" s="100">
        <f>D443</f>
        <v>0</v>
      </c>
      <c r="E442" s="100">
        <f t="shared" si="127"/>
        <v>0</v>
      </c>
      <c r="F442" s="100">
        <f t="shared" ref="F442:K442" si="129">F443</f>
        <v>0</v>
      </c>
      <c r="G442" s="100">
        <f t="shared" si="129"/>
        <v>0</v>
      </c>
      <c r="H442" s="100">
        <f t="shared" si="129"/>
        <v>0</v>
      </c>
      <c r="I442" s="100">
        <f t="shared" si="129"/>
        <v>0</v>
      </c>
      <c r="J442" s="100">
        <f t="shared" si="129"/>
        <v>0</v>
      </c>
      <c r="K442" s="101">
        <f t="shared" si="129"/>
        <v>0</v>
      </c>
      <c r="L442" s="137" t="e">
        <f t="shared" si="118"/>
        <v>#DIV/0!</v>
      </c>
    </row>
    <row r="443" spans="1:12" ht="12.75" hidden="1" customHeight="1" x14ac:dyDescent="0.25">
      <c r="A443" s="94">
        <v>5366</v>
      </c>
      <c r="B443" s="145">
        <v>521100</v>
      </c>
      <c r="C443" s="84" t="s">
        <v>395</v>
      </c>
      <c r="D443" s="108"/>
      <c r="E443" s="109">
        <f t="shared" si="127"/>
        <v>0</v>
      </c>
      <c r="F443" s="108"/>
      <c r="G443" s="108"/>
      <c r="H443" s="108"/>
      <c r="I443" s="108"/>
      <c r="J443" s="108"/>
      <c r="K443" s="110"/>
      <c r="L443" s="137" t="e">
        <f t="shared" si="118"/>
        <v>#DIV/0!</v>
      </c>
    </row>
    <row r="444" spans="1:12" ht="12.75" hidden="1" customHeight="1" x14ac:dyDescent="0.25">
      <c r="A444" s="93">
        <v>5367</v>
      </c>
      <c r="B444" s="140">
        <v>522000</v>
      </c>
      <c r="C444" s="82" t="s">
        <v>396</v>
      </c>
      <c r="D444" s="100">
        <f>SUM(D445:D451)</f>
        <v>0</v>
      </c>
      <c r="E444" s="100">
        <f t="shared" si="127"/>
        <v>0</v>
      </c>
      <c r="F444" s="100">
        <f t="shared" ref="F444:K444" si="130">SUM(F445:F451)</f>
        <v>0</v>
      </c>
      <c r="G444" s="100">
        <f t="shared" si="130"/>
        <v>0</v>
      </c>
      <c r="H444" s="100">
        <f t="shared" si="130"/>
        <v>0</v>
      </c>
      <c r="I444" s="100">
        <f t="shared" si="130"/>
        <v>0</v>
      </c>
      <c r="J444" s="100">
        <f t="shared" si="130"/>
        <v>0</v>
      </c>
      <c r="K444" s="101">
        <f t="shared" si="130"/>
        <v>0</v>
      </c>
      <c r="L444" s="137" t="e">
        <f t="shared" si="118"/>
        <v>#DIV/0!</v>
      </c>
    </row>
    <row r="445" spans="1:12" ht="12.75" hidden="1" customHeight="1" x14ac:dyDescent="0.25">
      <c r="A445" s="94">
        <v>5368</v>
      </c>
      <c r="B445" s="145">
        <v>522100</v>
      </c>
      <c r="C445" s="84" t="s">
        <v>397</v>
      </c>
      <c r="D445" s="108"/>
      <c r="E445" s="109">
        <f t="shared" si="127"/>
        <v>0</v>
      </c>
      <c r="F445" s="108"/>
      <c r="G445" s="108"/>
      <c r="H445" s="108"/>
      <c r="I445" s="108"/>
      <c r="J445" s="108"/>
      <c r="K445" s="110"/>
      <c r="L445" s="137" t="e">
        <f t="shared" si="118"/>
        <v>#DIV/0!</v>
      </c>
    </row>
    <row r="446" spans="1:12" ht="12.75" hidden="1" customHeight="1" x14ac:dyDescent="0.25">
      <c r="A446" s="583" t="s">
        <v>0</v>
      </c>
      <c r="B446" s="584" t="s">
        <v>1</v>
      </c>
      <c r="C446" s="585" t="s">
        <v>2</v>
      </c>
      <c r="D446" s="585" t="s">
        <v>217</v>
      </c>
      <c r="E446" s="575" t="s">
        <v>198</v>
      </c>
      <c r="F446" s="589"/>
      <c r="G446" s="589"/>
      <c r="H446" s="589"/>
      <c r="I446" s="589"/>
      <c r="J446" s="589"/>
      <c r="K446" s="592"/>
      <c r="L446" s="137" t="e">
        <f t="shared" si="118"/>
        <v>#VALUE!</v>
      </c>
    </row>
    <row r="447" spans="1:12" ht="12.75" hidden="1" customHeight="1" x14ac:dyDescent="0.25">
      <c r="A447" s="583"/>
      <c r="B447" s="584"/>
      <c r="C447" s="585"/>
      <c r="D447" s="585"/>
      <c r="E447" s="575" t="s">
        <v>199</v>
      </c>
      <c r="F447" s="575" t="s">
        <v>200</v>
      </c>
      <c r="G447" s="589"/>
      <c r="H447" s="589"/>
      <c r="I447" s="589"/>
      <c r="J447" s="575" t="s">
        <v>7</v>
      </c>
      <c r="K447" s="582" t="s">
        <v>8</v>
      </c>
      <c r="L447" s="137" t="e">
        <f t="shared" si="118"/>
        <v>#VALUE!</v>
      </c>
    </row>
    <row r="448" spans="1:12" ht="12.75" hidden="1" customHeight="1" x14ac:dyDescent="0.25">
      <c r="A448" s="583"/>
      <c r="B448" s="584"/>
      <c r="C448" s="585"/>
      <c r="D448" s="585"/>
      <c r="E448" s="589"/>
      <c r="F448" s="140" t="s">
        <v>201</v>
      </c>
      <c r="G448" s="140" t="s">
        <v>10</v>
      </c>
      <c r="H448" s="140" t="s">
        <v>11</v>
      </c>
      <c r="I448" s="140" t="s">
        <v>12</v>
      </c>
      <c r="J448" s="589"/>
      <c r="K448" s="592"/>
      <c r="L448" s="137" t="e">
        <f t="shared" si="118"/>
        <v>#DIV/0!</v>
      </c>
    </row>
    <row r="449" spans="1:12" ht="12.75" hidden="1" customHeight="1" x14ac:dyDescent="0.25">
      <c r="A449" s="95" t="s">
        <v>18</v>
      </c>
      <c r="B449" s="139" t="s">
        <v>19</v>
      </c>
      <c r="C449" s="139" t="s">
        <v>20</v>
      </c>
      <c r="D449" s="139" t="s">
        <v>21</v>
      </c>
      <c r="E449" s="139" t="s">
        <v>22</v>
      </c>
      <c r="F449" s="139" t="s">
        <v>23</v>
      </c>
      <c r="G449" s="139" t="s">
        <v>24</v>
      </c>
      <c r="H449" s="139" t="s">
        <v>25</v>
      </c>
      <c r="I449" s="139" t="s">
        <v>26</v>
      </c>
      <c r="J449" s="139" t="s">
        <v>27</v>
      </c>
      <c r="K449" s="99" t="s">
        <v>28</v>
      </c>
      <c r="L449" s="137">
        <f t="shared" si="118"/>
        <v>1.25</v>
      </c>
    </row>
    <row r="450" spans="1:12" ht="12.75" hidden="1" customHeight="1" x14ac:dyDescent="0.25">
      <c r="A450" s="94">
        <v>5369</v>
      </c>
      <c r="B450" s="145">
        <v>522200</v>
      </c>
      <c r="C450" s="84" t="s">
        <v>398</v>
      </c>
      <c r="D450" s="108"/>
      <c r="E450" s="109">
        <f t="shared" si="127"/>
        <v>0</v>
      </c>
      <c r="F450" s="108"/>
      <c r="G450" s="108"/>
      <c r="H450" s="108"/>
      <c r="I450" s="108"/>
      <c r="J450" s="108"/>
      <c r="K450" s="110"/>
      <c r="L450" s="137" t="e">
        <f t="shared" si="118"/>
        <v>#DIV/0!</v>
      </c>
    </row>
    <row r="451" spans="1:12" ht="12.75" hidden="1" customHeight="1" x14ac:dyDescent="0.25">
      <c r="A451" s="94">
        <v>5370</v>
      </c>
      <c r="B451" s="145">
        <v>522300</v>
      </c>
      <c r="C451" s="84" t="s">
        <v>399</v>
      </c>
      <c r="D451" s="108"/>
      <c r="E451" s="109">
        <f t="shared" si="127"/>
        <v>0</v>
      </c>
      <c r="F451" s="108"/>
      <c r="G451" s="108"/>
      <c r="H451" s="108"/>
      <c r="I451" s="108"/>
      <c r="J451" s="108"/>
      <c r="K451" s="110"/>
      <c r="L451" s="137" t="e">
        <f t="shared" si="118"/>
        <v>#DIV/0!</v>
      </c>
    </row>
    <row r="452" spans="1:12" ht="12.75" hidden="1" customHeight="1" x14ac:dyDescent="0.25">
      <c r="A452" s="93">
        <v>5371</v>
      </c>
      <c r="B452" s="140">
        <v>523000</v>
      </c>
      <c r="C452" s="82" t="s">
        <v>400</v>
      </c>
      <c r="D452" s="100">
        <f>D453</f>
        <v>0</v>
      </c>
      <c r="E452" s="100">
        <f t="shared" si="127"/>
        <v>0</v>
      </c>
      <c r="F452" s="100">
        <f t="shared" ref="F452:K452" si="131">F453</f>
        <v>0</v>
      </c>
      <c r="G452" s="100">
        <f t="shared" si="131"/>
        <v>0</v>
      </c>
      <c r="H452" s="100">
        <f t="shared" si="131"/>
        <v>0</v>
      </c>
      <c r="I452" s="100">
        <f t="shared" si="131"/>
        <v>0</v>
      </c>
      <c r="J452" s="100">
        <f t="shared" si="131"/>
        <v>0</v>
      </c>
      <c r="K452" s="101">
        <f t="shared" si="131"/>
        <v>0</v>
      </c>
      <c r="L452" s="137" t="e">
        <f t="shared" si="118"/>
        <v>#DIV/0!</v>
      </c>
    </row>
    <row r="453" spans="1:12" ht="12.75" hidden="1" customHeight="1" x14ac:dyDescent="0.25">
      <c r="A453" s="94">
        <v>5372</v>
      </c>
      <c r="B453" s="145">
        <v>523100</v>
      </c>
      <c r="C453" s="84" t="s">
        <v>401</v>
      </c>
      <c r="D453" s="108"/>
      <c r="E453" s="109">
        <f t="shared" si="127"/>
        <v>0</v>
      </c>
      <c r="F453" s="108"/>
      <c r="G453" s="108"/>
      <c r="H453" s="108"/>
      <c r="I453" s="108"/>
      <c r="J453" s="108"/>
      <c r="K453" s="110"/>
      <c r="L453" s="137" t="e">
        <f t="shared" si="118"/>
        <v>#DIV/0!</v>
      </c>
    </row>
    <row r="454" spans="1:12" ht="12.75" hidden="1" customHeight="1" x14ac:dyDescent="0.25">
      <c r="A454" s="93">
        <v>5373</v>
      </c>
      <c r="B454" s="140">
        <v>530000</v>
      </c>
      <c r="C454" s="82" t="s">
        <v>402</v>
      </c>
      <c r="D454" s="100">
        <f>D455</f>
        <v>0</v>
      </c>
      <c r="E454" s="100">
        <f t="shared" si="127"/>
        <v>0</v>
      </c>
      <c r="F454" s="100">
        <f t="shared" ref="F454:K455" si="132">F455</f>
        <v>0</v>
      </c>
      <c r="G454" s="100">
        <f t="shared" si="132"/>
        <v>0</v>
      </c>
      <c r="H454" s="100">
        <f t="shared" si="132"/>
        <v>0</v>
      </c>
      <c r="I454" s="100">
        <f t="shared" si="132"/>
        <v>0</v>
      </c>
      <c r="J454" s="100">
        <f t="shared" si="132"/>
        <v>0</v>
      </c>
      <c r="K454" s="101">
        <f t="shared" si="132"/>
        <v>0</v>
      </c>
      <c r="L454" s="137" t="e">
        <f t="shared" si="118"/>
        <v>#DIV/0!</v>
      </c>
    </row>
    <row r="455" spans="1:12" ht="12.75" hidden="1" customHeight="1" x14ac:dyDescent="0.25">
      <c r="A455" s="93">
        <v>5374</v>
      </c>
      <c r="B455" s="140">
        <v>531000</v>
      </c>
      <c r="C455" s="82" t="s">
        <v>403</v>
      </c>
      <c r="D455" s="100">
        <f>D456</f>
        <v>0</v>
      </c>
      <c r="E455" s="100">
        <f t="shared" si="127"/>
        <v>0</v>
      </c>
      <c r="F455" s="100">
        <f t="shared" si="132"/>
        <v>0</v>
      </c>
      <c r="G455" s="100">
        <f t="shared" si="132"/>
        <v>0</v>
      </c>
      <c r="H455" s="100">
        <f t="shared" si="132"/>
        <v>0</v>
      </c>
      <c r="I455" s="100">
        <f t="shared" si="132"/>
        <v>0</v>
      </c>
      <c r="J455" s="100">
        <f t="shared" si="132"/>
        <v>0</v>
      </c>
      <c r="K455" s="101">
        <f t="shared" si="132"/>
        <v>0</v>
      </c>
      <c r="L455" s="137" t="e">
        <f t="shared" si="118"/>
        <v>#DIV/0!</v>
      </c>
    </row>
    <row r="456" spans="1:12" ht="12.75" hidden="1" customHeight="1" x14ac:dyDescent="0.25">
      <c r="A456" s="94">
        <v>5375</v>
      </c>
      <c r="B456" s="145">
        <v>531100</v>
      </c>
      <c r="C456" s="84" t="s">
        <v>404</v>
      </c>
      <c r="D456" s="108"/>
      <c r="E456" s="109">
        <f t="shared" si="127"/>
        <v>0</v>
      </c>
      <c r="F456" s="108"/>
      <c r="G456" s="108"/>
      <c r="H456" s="108"/>
      <c r="I456" s="108"/>
      <c r="J456" s="108"/>
      <c r="K456" s="110"/>
      <c r="L456" s="137" t="e">
        <f t="shared" si="118"/>
        <v>#DIV/0!</v>
      </c>
    </row>
    <row r="457" spans="1:12" ht="12.75" hidden="1" customHeight="1" x14ac:dyDescent="0.25">
      <c r="A457" s="93">
        <v>5376</v>
      </c>
      <c r="B457" s="140">
        <v>540000</v>
      </c>
      <c r="C457" s="82" t="s">
        <v>405</v>
      </c>
      <c r="D457" s="100">
        <f>D458+D460+D462</f>
        <v>0</v>
      </c>
      <c r="E457" s="100">
        <f t="shared" si="127"/>
        <v>0</v>
      </c>
      <c r="F457" s="100">
        <f t="shared" ref="F457:K457" si="133">F458+F460+F462</f>
        <v>0</v>
      </c>
      <c r="G457" s="100">
        <f t="shared" si="133"/>
        <v>0</v>
      </c>
      <c r="H457" s="100">
        <f t="shared" si="133"/>
        <v>0</v>
      </c>
      <c r="I457" s="100">
        <f t="shared" si="133"/>
        <v>0</v>
      </c>
      <c r="J457" s="100">
        <f t="shared" si="133"/>
        <v>0</v>
      </c>
      <c r="K457" s="101">
        <f t="shared" si="133"/>
        <v>0</v>
      </c>
      <c r="L457" s="137" t="e">
        <f t="shared" si="118"/>
        <v>#DIV/0!</v>
      </c>
    </row>
    <row r="458" spans="1:12" ht="12.75" hidden="1" customHeight="1" x14ac:dyDescent="0.25">
      <c r="A458" s="93">
        <v>5377</v>
      </c>
      <c r="B458" s="140">
        <v>541000</v>
      </c>
      <c r="C458" s="82" t="s">
        <v>406</v>
      </c>
      <c r="D458" s="100">
        <f>D459</f>
        <v>0</v>
      </c>
      <c r="E458" s="100">
        <f t="shared" si="127"/>
        <v>0</v>
      </c>
      <c r="F458" s="100">
        <f t="shared" ref="F458:K458" si="134">F459</f>
        <v>0</v>
      </c>
      <c r="G458" s="100">
        <f t="shared" si="134"/>
        <v>0</v>
      </c>
      <c r="H458" s="100">
        <f t="shared" si="134"/>
        <v>0</v>
      </c>
      <c r="I458" s="100">
        <f t="shared" si="134"/>
        <v>0</v>
      </c>
      <c r="J458" s="100">
        <f t="shared" si="134"/>
        <v>0</v>
      </c>
      <c r="K458" s="101">
        <f t="shared" si="134"/>
        <v>0</v>
      </c>
      <c r="L458" s="137" t="e">
        <f t="shared" si="118"/>
        <v>#DIV/0!</v>
      </c>
    </row>
    <row r="459" spans="1:12" ht="12.75" hidden="1" customHeight="1" x14ac:dyDescent="0.25">
      <c r="A459" s="94">
        <v>5378</v>
      </c>
      <c r="B459" s="145">
        <v>541100</v>
      </c>
      <c r="C459" s="84" t="s">
        <v>407</v>
      </c>
      <c r="D459" s="108"/>
      <c r="E459" s="109">
        <f t="shared" si="127"/>
        <v>0</v>
      </c>
      <c r="F459" s="108"/>
      <c r="G459" s="108"/>
      <c r="H459" s="108"/>
      <c r="I459" s="108"/>
      <c r="J459" s="108"/>
      <c r="K459" s="110"/>
      <c r="L459" s="137" t="e">
        <f t="shared" si="118"/>
        <v>#DIV/0!</v>
      </c>
    </row>
    <row r="460" spans="1:12" ht="12.75" hidden="1" customHeight="1" x14ac:dyDescent="0.25">
      <c r="A460" s="93">
        <v>5379</v>
      </c>
      <c r="B460" s="140">
        <v>542000</v>
      </c>
      <c r="C460" s="82" t="s">
        <v>408</v>
      </c>
      <c r="D460" s="100">
        <f>D461</f>
        <v>0</v>
      </c>
      <c r="E460" s="100">
        <f t="shared" si="127"/>
        <v>0</v>
      </c>
      <c r="F460" s="100">
        <f t="shared" ref="F460:K460" si="135">F461</f>
        <v>0</v>
      </c>
      <c r="G460" s="100">
        <f t="shared" si="135"/>
        <v>0</v>
      </c>
      <c r="H460" s="100">
        <f t="shared" si="135"/>
        <v>0</v>
      </c>
      <c r="I460" s="100">
        <f t="shared" si="135"/>
        <v>0</v>
      </c>
      <c r="J460" s="100">
        <f t="shared" si="135"/>
        <v>0</v>
      </c>
      <c r="K460" s="101">
        <f t="shared" si="135"/>
        <v>0</v>
      </c>
      <c r="L460" s="137" t="e">
        <f t="shared" si="118"/>
        <v>#DIV/0!</v>
      </c>
    </row>
    <row r="461" spans="1:12" ht="12.75" hidden="1" customHeight="1" x14ac:dyDescent="0.25">
      <c r="A461" s="94">
        <v>5380</v>
      </c>
      <c r="B461" s="145">
        <v>542100</v>
      </c>
      <c r="C461" s="84" t="s">
        <v>409</v>
      </c>
      <c r="D461" s="108"/>
      <c r="E461" s="109">
        <f t="shared" si="127"/>
        <v>0</v>
      </c>
      <c r="F461" s="108"/>
      <c r="G461" s="108"/>
      <c r="H461" s="108"/>
      <c r="I461" s="108"/>
      <c r="J461" s="108"/>
      <c r="K461" s="110"/>
      <c r="L461" s="137" t="e">
        <f t="shared" si="118"/>
        <v>#DIV/0!</v>
      </c>
    </row>
    <row r="462" spans="1:12" ht="12.75" hidden="1" customHeight="1" x14ac:dyDescent="0.25">
      <c r="A462" s="93">
        <v>5381</v>
      </c>
      <c r="B462" s="140">
        <v>543000</v>
      </c>
      <c r="C462" s="82" t="s">
        <v>410</v>
      </c>
      <c r="D462" s="100">
        <f>D463+D464</f>
        <v>0</v>
      </c>
      <c r="E462" s="100">
        <f t="shared" si="127"/>
        <v>0</v>
      </c>
      <c r="F462" s="100">
        <f t="shared" ref="F462:K462" si="136">F463+F464</f>
        <v>0</v>
      </c>
      <c r="G462" s="100">
        <f t="shared" si="136"/>
        <v>0</v>
      </c>
      <c r="H462" s="100">
        <f t="shared" si="136"/>
        <v>0</v>
      </c>
      <c r="I462" s="100">
        <f t="shared" si="136"/>
        <v>0</v>
      </c>
      <c r="J462" s="100">
        <f t="shared" si="136"/>
        <v>0</v>
      </c>
      <c r="K462" s="101">
        <f t="shared" si="136"/>
        <v>0</v>
      </c>
      <c r="L462" s="137" t="e">
        <f t="shared" si="118"/>
        <v>#DIV/0!</v>
      </c>
    </row>
    <row r="463" spans="1:12" ht="12.75" hidden="1" customHeight="1" x14ac:dyDescent="0.25">
      <c r="A463" s="94">
        <v>5382</v>
      </c>
      <c r="B463" s="145">
        <v>543100</v>
      </c>
      <c r="C463" s="84" t="s">
        <v>411</v>
      </c>
      <c r="D463" s="108"/>
      <c r="E463" s="109">
        <f t="shared" si="127"/>
        <v>0</v>
      </c>
      <c r="F463" s="108"/>
      <c r="G463" s="108"/>
      <c r="H463" s="108"/>
      <c r="I463" s="108"/>
      <c r="J463" s="108"/>
      <c r="K463" s="110"/>
      <c r="L463" s="137" t="e">
        <f t="shared" si="118"/>
        <v>#DIV/0!</v>
      </c>
    </row>
    <row r="464" spans="1:12" ht="12.75" hidden="1" customHeight="1" x14ac:dyDescent="0.25">
      <c r="A464" s="94">
        <v>5383</v>
      </c>
      <c r="B464" s="145">
        <v>543200</v>
      </c>
      <c r="C464" s="84" t="s">
        <v>412</v>
      </c>
      <c r="D464" s="108"/>
      <c r="E464" s="109">
        <f t="shared" si="127"/>
        <v>0</v>
      </c>
      <c r="F464" s="108"/>
      <c r="G464" s="108"/>
      <c r="H464" s="108"/>
      <c r="I464" s="108"/>
      <c r="J464" s="108"/>
      <c r="K464" s="110"/>
      <c r="L464" s="137" t="e">
        <f t="shared" si="118"/>
        <v>#DIV/0!</v>
      </c>
    </row>
    <row r="465" spans="1:12" ht="12.75" hidden="1" customHeight="1" x14ac:dyDescent="0.25">
      <c r="A465" s="93">
        <v>5384</v>
      </c>
      <c r="B465" s="140">
        <v>550000</v>
      </c>
      <c r="C465" s="82" t="s">
        <v>413</v>
      </c>
      <c r="D465" s="100">
        <f>D466</f>
        <v>0</v>
      </c>
      <c r="E465" s="100">
        <f t="shared" si="127"/>
        <v>0</v>
      </c>
      <c r="F465" s="100">
        <f t="shared" ref="F465:K466" si="137">F466</f>
        <v>0</v>
      </c>
      <c r="G465" s="100">
        <f t="shared" si="137"/>
        <v>0</v>
      </c>
      <c r="H465" s="100">
        <f t="shared" si="137"/>
        <v>0</v>
      </c>
      <c r="I465" s="100">
        <f t="shared" si="137"/>
        <v>0</v>
      </c>
      <c r="J465" s="100">
        <f t="shared" si="137"/>
        <v>0</v>
      </c>
      <c r="K465" s="101">
        <f t="shared" si="137"/>
        <v>0</v>
      </c>
      <c r="L465" s="137" t="e">
        <f t="shared" si="118"/>
        <v>#DIV/0!</v>
      </c>
    </row>
    <row r="466" spans="1:12" ht="12.75" hidden="1" customHeight="1" x14ac:dyDescent="0.25">
      <c r="A466" s="93">
        <v>5385</v>
      </c>
      <c r="B466" s="140">
        <v>551000</v>
      </c>
      <c r="C466" s="82" t="s">
        <v>414</v>
      </c>
      <c r="D466" s="100">
        <f>D467</f>
        <v>0</v>
      </c>
      <c r="E466" s="100">
        <f t="shared" si="127"/>
        <v>0</v>
      </c>
      <c r="F466" s="100">
        <f t="shared" si="137"/>
        <v>0</v>
      </c>
      <c r="G466" s="100">
        <f t="shared" si="137"/>
        <v>0</v>
      </c>
      <c r="H466" s="100">
        <f t="shared" si="137"/>
        <v>0</v>
      </c>
      <c r="I466" s="100">
        <f t="shared" si="137"/>
        <v>0</v>
      </c>
      <c r="J466" s="100">
        <f t="shared" si="137"/>
        <v>0</v>
      </c>
      <c r="K466" s="101">
        <f t="shared" si="137"/>
        <v>0</v>
      </c>
      <c r="L466" s="137" t="e">
        <f t="shared" si="118"/>
        <v>#DIV/0!</v>
      </c>
    </row>
    <row r="467" spans="1:12" ht="12.75" hidden="1" customHeight="1" x14ac:dyDescent="0.25">
      <c r="A467" s="94">
        <v>5386</v>
      </c>
      <c r="B467" s="145">
        <v>551100</v>
      </c>
      <c r="C467" s="84" t="s">
        <v>415</v>
      </c>
      <c r="D467" s="108"/>
      <c r="E467" s="109">
        <f t="shared" si="127"/>
        <v>0</v>
      </c>
      <c r="F467" s="108"/>
      <c r="G467" s="108"/>
      <c r="H467" s="108"/>
      <c r="I467" s="108"/>
      <c r="J467" s="108"/>
      <c r="K467" s="110"/>
      <c r="L467" s="137" t="e">
        <f t="shared" si="118"/>
        <v>#DIV/0!</v>
      </c>
    </row>
    <row r="468" spans="1:12" ht="12.75" hidden="1" customHeight="1" x14ac:dyDescent="0.25">
      <c r="A468" s="93">
        <v>5387</v>
      </c>
      <c r="B468" s="140">
        <v>600000</v>
      </c>
      <c r="C468" s="82" t="s">
        <v>416</v>
      </c>
      <c r="D468" s="100">
        <f>D469+D498</f>
        <v>0</v>
      </c>
      <c r="E468" s="100">
        <f t="shared" si="127"/>
        <v>0</v>
      </c>
      <c r="F468" s="100">
        <f t="shared" ref="F468:K468" si="138">F469+F498</f>
        <v>0</v>
      </c>
      <c r="G468" s="100">
        <f t="shared" si="138"/>
        <v>0</v>
      </c>
      <c r="H468" s="100">
        <f t="shared" si="138"/>
        <v>0</v>
      </c>
      <c r="I468" s="100">
        <f t="shared" si="138"/>
        <v>0</v>
      </c>
      <c r="J468" s="100">
        <f t="shared" si="138"/>
        <v>0</v>
      </c>
      <c r="K468" s="101">
        <f t="shared" si="138"/>
        <v>0</v>
      </c>
      <c r="L468" s="137" t="e">
        <f t="shared" si="118"/>
        <v>#DIV/0!</v>
      </c>
    </row>
    <row r="469" spans="1:12" ht="12.75" hidden="1" customHeight="1" x14ac:dyDescent="0.25">
      <c r="A469" s="93">
        <v>5388</v>
      </c>
      <c r="B469" s="140">
        <v>610000</v>
      </c>
      <c r="C469" s="82" t="s">
        <v>417</v>
      </c>
      <c r="D469" s="100">
        <f>D470+D484+D492+D494+D496</f>
        <v>0</v>
      </c>
      <c r="E469" s="100">
        <f t="shared" si="127"/>
        <v>0</v>
      </c>
      <c r="F469" s="100">
        <f t="shared" ref="F469:K469" si="139">F470+F484+F492+F494+F496</f>
        <v>0</v>
      </c>
      <c r="G469" s="100">
        <f t="shared" si="139"/>
        <v>0</v>
      </c>
      <c r="H469" s="100">
        <f t="shared" si="139"/>
        <v>0</v>
      </c>
      <c r="I469" s="100">
        <f t="shared" si="139"/>
        <v>0</v>
      </c>
      <c r="J469" s="100">
        <f t="shared" si="139"/>
        <v>0</v>
      </c>
      <c r="K469" s="101">
        <f t="shared" si="139"/>
        <v>0</v>
      </c>
      <c r="L469" s="137" t="e">
        <f t="shared" si="118"/>
        <v>#DIV/0!</v>
      </c>
    </row>
    <row r="470" spans="1:12" ht="12.75" hidden="1" customHeight="1" x14ac:dyDescent="0.25">
      <c r="A470" s="93">
        <v>5389</v>
      </c>
      <c r="B470" s="140">
        <v>611000</v>
      </c>
      <c r="C470" s="82" t="s">
        <v>418</v>
      </c>
      <c r="D470" s="100">
        <f>SUM(D471:D483)</f>
        <v>0</v>
      </c>
      <c r="E470" s="100">
        <f t="shared" si="127"/>
        <v>0</v>
      </c>
      <c r="F470" s="100">
        <f t="shared" ref="F470:K470" si="140">SUM(F471:F483)</f>
        <v>0</v>
      </c>
      <c r="G470" s="100">
        <f t="shared" si="140"/>
        <v>0</v>
      </c>
      <c r="H470" s="100">
        <f t="shared" si="140"/>
        <v>0</v>
      </c>
      <c r="I470" s="100">
        <f t="shared" si="140"/>
        <v>0</v>
      </c>
      <c r="J470" s="100">
        <f t="shared" si="140"/>
        <v>0</v>
      </c>
      <c r="K470" s="101">
        <f t="shared" si="140"/>
        <v>0</v>
      </c>
      <c r="L470" s="137" t="e">
        <f t="shared" si="118"/>
        <v>#DIV/0!</v>
      </c>
    </row>
    <row r="471" spans="1:12" ht="12.75" hidden="1" customHeight="1" x14ac:dyDescent="0.25">
      <c r="A471" s="94">
        <v>5390</v>
      </c>
      <c r="B471" s="145">
        <v>611100</v>
      </c>
      <c r="C471" s="84" t="s">
        <v>419</v>
      </c>
      <c r="D471" s="108"/>
      <c r="E471" s="109">
        <f t="shared" si="127"/>
        <v>0</v>
      </c>
      <c r="F471" s="108"/>
      <c r="G471" s="108"/>
      <c r="H471" s="108"/>
      <c r="I471" s="108"/>
      <c r="J471" s="108"/>
      <c r="K471" s="110"/>
      <c r="L471" s="137" t="e">
        <f t="shared" si="118"/>
        <v>#DIV/0!</v>
      </c>
    </row>
    <row r="472" spans="1:12" ht="12.75" hidden="1" customHeight="1" x14ac:dyDescent="0.25">
      <c r="A472" s="94">
        <v>5391</v>
      </c>
      <c r="B472" s="145">
        <v>611200</v>
      </c>
      <c r="C472" s="84" t="s">
        <v>420</v>
      </c>
      <c r="D472" s="108"/>
      <c r="E472" s="109">
        <f t="shared" si="127"/>
        <v>0</v>
      </c>
      <c r="F472" s="108"/>
      <c r="G472" s="108"/>
      <c r="H472" s="108"/>
      <c r="I472" s="108"/>
      <c r="J472" s="108"/>
      <c r="K472" s="110"/>
      <c r="L472" s="137" t="e">
        <f t="shared" si="118"/>
        <v>#DIV/0!</v>
      </c>
    </row>
    <row r="473" spans="1:12" ht="12.75" hidden="1" customHeight="1" x14ac:dyDescent="0.25">
      <c r="A473" s="94">
        <v>5392</v>
      </c>
      <c r="B473" s="145">
        <v>611300</v>
      </c>
      <c r="C473" s="84" t="s">
        <v>421</v>
      </c>
      <c r="D473" s="108"/>
      <c r="E473" s="109">
        <f t="shared" si="127"/>
        <v>0</v>
      </c>
      <c r="F473" s="108"/>
      <c r="G473" s="108"/>
      <c r="H473" s="108"/>
      <c r="I473" s="108"/>
      <c r="J473" s="108"/>
      <c r="K473" s="110"/>
      <c r="L473" s="137" t="e">
        <f t="shared" si="118"/>
        <v>#DIV/0!</v>
      </c>
    </row>
    <row r="474" spans="1:12" ht="12.75" hidden="1" customHeight="1" x14ac:dyDescent="0.25">
      <c r="A474" s="583" t="s">
        <v>0</v>
      </c>
      <c r="B474" s="584" t="s">
        <v>1</v>
      </c>
      <c r="C474" s="585" t="s">
        <v>2</v>
      </c>
      <c r="D474" s="585" t="s">
        <v>217</v>
      </c>
      <c r="E474" s="575" t="s">
        <v>198</v>
      </c>
      <c r="F474" s="589"/>
      <c r="G474" s="589"/>
      <c r="H474" s="589"/>
      <c r="I474" s="589"/>
      <c r="J474" s="589"/>
      <c r="K474" s="592"/>
      <c r="L474" s="137" t="e">
        <f t="shared" si="118"/>
        <v>#VALUE!</v>
      </c>
    </row>
    <row r="475" spans="1:12" ht="12.75" hidden="1" customHeight="1" x14ac:dyDescent="0.25">
      <c r="A475" s="583"/>
      <c r="B475" s="584"/>
      <c r="C475" s="585"/>
      <c r="D475" s="585"/>
      <c r="E475" s="575" t="s">
        <v>199</v>
      </c>
      <c r="F475" s="575" t="s">
        <v>200</v>
      </c>
      <c r="G475" s="589"/>
      <c r="H475" s="589"/>
      <c r="I475" s="589"/>
      <c r="J475" s="575" t="s">
        <v>7</v>
      </c>
      <c r="K475" s="582" t="s">
        <v>8</v>
      </c>
      <c r="L475" s="137" t="e">
        <f t="shared" si="118"/>
        <v>#VALUE!</v>
      </c>
    </row>
    <row r="476" spans="1:12" ht="12.75" hidden="1" customHeight="1" x14ac:dyDescent="0.25">
      <c r="A476" s="583"/>
      <c r="B476" s="584"/>
      <c r="C476" s="585"/>
      <c r="D476" s="585"/>
      <c r="E476" s="589"/>
      <c r="F476" s="140" t="s">
        <v>201</v>
      </c>
      <c r="G476" s="140" t="s">
        <v>10</v>
      </c>
      <c r="H476" s="140" t="s">
        <v>11</v>
      </c>
      <c r="I476" s="140" t="s">
        <v>12</v>
      </c>
      <c r="J476" s="589"/>
      <c r="K476" s="592"/>
      <c r="L476" s="137" t="e">
        <f t="shared" si="118"/>
        <v>#DIV/0!</v>
      </c>
    </row>
    <row r="477" spans="1:12" ht="12.75" hidden="1" customHeight="1" x14ac:dyDescent="0.25">
      <c r="A477" s="95" t="s">
        <v>18</v>
      </c>
      <c r="B477" s="139" t="s">
        <v>19</v>
      </c>
      <c r="C477" s="139" t="s">
        <v>20</v>
      </c>
      <c r="D477" s="139" t="s">
        <v>21</v>
      </c>
      <c r="E477" s="139" t="s">
        <v>22</v>
      </c>
      <c r="F477" s="139" t="s">
        <v>23</v>
      </c>
      <c r="G477" s="139" t="s">
        <v>24</v>
      </c>
      <c r="H477" s="139" t="s">
        <v>25</v>
      </c>
      <c r="I477" s="139" t="s">
        <v>26</v>
      </c>
      <c r="J477" s="139" t="s">
        <v>27</v>
      </c>
      <c r="K477" s="99" t="s">
        <v>28</v>
      </c>
      <c r="L477" s="137">
        <f t="shared" ref="L477:L524" si="141">E477/D477</f>
        <v>1.25</v>
      </c>
    </row>
    <row r="478" spans="1:12" ht="12.75" hidden="1" customHeight="1" x14ac:dyDescent="0.25">
      <c r="A478" s="94">
        <v>5393</v>
      </c>
      <c r="B478" s="145">
        <v>611400</v>
      </c>
      <c r="C478" s="84" t="s">
        <v>422</v>
      </c>
      <c r="D478" s="108"/>
      <c r="E478" s="109">
        <f t="shared" si="127"/>
        <v>0</v>
      </c>
      <c r="F478" s="108"/>
      <c r="G478" s="108"/>
      <c r="H478" s="108"/>
      <c r="I478" s="108"/>
      <c r="J478" s="108"/>
      <c r="K478" s="110"/>
      <c r="L478" s="137" t="e">
        <f t="shared" si="141"/>
        <v>#DIV/0!</v>
      </c>
    </row>
    <row r="479" spans="1:12" ht="12.75" hidden="1" customHeight="1" x14ac:dyDescent="0.25">
      <c r="A479" s="94">
        <v>5394</v>
      </c>
      <c r="B479" s="145">
        <v>611500</v>
      </c>
      <c r="C479" s="84" t="s">
        <v>423</v>
      </c>
      <c r="D479" s="108"/>
      <c r="E479" s="109">
        <f t="shared" si="127"/>
        <v>0</v>
      </c>
      <c r="F479" s="108"/>
      <c r="G479" s="108"/>
      <c r="H479" s="108"/>
      <c r="I479" s="108"/>
      <c r="J479" s="108"/>
      <c r="K479" s="110"/>
      <c r="L479" s="137" t="e">
        <f t="shared" si="141"/>
        <v>#DIV/0!</v>
      </c>
    </row>
    <row r="480" spans="1:12" ht="12.75" hidden="1" customHeight="1" x14ac:dyDescent="0.25">
      <c r="A480" s="94">
        <v>5395</v>
      </c>
      <c r="B480" s="145">
        <v>611600</v>
      </c>
      <c r="C480" s="84" t="s">
        <v>424</v>
      </c>
      <c r="D480" s="108"/>
      <c r="E480" s="109">
        <f t="shared" si="127"/>
        <v>0</v>
      </c>
      <c r="F480" s="108"/>
      <c r="G480" s="108"/>
      <c r="H480" s="108"/>
      <c r="I480" s="108"/>
      <c r="J480" s="108"/>
      <c r="K480" s="110"/>
      <c r="L480" s="137" t="e">
        <f t="shared" si="141"/>
        <v>#DIV/0!</v>
      </c>
    </row>
    <row r="481" spans="1:12" ht="12.75" hidden="1" customHeight="1" x14ac:dyDescent="0.25">
      <c r="A481" s="94">
        <v>5396</v>
      </c>
      <c r="B481" s="145">
        <v>611700</v>
      </c>
      <c r="C481" s="84" t="s">
        <v>425</v>
      </c>
      <c r="D481" s="108"/>
      <c r="E481" s="109">
        <f t="shared" si="127"/>
        <v>0</v>
      </c>
      <c r="F481" s="108"/>
      <c r="G481" s="108"/>
      <c r="H481" s="108"/>
      <c r="I481" s="108"/>
      <c r="J481" s="108"/>
      <c r="K481" s="110"/>
      <c r="L481" s="137" t="e">
        <f t="shared" si="141"/>
        <v>#DIV/0!</v>
      </c>
    </row>
    <row r="482" spans="1:12" ht="12.75" hidden="1" customHeight="1" x14ac:dyDescent="0.25">
      <c r="A482" s="94">
        <v>5397</v>
      </c>
      <c r="B482" s="145">
        <v>611800</v>
      </c>
      <c r="C482" s="84" t="s">
        <v>426</v>
      </c>
      <c r="D482" s="108"/>
      <c r="E482" s="109">
        <f t="shared" si="127"/>
        <v>0</v>
      </c>
      <c r="F482" s="108"/>
      <c r="G482" s="108"/>
      <c r="H482" s="108"/>
      <c r="I482" s="108"/>
      <c r="J482" s="108"/>
      <c r="K482" s="110"/>
      <c r="L482" s="137" t="e">
        <f t="shared" si="141"/>
        <v>#DIV/0!</v>
      </c>
    </row>
    <row r="483" spans="1:12" ht="12.75" hidden="1" customHeight="1" x14ac:dyDescent="0.25">
      <c r="A483" s="94">
        <v>5398</v>
      </c>
      <c r="B483" s="145">
        <v>611900</v>
      </c>
      <c r="C483" s="84" t="s">
        <v>165</v>
      </c>
      <c r="D483" s="108"/>
      <c r="E483" s="109">
        <f t="shared" si="127"/>
        <v>0</v>
      </c>
      <c r="F483" s="108"/>
      <c r="G483" s="108"/>
      <c r="H483" s="108"/>
      <c r="I483" s="108"/>
      <c r="J483" s="108"/>
      <c r="K483" s="110"/>
      <c r="L483" s="137" t="e">
        <f t="shared" si="141"/>
        <v>#DIV/0!</v>
      </c>
    </row>
    <row r="484" spans="1:12" ht="12.75" hidden="1" customHeight="1" x14ac:dyDescent="0.25">
      <c r="A484" s="93">
        <v>5399</v>
      </c>
      <c r="B484" s="140">
        <v>612000</v>
      </c>
      <c r="C484" s="82" t="s">
        <v>427</v>
      </c>
      <c r="D484" s="100">
        <f>SUM(D485:D491)</f>
        <v>0</v>
      </c>
      <c r="E484" s="100">
        <f t="shared" si="127"/>
        <v>0</v>
      </c>
      <c r="F484" s="100">
        <f t="shared" ref="F484:K484" si="142">SUM(F485:F491)</f>
        <v>0</v>
      </c>
      <c r="G484" s="100">
        <f t="shared" si="142"/>
        <v>0</v>
      </c>
      <c r="H484" s="100">
        <f t="shared" si="142"/>
        <v>0</v>
      </c>
      <c r="I484" s="100">
        <f t="shared" si="142"/>
        <v>0</v>
      </c>
      <c r="J484" s="100">
        <f t="shared" si="142"/>
        <v>0</v>
      </c>
      <c r="K484" s="101">
        <f t="shared" si="142"/>
        <v>0</v>
      </c>
      <c r="L484" s="137" t="e">
        <f t="shared" si="141"/>
        <v>#DIV/0!</v>
      </c>
    </row>
    <row r="485" spans="1:12" ht="12.75" hidden="1" customHeight="1" x14ac:dyDescent="0.25">
      <c r="A485" s="94">
        <v>5400</v>
      </c>
      <c r="B485" s="145">
        <v>612100</v>
      </c>
      <c r="C485" s="84" t="s">
        <v>428</v>
      </c>
      <c r="D485" s="108"/>
      <c r="E485" s="109">
        <f t="shared" si="127"/>
        <v>0</v>
      </c>
      <c r="F485" s="108"/>
      <c r="G485" s="108"/>
      <c r="H485" s="108"/>
      <c r="I485" s="108"/>
      <c r="J485" s="108"/>
      <c r="K485" s="110"/>
      <c r="L485" s="137" t="e">
        <f t="shared" si="141"/>
        <v>#DIV/0!</v>
      </c>
    </row>
    <row r="486" spans="1:12" ht="12.75" hidden="1" customHeight="1" x14ac:dyDescent="0.25">
      <c r="A486" s="94">
        <v>5401</v>
      </c>
      <c r="B486" s="145">
        <v>612200</v>
      </c>
      <c r="C486" s="84" t="s">
        <v>429</v>
      </c>
      <c r="D486" s="108"/>
      <c r="E486" s="109">
        <f t="shared" si="127"/>
        <v>0</v>
      </c>
      <c r="F486" s="108"/>
      <c r="G486" s="108"/>
      <c r="H486" s="108"/>
      <c r="I486" s="108"/>
      <c r="J486" s="108"/>
      <c r="K486" s="110"/>
      <c r="L486" s="137" t="e">
        <f t="shared" si="141"/>
        <v>#DIV/0!</v>
      </c>
    </row>
    <row r="487" spans="1:12" ht="12.75" hidden="1" customHeight="1" x14ac:dyDescent="0.25">
      <c r="A487" s="94">
        <v>5402</v>
      </c>
      <c r="B487" s="145">
        <v>612300</v>
      </c>
      <c r="C487" s="84" t="s">
        <v>430</v>
      </c>
      <c r="D487" s="108"/>
      <c r="E487" s="109">
        <f t="shared" si="127"/>
        <v>0</v>
      </c>
      <c r="F487" s="108"/>
      <c r="G487" s="108"/>
      <c r="H487" s="108"/>
      <c r="I487" s="108"/>
      <c r="J487" s="108"/>
      <c r="K487" s="110"/>
      <c r="L487" s="137" t="e">
        <f t="shared" si="141"/>
        <v>#DIV/0!</v>
      </c>
    </row>
    <row r="488" spans="1:12" ht="12.75" hidden="1" customHeight="1" x14ac:dyDescent="0.25">
      <c r="A488" s="94">
        <v>5403</v>
      </c>
      <c r="B488" s="145">
        <v>612400</v>
      </c>
      <c r="C488" s="84" t="s">
        <v>431</v>
      </c>
      <c r="D488" s="108"/>
      <c r="E488" s="109">
        <f t="shared" si="127"/>
        <v>0</v>
      </c>
      <c r="F488" s="108"/>
      <c r="G488" s="108"/>
      <c r="H488" s="108"/>
      <c r="I488" s="108"/>
      <c r="J488" s="108"/>
      <c r="K488" s="110"/>
      <c r="L488" s="137" t="e">
        <f t="shared" si="141"/>
        <v>#DIV/0!</v>
      </c>
    </row>
    <row r="489" spans="1:12" ht="12.75" hidden="1" customHeight="1" x14ac:dyDescent="0.25">
      <c r="A489" s="94">
        <v>5404</v>
      </c>
      <c r="B489" s="145">
        <v>612500</v>
      </c>
      <c r="C489" s="84" t="s">
        <v>432</v>
      </c>
      <c r="D489" s="108"/>
      <c r="E489" s="109">
        <f t="shared" si="127"/>
        <v>0</v>
      </c>
      <c r="F489" s="108"/>
      <c r="G489" s="108"/>
      <c r="H489" s="108"/>
      <c r="I489" s="108"/>
      <c r="J489" s="108"/>
      <c r="K489" s="110"/>
      <c r="L489" s="137" t="e">
        <f t="shared" si="141"/>
        <v>#DIV/0!</v>
      </c>
    </row>
    <row r="490" spans="1:12" ht="12.75" hidden="1" customHeight="1" x14ac:dyDescent="0.25">
      <c r="A490" s="94">
        <v>5405</v>
      </c>
      <c r="B490" s="145">
        <v>612600</v>
      </c>
      <c r="C490" s="84" t="s">
        <v>433</v>
      </c>
      <c r="D490" s="108"/>
      <c r="E490" s="109">
        <f t="shared" si="127"/>
        <v>0</v>
      </c>
      <c r="F490" s="108"/>
      <c r="G490" s="108"/>
      <c r="H490" s="108"/>
      <c r="I490" s="108"/>
      <c r="J490" s="108"/>
      <c r="K490" s="110"/>
      <c r="L490" s="137" t="e">
        <f t="shared" si="141"/>
        <v>#DIV/0!</v>
      </c>
    </row>
    <row r="491" spans="1:12" ht="12.75" hidden="1" customHeight="1" x14ac:dyDescent="0.25">
      <c r="A491" s="94">
        <v>5406</v>
      </c>
      <c r="B491" s="145">
        <v>612900</v>
      </c>
      <c r="C491" s="84" t="s">
        <v>173</v>
      </c>
      <c r="D491" s="108"/>
      <c r="E491" s="109">
        <f t="shared" si="127"/>
        <v>0</v>
      </c>
      <c r="F491" s="108"/>
      <c r="G491" s="108"/>
      <c r="H491" s="108"/>
      <c r="I491" s="108"/>
      <c r="J491" s="108"/>
      <c r="K491" s="110"/>
      <c r="L491" s="137" t="e">
        <f t="shared" si="141"/>
        <v>#DIV/0!</v>
      </c>
    </row>
    <row r="492" spans="1:12" ht="12.75" hidden="1" customHeight="1" x14ac:dyDescent="0.25">
      <c r="A492" s="93">
        <v>5407</v>
      </c>
      <c r="B492" s="140">
        <v>613000</v>
      </c>
      <c r="C492" s="82" t="s">
        <v>434</v>
      </c>
      <c r="D492" s="100">
        <f>D493</f>
        <v>0</v>
      </c>
      <c r="E492" s="100">
        <f t="shared" si="127"/>
        <v>0</v>
      </c>
      <c r="F492" s="100">
        <f t="shared" ref="F492:K492" si="143">F493</f>
        <v>0</v>
      </c>
      <c r="G492" s="100">
        <f t="shared" si="143"/>
        <v>0</v>
      </c>
      <c r="H492" s="100">
        <f t="shared" si="143"/>
        <v>0</v>
      </c>
      <c r="I492" s="100">
        <f t="shared" si="143"/>
        <v>0</v>
      </c>
      <c r="J492" s="100">
        <f t="shared" si="143"/>
        <v>0</v>
      </c>
      <c r="K492" s="101">
        <f t="shared" si="143"/>
        <v>0</v>
      </c>
      <c r="L492" s="137" t="e">
        <f t="shared" si="141"/>
        <v>#DIV/0!</v>
      </c>
    </row>
    <row r="493" spans="1:12" ht="12.75" hidden="1" customHeight="1" x14ac:dyDescent="0.25">
      <c r="A493" s="94">
        <v>5408</v>
      </c>
      <c r="B493" s="145">
        <v>613100</v>
      </c>
      <c r="C493" s="84" t="s">
        <v>435</v>
      </c>
      <c r="D493" s="108"/>
      <c r="E493" s="109">
        <f t="shared" si="127"/>
        <v>0</v>
      </c>
      <c r="F493" s="108"/>
      <c r="G493" s="108"/>
      <c r="H493" s="108"/>
      <c r="I493" s="108"/>
      <c r="J493" s="108"/>
      <c r="K493" s="110"/>
      <c r="L493" s="137" t="e">
        <f t="shared" si="141"/>
        <v>#DIV/0!</v>
      </c>
    </row>
    <row r="494" spans="1:12" ht="12.75" hidden="1" customHeight="1" x14ac:dyDescent="0.25">
      <c r="A494" s="93">
        <v>5409</v>
      </c>
      <c r="B494" s="140">
        <v>614000</v>
      </c>
      <c r="C494" s="82" t="s">
        <v>436</v>
      </c>
      <c r="D494" s="100">
        <f>D495</f>
        <v>0</v>
      </c>
      <c r="E494" s="100">
        <f t="shared" si="127"/>
        <v>0</v>
      </c>
      <c r="F494" s="100">
        <f t="shared" ref="F494:K496" si="144">F495</f>
        <v>0</v>
      </c>
      <c r="G494" s="100">
        <f t="shared" si="144"/>
        <v>0</v>
      </c>
      <c r="H494" s="100">
        <f t="shared" si="144"/>
        <v>0</v>
      </c>
      <c r="I494" s="100">
        <f t="shared" si="144"/>
        <v>0</v>
      </c>
      <c r="J494" s="100">
        <f t="shared" si="144"/>
        <v>0</v>
      </c>
      <c r="K494" s="101">
        <f t="shared" si="144"/>
        <v>0</v>
      </c>
      <c r="L494" s="137" t="e">
        <f t="shared" si="141"/>
        <v>#DIV/0!</v>
      </c>
    </row>
    <row r="495" spans="1:12" ht="12.75" hidden="1" customHeight="1" x14ac:dyDescent="0.25">
      <c r="A495" s="94">
        <v>5410</v>
      </c>
      <c r="B495" s="145">
        <v>614100</v>
      </c>
      <c r="C495" s="84" t="s">
        <v>437</v>
      </c>
      <c r="D495" s="108"/>
      <c r="E495" s="109">
        <f t="shared" si="127"/>
        <v>0</v>
      </c>
      <c r="F495" s="108"/>
      <c r="G495" s="108"/>
      <c r="H495" s="108"/>
      <c r="I495" s="108"/>
      <c r="J495" s="108"/>
      <c r="K495" s="110"/>
      <c r="L495" s="137" t="e">
        <f t="shared" si="141"/>
        <v>#DIV/0!</v>
      </c>
    </row>
    <row r="496" spans="1:12" ht="12.75" hidden="1" customHeight="1" x14ac:dyDescent="0.25">
      <c r="A496" s="93">
        <v>5411</v>
      </c>
      <c r="B496" s="140">
        <v>615000</v>
      </c>
      <c r="C496" s="82" t="s">
        <v>438</v>
      </c>
      <c r="D496" s="100">
        <f>D497</f>
        <v>0</v>
      </c>
      <c r="E496" s="100">
        <f t="shared" si="127"/>
        <v>0</v>
      </c>
      <c r="F496" s="100">
        <f t="shared" si="144"/>
        <v>0</v>
      </c>
      <c r="G496" s="100">
        <f t="shared" si="144"/>
        <v>0</v>
      </c>
      <c r="H496" s="100">
        <f t="shared" si="144"/>
        <v>0</v>
      </c>
      <c r="I496" s="100">
        <f t="shared" si="144"/>
        <v>0</v>
      </c>
      <c r="J496" s="100">
        <f t="shared" si="144"/>
        <v>0</v>
      </c>
      <c r="K496" s="101">
        <f t="shared" si="144"/>
        <v>0</v>
      </c>
      <c r="L496" s="137" t="e">
        <f t="shared" si="141"/>
        <v>#DIV/0!</v>
      </c>
    </row>
    <row r="497" spans="1:12" ht="12.75" hidden="1" customHeight="1" x14ac:dyDescent="0.25">
      <c r="A497" s="94">
        <v>5412</v>
      </c>
      <c r="B497" s="145">
        <v>615100</v>
      </c>
      <c r="C497" s="84" t="s">
        <v>439</v>
      </c>
      <c r="D497" s="108"/>
      <c r="E497" s="109">
        <f t="shared" si="127"/>
        <v>0</v>
      </c>
      <c r="F497" s="108"/>
      <c r="G497" s="108"/>
      <c r="H497" s="108"/>
      <c r="I497" s="108"/>
      <c r="J497" s="108"/>
      <c r="K497" s="110"/>
      <c r="L497" s="137" t="e">
        <f t="shared" si="141"/>
        <v>#DIV/0!</v>
      </c>
    </row>
    <row r="498" spans="1:12" ht="12.75" hidden="1" customHeight="1" x14ac:dyDescent="0.25">
      <c r="A498" s="93">
        <v>5413</v>
      </c>
      <c r="B498" s="140">
        <v>620000</v>
      </c>
      <c r="C498" s="82" t="s">
        <v>440</v>
      </c>
      <c r="D498" s="100">
        <f>D499+D513+D522</f>
        <v>0</v>
      </c>
      <c r="E498" s="100">
        <f t="shared" si="127"/>
        <v>0</v>
      </c>
      <c r="F498" s="100">
        <f t="shared" ref="F498:K498" si="145">F499+F513+F522</f>
        <v>0</v>
      </c>
      <c r="G498" s="100">
        <f t="shared" si="145"/>
        <v>0</v>
      </c>
      <c r="H498" s="100">
        <f t="shared" si="145"/>
        <v>0</v>
      </c>
      <c r="I498" s="100">
        <f t="shared" si="145"/>
        <v>0</v>
      </c>
      <c r="J498" s="100">
        <f t="shared" si="145"/>
        <v>0</v>
      </c>
      <c r="K498" s="101">
        <f t="shared" si="145"/>
        <v>0</v>
      </c>
      <c r="L498" s="137" t="e">
        <f t="shared" si="141"/>
        <v>#DIV/0!</v>
      </c>
    </row>
    <row r="499" spans="1:12" ht="12.75" hidden="1" customHeight="1" x14ac:dyDescent="0.25">
      <c r="A499" s="93">
        <v>5414</v>
      </c>
      <c r="B499" s="140">
        <v>621000</v>
      </c>
      <c r="C499" s="82" t="s">
        <v>441</v>
      </c>
      <c r="D499" s="100">
        <f>SUM(D500:D512)</f>
        <v>0</v>
      </c>
      <c r="E499" s="100">
        <f t="shared" si="127"/>
        <v>0</v>
      </c>
      <c r="F499" s="100">
        <f t="shared" ref="F499:K499" si="146">SUM(F500:F512)</f>
        <v>0</v>
      </c>
      <c r="G499" s="100">
        <f t="shared" si="146"/>
        <v>0</v>
      </c>
      <c r="H499" s="100">
        <f t="shared" si="146"/>
        <v>0</v>
      </c>
      <c r="I499" s="100">
        <f t="shared" si="146"/>
        <v>0</v>
      </c>
      <c r="J499" s="100">
        <f t="shared" si="146"/>
        <v>0</v>
      </c>
      <c r="K499" s="101">
        <f t="shared" si="146"/>
        <v>0</v>
      </c>
      <c r="L499" s="137" t="e">
        <f t="shared" si="141"/>
        <v>#DIV/0!</v>
      </c>
    </row>
    <row r="500" spans="1:12" ht="12.75" hidden="1" customHeight="1" x14ac:dyDescent="0.25">
      <c r="A500" s="94">
        <v>5415</v>
      </c>
      <c r="B500" s="145">
        <v>621100</v>
      </c>
      <c r="C500" s="84" t="s">
        <v>442</v>
      </c>
      <c r="D500" s="108"/>
      <c r="E500" s="109">
        <f t="shared" si="127"/>
        <v>0</v>
      </c>
      <c r="F500" s="108"/>
      <c r="G500" s="108"/>
      <c r="H500" s="108"/>
      <c r="I500" s="108"/>
      <c r="J500" s="108"/>
      <c r="K500" s="110"/>
      <c r="L500" s="137" t="e">
        <f t="shared" si="141"/>
        <v>#DIV/0!</v>
      </c>
    </row>
    <row r="501" spans="1:12" ht="12.75" hidden="1" customHeight="1" x14ac:dyDescent="0.25">
      <c r="A501" s="583" t="s">
        <v>0</v>
      </c>
      <c r="B501" s="584" t="s">
        <v>1</v>
      </c>
      <c r="C501" s="585" t="s">
        <v>2</v>
      </c>
      <c r="D501" s="585" t="s">
        <v>217</v>
      </c>
      <c r="E501" s="575" t="s">
        <v>198</v>
      </c>
      <c r="F501" s="589"/>
      <c r="G501" s="589"/>
      <c r="H501" s="589"/>
      <c r="I501" s="589"/>
      <c r="J501" s="589"/>
      <c r="K501" s="592"/>
      <c r="L501" s="137" t="e">
        <f t="shared" si="141"/>
        <v>#VALUE!</v>
      </c>
    </row>
    <row r="502" spans="1:12" ht="12.75" hidden="1" customHeight="1" x14ac:dyDescent="0.25">
      <c r="A502" s="583"/>
      <c r="B502" s="584"/>
      <c r="C502" s="585"/>
      <c r="D502" s="585"/>
      <c r="E502" s="575" t="s">
        <v>199</v>
      </c>
      <c r="F502" s="575" t="s">
        <v>200</v>
      </c>
      <c r="G502" s="589"/>
      <c r="H502" s="589"/>
      <c r="I502" s="589"/>
      <c r="J502" s="575" t="s">
        <v>7</v>
      </c>
      <c r="K502" s="582" t="s">
        <v>8</v>
      </c>
      <c r="L502" s="137" t="e">
        <f t="shared" si="141"/>
        <v>#VALUE!</v>
      </c>
    </row>
    <row r="503" spans="1:12" ht="12.75" hidden="1" customHeight="1" x14ac:dyDescent="0.25">
      <c r="A503" s="583"/>
      <c r="B503" s="584"/>
      <c r="C503" s="585"/>
      <c r="D503" s="585"/>
      <c r="E503" s="589"/>
      <c r="F503" s="140" t="s">
        <v>201</v>
      </c>
      <c r="G503" s="140" t="s">
        <v>10</v>
      </c>
      <c r="H503" s="140" t="s">
        <v>11</v>
      </c>
      <c r="I503" s="140" t="s">
        <v>12</v>
      </c>
      <c r="J503" s="589"/>
      <c r="K503" s="592"/>
      <c r="L503" s="137" t="e">
        <f t="shared" si="141"/>
        <v>#DIV/0!</v>
      </c>
    </row>
    <row r="504" spans="1:12" ht="12.75" hidden="1" customHeight="1" x14ac:dyDescent="0.25">
      <c r="A504" s="95" t="s">
        <v>18</v>
      </c>
      <c r="B504" s="139" t="s">
        <v>19</v>
      </c>
      <c r="C504" s="139" t="s">
        <v>20</v>
      </c>
      <c r="D504" s="139" t="s">
        <v>21</v>
      </c>
      <c r="E504" s="139" t="s">
        <v>22</v>
      </c>
      <c r="F504" s="139" t="s">
        <v>23</v>
      </c>
      <c r="G504" s="139" t="s">
        <v>24</v>
      </c>
      <c r="H504" s="139" t="s">
        <v>25</v>
      </c>
      <c r="I504" s="139" t="s">
        <v>26</v>
      </c>
      <c r="J504" s="139" t="s">
        <v>27</v>
      </c>
      <c r="K504" s="99" t="s">
        <v>28</v>
      </c>
      <c r="L504" s="137">
        <f t="shared" si="141"/>
        <v>1.25</v>
      </c>
    </row>
    <row r="505" spans="1:12" ht="12.75" hidden="1" customHeight="1" x14ac:dyDescent="0.25">
      <c r="A505" s="94">
        <v>5416</v>
      </c>
      <c r="B505" s="145">
        <v>621200</v>
      </c>
      <c r="C505" s="84" t="s">
        <v>443</v>
      </c>
      <c r="D505" s="108"/>
      <c r="E505" s="109">
        <f t="shared" si="127"/>
        <v>0</v>
      </c>
      <c r="F505" s="108"/>
      <c r="G505" s="108"/>
      <c r="H505" s="108"/>
      <c r="I505" s="108"/>
      <c r="J505" s="108"/>
      <c r="K505" s="110"/>
      <c r="L505" s="137" t="e">
        <f t="shared" si="141"/>
        <v>#DIV/0!</v>
      </c>
    </row>
    <row r="506" spans="1:12" ht="12.75" hidden="1" customHeight="1" x14ac:dyDescent="0.25">
      <c r="A506" s="94">
        <v>5417</v>
      </c>
      <c r="B506" s="145">
        <v>621300</v>
      </c>
      <c r="C506" s="84" t="s">
        <v>444</v>
      </c>
      <c r="D506" s="108"/>
      <c r="E506" s="109">
        <f t="shared" si="127"/>
        <v>0</v>
      </c>
      <c r="F506" s="108"/>
      <c r="G506" s="108"/>
      <c r="H506" s="108"/>
      <c r="I506" s="108"/>
      <c r="J506" s="108"/>
      <c r="K506" s="110"/>
      <c r="L506" s="137" t="e">
        <f t="shared" si="141"/>
        <v>#DIV/0!</v>
      </c>
    </row>
    <row r="507" spans="1:12" ht="12.75" hidden="1" customHeight="1" x14ac:dyDescent="0.25">
      <c r="A507" s="94">
        <v>5418</v>
      </c>
      <c r="B507" s="145">
        <v>621400</v>
      </c>
      <c r="C507" s="84" t="s">
        <v>445</v>
      </c>
      <c r="D507" s="108"/>
      <c r="E507" s="109">
        <f t="shared" si="127"/>
        <v>0</v>
      </c>
      <c r="F507" s="108"/>
      <c r="G507" s="108"/>
      <c r="H507" s="108"/>
      <c r="I507" s="108"/>
      <c r="J507" s="108"/>
      <c r="K507" s="110"/>
      <c r="L507" s="137" t="e">
        <f t="shared" si="141"/>
        <v>#DIV/0!</v>
      </c>
    </row>
    <row r="508" spans="1:12" ht="12.75" hidden="1" customHeight="1" x14ac:dyDescent="0.25">
      <c r="A508" s="94">
        <v>5419</v>
      </c>
      <c r="B508" s="145">
        <v>621500</v>
      </c>
      <c r="C508" s="84" t="s">
        <v>446</v>
      </c>
      <c r="D508" s="108"/>
      <c r="E508" s="109">
        <f t="shared" si="127"/>
        <v>0</v>
      </c>
      <c r="F508" s="108"/>
      <c r="G508" s="108"/>
      <c r="H508" s="108"/>
      <c r="I508" s="108"/>
      <c r="J508" s="108"/>
      <c r="K508" s="110"/>
      <c r="L508" s="137" t="e">
        <f t="shared" si="141"/>
        <v>#DIV/0!</v>
      </c>
    </row>
    <row r="509" spans="1:12" ht="12.75" hidden="1" customHeight="1" x14ac:dyDescent="0.25">
      <c r="A509" s="94">
        <v>5420</v>
      </c>
      <c r="B509" s="145">
        <v>621600</v>
      </c>
      <c r="C509" s="84" t="s">
        <v>447</v>
      </c>
      <c r="D509" s="108"/>
      <c r="E509" s="109">
        <f t="shared" si="127"/>
        <v>0</v>
      </c>
      <c r="F509" s="108"/>
      <c r="G509" s="108"/>
      <c r="H509" s="108"/>
      <c r="I509" s="108"/>
      <c r="J509" s="108"/>
      <c r="K509" s="110"/>
      <c r="L509" s="137" t="e">
        <f t="shared" si="141"/>
        <v>#DIV/0!</v>
      </c>
    </row>
    <row r="510" spans="1:12" ht="12.75" hidden="1" customHeight="1" x14ac:dyDescent="0.25">
      <c r="A510" s="94">
        <v>5421</v>
      </c>
      <c r="B510" s="145">
        <v>621700</v>
      </c>
      <c r="C510" s="84" t="s">
        <v>448</v>
      </c>
      <c r="D510" s="108"/>
      <c r="E510" s="109">
        <f t="shared" si="127"/>
        <v>0</v>
      </c>
      <c r="F510" s="108"/>
      <c r="G510" s="108"/>
      <c r="H510" s="108"/>
      <c r="I510" s="108"/>
      <c r="J510" s="108"/>
      <c r="K510" s="110"/>
      <c r="L510" s="137" t="e">
        <f t="shared" si="141"/>
        <v>#DIV/0!</v>
      </c>
    </row>
    <row r="511" spans="1:12" ht="12.75" hidden="1" customHeight="1" x14ac:dyDescent="0.25">
      <c r="A511" s="94">
        <v>5422</v>
      </c>
      <c r="B511" s="145">
        <v>621800</v>
      </c>
      <c r="C511" s="84" t="s">
        <v>449</v>
      </c>
      <c r="D511" s="108"/>
      <c r="E511" s="109">
        <f t="shared" si="127"/>
        <v>0</v>
      </c>
      <c r="F511" s="108"/>
      <c r="G511" s="108"/>
      <c r="H511" s="108"/>
      <c r="I511" s="108"/>
      <c r="J511" s="108"/>
      <c r="K511" s="110"/>
      <c r="L511" s="137" t="e">
        <f t="shared" si="141"/>
        <v>#DIV/0!</v>
      </c>
    </row>
    <row r="512" spans="1:12" ht="12.75" hidden="1" customHeight="1" x14ac:dyDescent="0.25">
      <c r="A512" s="94">
        <v>5423</v>
      </c>
      <c r="B512" s="145">
        <v>621900</v>
      </c>
      <c r="C512" s="84" t="s">
        <v>450</v>
      </c>
      <c r="D512" s="108"/>
      <c r="E512" s="109">
        <f t="shared" si="127"/>
        <v>0</v>
      </c>
      <c r="F512" s="108"/>
      <c r="G512" s="108"/>
      <c r="H512" s="108"/>
      <c r="I512" s="108"/>
      <c r="J512" s="108"/>
      <c r="K512" s="110"/>
      <c r="L512" s="137" t="e">
        <f t="shared" si="141"/>
        <v>#DIV/0!</v>
      </c>
    </row>
    <row r="513" spans="1:12" ht="12.75" hidden="1" customHeight="1" x14ac:dyDescent="0.25">
      <c r="A513" s="93">
        <v>5424</v>
      </c>
      <c r="B513" s="140">
        <v>622000</v>
      </c>
      <c r="C513" s="82" t="s">
        <v>451</v>
      </c>
      <c r="D513" s="100">
        <f>SUM(D514:D521)</f>
        <v>0</v>
      </c>
      <c r="E513" s="100">
        <f t="shared" si="127"/>
        <v>0</v>
      </c>
      <c r="F513" s="100">
        <f t="shared" ref="F513:K513" si="147">SUM(F514:F521)</f>
        <v>0</v>
      </c>
      <c r="G513" s="100">
        <f t="shared" si="147"/>
        <v>0</v>
      </c>
      <c r="H513" s="100">
        <f t="shared" si="147"/>
        <v>0</v>
      </c>
      <c r="I513" s="100">
        <f t="shared" si="147"/>
        <v>0</v>
      </c>
      <c r="J513" s="100">
        <f t="shared" si="147"/>
        <v>0</v>
      </c>
      <c r="K513" s="101">
        <f t="shared" si="147"/>
        <v>0</v>
      </c>
      <c r="L513" s="137" t="e">
        <f t="shared" si="141"/>
        <v>#DIV/0!</v>
      </c>
    </row>
    <row r="514" spans="1:12" ht="12.75" hidden="1" customHeight="1" x14ac:dyDescent="0.25">
      <c r="A514" s="94">
        <v>5425</v>
      </c>
      <c r="B514" s="145">
        <v>622100</v>
      </c>
      <c r="C514" s="84" t="s">
        <v>452</v>
      </c>
      <c r="D514" s="108"/>
      <c r="E514" s="109">
        <f t="shared" si="127"/>
        <v>0</v>
      </c>
      <c r="F514" s="108"/>
      <c r="G514" s="108"/>
      <c r="H514" s="108"/>
      <c r="I514" s="108"/>
      <c r="J514" s="108"/>
      <c r="K514" s="110"/>
      <c r="L514" s="137" t="e">
        <f t="shared" si="141"/>
        <v>#DIV/0!</v>
      </c>
    </row>
    <row r="515" spans="1:12" ht="12.75" hidden="1" customHeight="1" x14ac:dyDescent="0.25">
      <c r="A515" s="94">
        <v>5426</v>
      </c>
      <c r="B515" s="145">
        <v>622200</v>
      </c>
      <c r="C515" s="84" t="s">
        <v>453</v>
      </c>
      <c r="D515" s="108"/>
      <c r="E515" s="109">
        <f t="shared" si="127"/>
        <v>0</v>
      </c>
      <c r="F515" s="108"/>
      <c r="G515" s="108"/>
      <c r="H515" s="108"/>
      <c r="I515" s="108"/>
      <c r="J515" s="108"/>
      <c r="K515" s="110"/>
      <c r="L515" s="137" t="e">
        <f t="shared" si="141"/>
        <v>#DIV/0!</v>
      </c>
    </row>
    <row r="516" spans="1:12" ht="12.75" hidden="1" customHeight="1" x14ac:dyDescent="0.25">
      <c r="A516" s="94">
        <v>5427</v>
      </c>
      <c r="B516" s="145">
        <v>622300</v>
      </c>
      <c r="C516" s="84" t="s">
        <v>454</v>
      </c>
      <c r="D516" s="108"/>
      <c r="E516" s="109">
        <f t="shared" si="127"/>
        <v>0</v>
      </c>
      <c r="F516" s="108"/>
      <c r="G516" s="108"/>
      <c r="H516" s="108"/>
      <c r="I516" s="108"/>
      <c r="J516" s="108"/>
      <c r="K516" s="110"/>
      <c r="L516" s="137" t="e">
        <f t="shared" si="141"/>
        <v>#DIV/0!</v>
      </c>
    </row>
    <row r="517" spans="1:12" ht="12.75" hidden="1" customHeight="1" x14ac:dyDescent="0.25">
      <c r="A517" s="94">
        <v>5428</v>
      </c>
      <c r="B517" s="145">
        <v>622400</v>
      </c>
      <c r="C517" s="84" t="s">
        <v>455</v>
      </c>
      <c r="D517" s="108"/>
      <c r="E517" s="109">
        <f t="shared" si="127"/>
        <v>0</v>
      </c>
      <c r="F517" s="108"/>
      <c r="G517" s="108"/>
      <c r="H517" s="108"/>
      <c r="I517" s="108"/>
      <c r="J517" s="108"/>
      <c r="K517" s="110"/>
      <c r="L517" s="137" t="e">
        <f t="shared" si="141"/>
        <v>#DIV/0!</v>
      </c>
    </row>
    <row r="518" spans="1:12" ht="12.75" hidden="1" customHeight="1" x14ac:dyDescent="0.25">
      <c r="A518" s="94">
        <v>5429</v>
      </c>
      <c r="B518" s="145">
        <v>622500</v>
      </c>
      <c r="C518" s="84" t="s">
        <v>456</v>
      </c>
      <c r="D518" s="108"/>
      <c r="E518" s="109">
        <f t="shared" si="127"/>
        <v>0</v>
      </c>
      <c r="F518" s="108"/>
      <c r="G518" s="108"/>
      <c r="H518" s="108"/>
      <c r="I518" s="108"/>
      <c r="J518" s="108"/>
      <c r="K518" s="110"/>
      <c r="L518" s="137" t="e">
        <f t="shared" si="141"/>
        <v>#DIV/0!</v>
      </c>
    </row>
    <row r="519" spans="1:12" ht="12.75" hidden="1" customHeight="1" x14ac:dyDescent="0.25">
      <c r="A519" s="94">
        <v>5430</v>
      </c>
      <c r="B519" s="145">
        <v>622600</v>
      </c>
      <c r="C519" s="84" t="s">
        <v>457</v>
      </c>
      <c r="D519" s="108"/>
      <c r="E519" s="109">
        <f t="shared" ref="E519:E524" si="148">SUM(F519:K519)</f>
        <v>0</v>
      </c>
      <c r="F519" s="108"/>
      <c r="G519" s="108"/>
      <c r="H519" s="108"/>
      <c r="I519" s="108"/>
      <c r="J519" s="108"/>
      <c r="K519" s="110"/>
      <c r="L519" s="137" t="e">
        <f t="shared" si="141"/>
        <v>#DIV/0!</v>
      </c>
    </row>
    <row r="520" spans="1:12" ht="12.75" hidden="1" customHeight="1" x14ac:dyDescent="0.25">
      <c r="A520" s="94">
        <v>5431</v>
      </c>
      <c r="B520" s="145">
        <v>622700</v>
      </c>
      <c r="C520" s="84" t="s">
        <v>458</v>
      </c>
      <c r="D520" s="108"/>
      <c r="E520" s="109">
        <f t="shared" si="148"/>
        <v>0</v>
      </c>
      <c r="F520" s="108"/>
      <c r="G520" s="108"/>
      <c r="H520" s="108"/>
      <c r="I520" s="108"/>
      <c r="J520" s="108"/>
      <c r="K520" s="110"/>
      <c r="L520" s="137" t="e">
        <f t="shared" si="141"/>
        <v>#DIV/0!</v>
      </c>
    </row>
    <row r="521" spans="1:12" ht="12.75" hidden="1" customHeight="1" x14ac:dyDescent="0.25">
      <c r="A521" s="94">
        <v>5432</v>
      </c>
      <c r="B521" s="145">
        <v>622800</v>
      </c>
      <c r="C521" s="84" t="s">
        <v>459</v>
      </c>
      <c r="D521" s="108"/>
      <c r="E521" s="109">
        <f t="shared" si="148"/>
        <v>0</v>
      </c>
      <c r="F521" s="108"/>
      <c r="G521" s="108"/>
      <c r="H521" s="108"/>
      <c r="I521" s="108"/>
      <c r="J521" s="108"/>
      <c r="K521" s="110"/>
      <c r="L521" s="137" t="e">
        <f t="shared" si="141"/>
        <v>#DIV/0!</v>
      </c>
    </row>
    <row r="522" spans="1:12" ht="12.75" hidden="1" customHeight="1" x14ac:dyDescent="0.25">
      <c r="A522" s="93">
        <v>5433</v>
      </c>
      <c r="B522" s="140">
        <v>623000</v>
      </c>
      <c r="C522" s="82" t="s">
        <v>460</v>
      </c>
      <c r="D522" s="100">
        <f>D523</f>
        <v>0</v>
      </c>
      <c r="E522" s="100">
        <f t="shared" si="148"/>
        <v>0</v>
      </c>
      <c r="F522" s="100">
        <f t="shared" ref="F522:K522" si="149">F523</f>
        <v>0</v>
      </c>
      <c r="G522" s="100">
        <f t="shared" si="149"/>
        <v>0</v>
      </c>
      <c r="H522" s="100">
        <f t="shared" si="149"/>
        <v>0</v>
      </c>
      <c r="I522" s="100">
        <f t="shared" si="149"/>
        <v>0</v>
      </c>
      <c r="J522" s="100">
        <f t="shared" si="149"/>
        <v>0</v>
      </c>
      <c r="K522" s="101">
        <f t="shared" si="149"/>
        <v>0</v>
      </c>
      <c r="L522" s="137" t="e">
        <f t="shared" si="141"/>
        <v>#DIV/0!</v>
      </c>
    </row>
    <row r="523" spans="1:12" ht="12.75" hidden="1" customHeight="1" x14ac:dyDescent="0.25">
      <c r="A523" s="94">
        <v>5434</v>
      </c>
      <c r="B523" s="145">
        <v>623100</v>
      </c>
      <c r="C523" s="84" t="s">
        <v>461</v>
      </c>
      <c r="D523" s="108"/>
      <c r="E523" s="109">
        <f t="shared" si="148"/>
        <v>0</v>
      </c>
      <c r="F523" s="108"/>
      <c r="G523" s="108"/>
      <c r="H523" s="108"/>
      <c r="I523" s="108"/>
      <c r="J523" s="108"/>
      <c r="K523" s="110"/>
      <c r="L523" s="137" t="e">
        <f t="shared" si="141"/>
        <v>#DIV/0!</v>
      </c>
    </row>
    <row r="524" spans="1:12" ht="12.75" customHeight="1" thickBot="1" x14ac:dyDescent="0.3">
      <c r="A524" s="96">
        <v>5435</v>
      </c>
      <c r="B524" s="88"/>
      <c r="C524" s="89" t="s">
        <v>462</v>
      </c>
      <c r="D524" s="113">
        <f>D220+D468</f>
        <v>1496232</v>
      </c>
      <c r="E524" s="113">
        <f t="shared" si="148"/>
        <v>777259</v>
      </c>
      <c r="F524" s="113">
        <f t="shared" ref="F524:K524" si="150">F220+F468</f>
        <v>7354</v>
      </c>
      <c r="G524" s="113">
        <f t="shared" si="150"/>
        <v>0</v>
      </c>
      <c r="H524" s="113">
        <f t="shared" si="150"/>
        <v>0</v>
      </c>
      <c r="I524" s="113">
        <f t="shared" si="150"/>
        <v>757010</v>
      </c>
      <c r="J524" s="113">
        <f t="shared" si="150"/>
        <v>0</v>
      </c>
      <c r="K524" s="114">
        <f t="shared" si="150"/>
        <v>12895</v>
      </c>
      <c r="L524" s="138">
        <f t="shared" si="141"/>
        <v>0.51947759438375862</v>
      </c>
    </row>
    <row r="525" spans="1:12" ht="18.75" customHeight="1" x14ac:dyDescent="0.25">
      <c r="A525" s="90"/>
      <c r="B525" s="91"/>
      <c r="C525" s="91"/>
      <c r="D525" s="91"/>
      <c r="E525" s="91"/>
      <c r="F525" s="91"/>
      <c r="G525" s="91"/>
      <c r="H525" s="91"/>
      <c r="I525" s="91"/>
      <c r="J525" s="91"/>
      <c r="K525" s="91"/>
    </row>
    <row r="526" spans="1:12" ht="12.75" customHeight="1" x14ac:dyDescent="0.25">
      <c r="A526" s="92" t="s">
        <v>516</v>
      </c>
      <c r="B526" s="91"/>
      <c r="C526" s="91"/>
      <c r="D526" s="91"/>
      <c r="E526" s="91"/>
      <c r="F526" s="91"/>
      <c r="G526" s="91"/>
      <c r="H526" s="91"/>
      <c r="I526" s="91"/>
      <c r="J526" s="91"/>
      <c r="K526" s="91"/>
    </row>
    <row r="527" spans="1:12" ht="12.75" customHeight="1" thickBot="1" x14ac:dyDescent="0.3">
      <c r="A527" s="90"/>
      <c r="B527" s="91"/>
      <c r="C527" s="91"/>
      <c r="D527" s="91"/>
      <c r="E527" s="91"/>
      <c r="F527" s="91"/>
      <c r="G527" s="91"/>
      <c r="H527" s="91"/>
      <c r="I527" s="91"/>
      <c r="J527" s="91"/>
      <c r="K527" s="91"/>
    </row>
    <row r="528" spans="1:12" ht="12.75" customHeight="1" x14ac:dyDescent="0.25">
      <c r="A528" s="572" t="s">
        <v>0</v>
      </c>
      <c r="B528" s="574" t="s">
        <v>1</v>
      </c>
      <c r="C528" s="574" t="s">
        <v>2</v>
      </c>
      <c r="D528" s="574" t="s">
        <v>517</v>
      </c>
      <c r="E528" s="574" t="s">
        <v>518</v>
      </c>
      <c r="F528" s="574"/>
      <c r="G528" s="574"/>
      <c r="H528" s="574"/>
      <c r="I528" s="574"/>
      <c r="J528" s="574"/>
      <c r="K528" s="593"/>
    </row>
    <row r="529" spans="1:11" ht="12.75" customHeight="1" x14ac:dyDescent="0.25">
      <c r="A529" s="573"/>
      <c r="B529" s="575"/>
      <c r="C529" s="575"/>
      <c r="D529" s="575"/>
      <c r="E529" s="575" t="s">
        <v>199</v>
      </c>
      <c r="F529" s="575" t="s">
        <v>519</v>
      </c>
      <c r="G529" s="575"/>
      <c r="H529" s="575"/>
      <c r="I529" s="575"/>
      <c r="J529" s="575" t="s">
        <v>7</v>
      </c>
      <c r="K529" s="594" t="s">
        <v>8</v>
      </c>
    </row>
    <row r="530" spans="1:11" s="115" customFormat="1" ht="12.75" customHeight="1" x14ac:dyDescent="0.25">
      <c r="A530" s="573"/>
      <c r="B530" s="575"/>
      <c r="C530" s="575"/>
      <c r="D530" s="575"/>
      <c r="E530" s="589"/>
      <c r="F530" s="140" t="s">
        <v>9</v>
      </c>
      <c r="G530" s="140" t="s">
        <v>10</v>
      </c>
      <c r="H530" s="140" t="s">
        <v>11</v>
      </c>
      <c r="I530" s="140" t="s">
        <v>12</v>
      </c>
      <c r="J530" s="575"/>
      <c r="K530" s="594"/>
    </row>
    <row r="531" spans="1:11" s="115" customFormat="1" ht="12.75" customHeight="1" x14ac:dyDescent="0.25">
      <c r="A531" s="142">
        <v>1</v>
      </c>
      <c r="B531" s="140">
        <v>2</v>
      </c>
      <c r="C531" s="140">
        <v>3</v>
      </c>
      <c r="D531" s="140">
        <v>4</v>
      </c>
      <c r="E531" s="140">
        <v>5</v>
      </c>
      <c r="F531" s="140">
        <v>6</v>
      </c>
      <c r="G531" s="140">
        <v>7</v>
      </c>
      <c r="H531" s="140">
        <v>8</v>
      </c>
      <c r="I531" s="140">
        <v>9</v>
      </c>
      <c r="J531" s="140">
        <v>10</v>
      </c>
      <c r="K531" s="143">
        <v>11</v>
      </c>
    </row>
    <row r="532" spans="1:11" s="115" customFormat="1" ht="12.75" customHeight="1" x14ac:dyDescent="0.25">
      <c r="A532" s="142">
        <v>5436</v>
      </c>
      <c r="B532" s="140"/>
      <c r="C532" s="82" t="s">
        <v>520</v>
      </c>
      <c r="D532" s="100">
        <f>D9</f>
        <v>1490987</v>
      </c>
      <c r="E532" s="100">
        <f>SUM(F532:K532)</f>
        <v>770863</v>
      </c>
      <c r="F532" s="100">
        <f t="shared" ref="F532:K532" si="151">F9</f>
        <v>7388</v>
      </c>
      <c r="G532" s="100">
        <f t="shared" si="151"/>
        <v>0</v>
      </c>
      <c r="H532" s="100">
        <f t="shared" si="151"/>
        <v>0</v>
      </c>
      <c r="I532" s="100">
        <f t="shared" si="151"/>
        <v>756658</v>
      </c>
      <c r="J532" s="100">
        <f t="shared" si="151"/>
        <v>0</v>
      </c>
      <c r="K532" s="121">
        <f t="shared" si="151"/>
        <v>6817</v>
      </c>
    </row>
    <row r="533" spans="1:11" s="115" customFormat="1" ht="12.75" customHeight="1" x14ac:dyDescent="0.25">
      <c r="A533" s="142">
        <v>5437</v>
      </c>
      <c r="B533" s="140"/>
      <c r="C533" s="82" t="s">
        <v>521</v>
      </c>
      <c r="D533" s="100">
        <f>D220</f>
        <v>1496232</v>
      </c>
      <c r="E533" s="100">
        <f>SUM(F533:K533)</f>
        <v>777259</v>
      </c>
      <c r="F533" s="100">
        <f t="shared" ref="F533:K533" si="152">F220</f>
        <v>7354</v>
      </c>
      <c r="G533" s="100">
        <f t="shared" si="152"/>
        <v>0</v>
      </c>
      <c r="H533" s="100">
        <f t="shared" si="152"/>
        <v>0</v>
      </c>
      <c r="I533" s="100">
        <f t="shared" si="152"/>
        <v>757010</v>
      </c>
      <c r="J533" s="100">
        <f t="shared" si="152"/>
        <v>0</v>
      </c>
      <c r="K533" s="121">
        <f t="shared" si="152"/>
        <v>12895</v>
      </c>
    </row>
    <row r="534" spans="1:11" s="115" customFormat="1" ht="12.75" customHeight="1" x14ac:dyDescent="0.25">
      <c r="A534" s="83">
        <v>5438</v>
      </c>
      <c r="B534" s="145"/>
      <c r="C534" s="84" t="s">
        <v>522</v>
      </c>
      <c r="D534" s="109">
        <f>IF((D532-D533)&gt;0,D532-D533,0)</f>
        <v>0</v>
      </c>
      <c r="E534" s="109">
        <f>IF((E532-E533)&gt;0,E532-E533,0)</f>
        <v>0</v>
      </c>
      <c r="F534" s="109">
        <f t="shared" ref="F534:K534" si="153">IF((F532-F533)&gt;0,F532-F533,0)</f>
        <v>34</v>
      </c>
      <c r="G534" s="109">
        <f t="shared" si="153"/>
        <v>0</v>
      </c>
      <c r="H534" s="109">
        <f t="shared" si="153"/>
        <v>0</v>
      </c>
      <c r="I534" s="109">
        <f t="shared" si="153"/>
        <v>0</v>
      </c>
      <c r="J534" s="109">
        <f t="shared" si="153"/>
        <v>0</v>
      </c>
      <c r="K534" s="122">
        <f t="shared" si="153"/>
        <v>0</v>
      </c>
    </row>
    <row r="535" spans="1:11" s="115" customFormat="1" ht="12.75" customHeight="1" x14ac:dyDescent="0.25">
      <c r="A535" s="83">
        <v>5439</v>
      </c>
      <c r="B535" s="145"/>
      <c r="C535" s="84" t="s">
        <v>523</v>
      </c>
      <c r="D535" s="109">
        <f>IF((D533-D532)&gt;0,D533-D532,0)</f>
        <v>5245</v>
      </c>
      <c r="E535" s="109">
        <f>IF((E533-E532)&gt;0,E533-E532,0)</f>
        <v>6396</v>
      </c>
      <c r="F535" s="109">
        <f t="shared" ref="F535:K535" si="154">IF((F533-F532)&gt;0,F533-F532,0)</f>
        <v>0</v>
      </c>
      <c r="G535" s="109">
        <f t="shared" si="154"/>
        <v>0</v>
      </c>
      <c r="H535" s="109">
        <f t="shared" si="154"/>
        <v>0</v>
      </c>
      <c r="I535" s="109">
        <f t="shared" si="154"/>
        <v>352</v>
      </c>
      <c r="J535" s="109">
        <f t="shared" si="154"/>
        <v>0</v>
      </c>
      <c r="K535" s="122">
        <f t="shared" si="154"/>
        <v>6078</v>
      </c>
    </row>
    <row r="536" spans="1:11" s="115" customFormat="1" ht="12.75" customHeight="1" x14ac:dyDescent="0.25">
      <c r="A536" s="142">
        <v>5440</v>
      </c>
      <c r="B536" s="140">
        <v>900000</v>
      </c>
      <c r="C536" s="82" t="s">
        <v>524</v>
      </c>
      <c r="D536" s="100">
        <f>D163</f>
        <v>0</v>
      </c>
      <c r="E536" s="100">
        <f>SUM(F536:K536)</f>
        <v>0</v>
      </c>
      <c r="F536" s="100">
        <f t="shared" ref="F536:K536" si="155">F163</f>
        <v>0</v>
      </c>
      <c r="G536" s="100">
        <f t="shared" si="155"/>
        <v>0</v>
      </c>
      <c r="H536" s="100">
        <f t="shared" si="155"/>
        <v>0</v>
      </c>
      <c r="I536" s="100">
        <f t="shared" si="155"/>
        <v>0</v>
      </c>
      <c r="J536" s="100">
        <f t="shared" si="155"/>
        <v>0</v>
      </c>
      <c r="K536" s="121">
        <f t="shared" si="155"/>
        <v>0</v>
      </c>
    </row>
    <row r="537" spans="1:11" s="115" customFormat="1" ht="12.75" customHeight="1" x14ac:dyDescent="0.25">
      <c r="A537" s="142">
        <v>5441</v>
      </c>
      <c r="B537" s="140">
        <v>600000</v>
      </c>
      <c r="C537" s="82" t="s">
        <v>525</v>
      </c>
      <c r="D537" s="100">
        <f>D468</f>
        <v>0</v>
      </c>
      <c r="E537" s="100">
        <f>SUM(F537:K537)</f>
        <v>0</v>
      </c>
      <c r="F537" s="100">
        <f t="shared" ref="F537:K537" si="156">F468</f>
        <v>0</v>
      </c>
      <c r="G537" s="100">
        <f t="shared" si="156"/>
        <v>0</v>
      </c>
      <c r="H537" s="100">
        <f t="shared" si="156"/>
        <v>0</v>
      </c>
      <c r="I537" s="100">
        <f t="shared" si="156"/>
        <v>0</v>
      </c>
      <c r="J537" s="100">
        <f t="shared" si="156"/>
        <v>0</v>
      </c>
      <c r="K537" s="121">
        <f t="shared" si="156"/>
        <v>0</v>
      </c>
    </row>
    <row r="538" spans="1:11" s="115" customFormat="1" ht="12.75" customHeight="1" x14ac:dyDescent="0.25">
      <c r="A538" s="142">
        <v>5442</v>
      </c>
      <c r="B538" s="140"/>
      <c r="C538" s="82" t="s">
        <v>526</v>
      </c>
      <c r="D538" s="100">
        <f>IF((D536-D537)&gt;0,D536-D537,0)</f>
        <v>0</v>
      </c>
      <c r="E538" s="100">
        <f>IF((E536-E537)&gt;0,E536-E537,0)</f>
        <v>0</v>
      </c>
      <c r="F538" s="100">
        <f t="shared" ref="F538:K538" si="157">IF((F536-F537)&gt;0,F536-F537,0)</f>
        <v>0</v>
      </c>
      <c r="G538" s="100">
        <f t="shared" si="157"/>
        <v>0</v>
      </c>
      <c r="H538" s="100">
        <f t="shared" si="157"/>
        <v>0</v>
      </c>
      <c r="I538" s="100">
        <f t="shared" si="157"/>
        <v>0</v>
      </c>
      <c r="J538" s="100">
        <f t="shared" si="157"/>
        <v>0</v>
      </c>
      <c r="K538" s="121">
        <f t="shared" si="157"/>
        <v>0</v>
      </c>
    </row>
    <row r="539" spans="1:11" s="115" customFormat="1" ht="12.75" customHeight="1" x14ac:dyDescent="0.25">
      <c r="A539" s="142">
        <v>5443</v>
      </c>
      <c r="B539" s="140"/>
      <c r="C539" s="82" t="s">
        <v>527</v>
      </c>
      <c r="D539" s="100">
        <f>IF((D537-D536)&gt;0,D537-D536,0)</f>
        <v>0</v>
      </c>
      <c r="E539" s="100">
        <f>IF((E537-E536)&gt;0,E537-E536,0)</f>
        <v>0</v>
      </c>
      <c r="F539" s="100">
        <f t="shared" ref="F539:K539" si="158">IF((F537-F536)&gt;0,F537-F536,0)</f>
        <v>0</v>
      </c>
      <c r="G539" s="100">
        <f t="shared" si="158"/>
        <v>0</v>
      </c>
      <c r="H539" s="100">
        <f t="shared" si="158"/>
        <v>0</v>
      </c>
      <c r="I539" s="100">
        <f t="shared" si="158"/>
        <v>0</v>
      </c>
      <c r="J539" s="100">
        <f t="shared" si="158"/>
        <v>0</v>
      </c>
      <c r="K539" s="121">
        <f t="shared" si="158"/>
        <v>0</v>
      </c>
    </row>
    <row r="540" spans="1:11" s="115" customFormat="1" ht="12.75" customHeight="1" x14ac:dyDescent="0.25">
      <c r="A540" s="142">
        <v>5444</v>
      </c>
      <c r="B540" s="140"/>
      <c r="C540" s="82" t="s">
        <v>528</v>
      </c>
      <c r="D540" s="100">
        <f t="shared" ref="D540:K540" si="159">IF(D211-D524&gt;0,D211-D524,0)</f>
        <v>0</v>
      </c>
      <c r="E540" s="100">
        <f t="shared" si="159"/>
        <v>0</v>
      </c>
      <c r="F540" s="100">
        <f t="shared" si="159"/>
        <v>34</v>
      </c>
      <c r="G540" s="100">
        <f t="shared" si="159"/>
        <v>0</v>
      </c>
      <c r="H540" s="100">
        <f t="shared" si="159"/>
        <v>0</v>
      </c>
      <c r="I540" s="100">
        <f t="shared" si="159"/>
        <v>0</v>
      </c>
      <c r="J540" s="100">
        <f t="shared" si="159"/>
        <v>0</v>
      </c>
      <c r="K540" s="121">
        <f t="shared" si="159"/>
        <v>0</v>
      </c>
    </row>
    <row r="541" spans="1:11" s="115" customFormat="1" ht="12.75" customHeight="1" thickBot="1" x14ac:dyDescent="0.3">
      <c r="A541" s="87">
        <v>5445</v>
      </c>
      <c r="B541" s="97"/>
      <c r="C541" s="89" t="s">
        <v>529</v>
      </c>
      <c r="D541" s="113">
        <f t="shared" ref="D541:K541" si="160">IF(D524-D211&gt;0,D524-D211,0)</f>
        <v>5245</v>
      </c>
      <c r="E541" s="113">
        <f t="shared" si="160"/>
        <v>6396</v>
      </c>
      <c r="F541" s="113">
        <f t="shared" si="160"/>
        <v>0</v>
      </c>
      <c r="G541" s="113">
        <f t="shared" si="160"/>
        <v>0</v>
      </c>
      <c r="H541" s="113">
        <f t="shared" si="160"/>
        <v>0</v>
      </c>
      <c r="I541" s="113">
        <f t="shared" si="160"/>
        <v>352</v>
      </c>
      <c r="J541" s="113">
        <f t="shared" si="160"/>
        <v>0</v>
      </c>
      <c r="K541" s="123">
        <f t="shared" si="160"/>
        <v>6078</v>
      </c>
    </row>
  </sheetData>
  <mergeCells count="191">
    <mergeCell ref="A5:A7"/>
    <mergeCell ref="B5:B7"/>
    <mergeCell ref="C5:C7"/>
    <mergeCell ref="D5:D7"/>
    <mergeCell ref="E5:K5"/>
    <mergeCell ref="L5:L7"/>
    <mergeCell ref="E6:E7"/>
    <mergeCell ref="F6:I6"/>
    <mergeCell ref="J6:J7"/>
    <mergeCell ref="K6:K7"/>
    <mergeCell ref="A14:A16"/>
    <mergeCell ref="B14:B16"/>
    <mergeCell ref="C14:C16"/>
    <mergeCell ref="D14:D16"/>
    <mergeCell ref="E14:K14"/>
    <mergeCell ref="E15:E16"/>
    <mergeCell ref="F15:I15"/>
    <mergeCell ref="J15:J16"/>
    <mergeCell ref="K15:K16"/>
    <mergeCell ref="A46:A48"/>
    <mergeCell ref="B46:B48"/>
    <mergeCell ref="C46:C48"/>
    <mergeCell ref="D46:D48"/>
    <mergeCell ref="E46:K46"/>
    <mergeCell ref="E47:E48"/>
    <mergeCell ref="F47:I47"/>
    <mergeCell ref="J47:J48"/>
    <mergeCell ref="K47:K48"/>
    <mergeCell ref="A73:A75"/>
    <mergeCell ref="B73:B75"/>
    <mergeCell ref="C73:C75"/>
    <mergeCell ref="D73:D75"/>
    <mergeCell ref="E73:K73"/>
    <mergeCell ref="E74:E75"/>
    <mergeCell ref="F74:I74"/>
    <mergeCell ref="J74:J75"/>
    <mergeCell ref="K74:K75"/>
    <mergeCell ref="A103:A105"/>
    <mergeCell ref="B103:B105"/>
    <mergeCell ref="C103:C105"/>
    <mergeCell ref="D103:D105"/>
    <mergeCell ref="E103:K103"/>
    <mergeCell ref="E104:E105"/>
    <mergeCell ref="F104:I104"/>
    <mergeCell ref="J104:J105"/>
    <mergeCell ref="K104:K105"/>
    <mergeCell ref="A129:A131"/>
    <mergeCell ref="B129:B131"/>
    <mergeCell ref="C129:C131"/>
    <mergeCell ref="D129:D131"/>
    <mergeCell ref="E129:K129"/>
    <mergeCell ref="E130:E131"/>
    <mergeCell ref="F130:I130"/>
    <mergeCell ref="J130:J131"/>
    <mergeCell ref="K130:K131"/>
    <mergeCell ref="A156:A158"/>
    <mergeCell ref="B156:B158"/>
    <mergeCell ref="C156:C158"/>
    <mergeCell ref="D156:D158"/>
    <mergeCell ref="E156:K156"/>
    <mergeCell ref="E157:E158"/>
    <mergeCell ref="F157:I157"/>
    <mergeCell ref="J157:J158"/>
    <mergeCell ref="K157:K158"/>
    <mergeCell ref="A182:A184"/>
    <mergeCell ref="B182:B184"/>
    <mergeCell ref="C182:C184"/>
    <mergeCell ref="D182:D184"/>
    <mergeCell ref="E182:K182"/>
    <mergeCell ref="E183:E184"/>
    <mergeCell ref="F183:I183"/>
    <mergeCell ref="J183:J184"/>
    <mergeCell ref="K183:K184"/>
    <mergeCell ref="A204:A206"/>
    <mergeCell ref="B204:B206"/>
    <mergeCell ref="C204:C206"/>
    <mergeCell ref="D204:D206"/>
    <mergeCell ref="E204:K204"/>
    <mergeCell ref="E205:E206"/>
    <mergeCell ref="F205:I205"/>
    <mergeCell ref="J205:J206"/>
    <mergeCell ref="K205:K206"/>
    <mergeCell ref="A216:A218"/>
    <mergeCell ref="B216:B218"/>
    <mergeCell ref="C216:C218"/>
    <mergeCell ref="D216:D218"/>
    <mergeCell ref="E216:K216"/>
    <mergeCell ref="L216:L218"/>
    <mergeCell ref="E217:E218"/>
    <mergeCell ref="F217:I217"/>
    <mergeCell ref="J217:J218"/>
    <mergeCell ref="K217:K218"/>
    <mergeCell ref="A235:A237"/>
    <mergeCell ref="B235:B237"/>
    <mergeCell ref="C235:C237"/>
    <mergeCell ref="D235:D237"/>
    <mergeCell ref="E235:K235"/>
    <mergeCell ref="E236:E237"/>
    <mergeCell ref="F236:I236"/>
    <mergeCell ref="J236:J237"/>
    <mergeCell ref="K236:K237"/>
    <mergeCell ref="A271:A273"/>
    <mergeCell ref="B271:B273"/>
    <mergeCell ref="C271:C273"/>
    <mergeCell ref="D271:D273"/>
    <mergeCell ref="E271:K271"/>
    <mergeCell ref="E272:E273"/>
    <mergeCell ref="F272:I272"/>
    <mergeCell ref="J272:J273"/>
    <mergeCell ref="K272:K273"/>
    <mergeCell ref="A302:A304"/>
    <mergeCell ref="B302:B304"/>
    <mergeCell ref="C302:C304"/>
    <mergeCell ref="D302:D304"/>
    <mergeCell ref="E302:K302"/>
    <mergeCell ref="E303:E304"/>
    <mergeCell ref="F303:I303"/>
    <mergeCell ref="J303:J304"/>
    <mergeCell ref="K303:K304"/>
    <mergeCell ref="A332:A334"/>
    <mergeCell ref="B332:B334"/>
    <mergeCell ref="C332:C334"/>
    <mergeCell ref="D332:D334"/>
    <mergeCell ref="E332:K332"/>
    <mergeCell ref="E333:E334"/>
    <mergeCell ref="F333:I333"/>
    <mergeCell ref="J333:J334"/>
    <mergeCell ref="K333:K334"/>
    <mergeCell ref="A358:A360"/>
    <mergeCell ref="B358:B360"/>
    <mergeCell ref="C358:C360"/>
    <mergeCell ref="D358:D360"/>
    <mergeCell ref="E358:K358"/>
    <mergeCell ref="E359:E360"/>
    <mergeCell ref="F359:I359"/>
    <mergeCell ref="J359:J360"/>
    <mergeCell ref="K359:K360"/>
    <mergeCell ref="A383:A385"/>
    <mergeCell ref="B383:B385"/>
    <mergeCell ref="C383:C385"/>
    <mergeCell ref="D383:D385"/>
    <mergeCell ref="E383:K383"/>
    <mergeCell ref="E384:E385"/>
    <mergeCell ref="F384:I384"/>
    <mergeCell ref="J384:J385"/>
    <mergeCell ref="K384:K385"/>
    <mergeCell ref="A411:A413"/>
    <mergeCell ref="B411:B413"/>
    <mergeCell ref="C411:C413"/>
    <mergeCell ref="D411:D413"/>
    <mergeCell ref="E411:K411"/>
    <mergeCell ref="E412:E413"/>
    <mergeCell ref="F412:I412"/>
    <mergeCell ref="J412:J413"/>
    <mergeCell ref="K412:K413"/>
    <mergeCell ref="A446:A448"/>
    <mergeCell ref="B446:B448"/>
    <mergeCell ref="C446:C448"/>
    <mergeCell ref="D446:D448"/>
    <mergeCell ref="E446:K446"/>
    <mergeCell ref="E447:E448"/>
    <mergeCell ref="F447:I447"/>
    <mergeCell ref="J447:J448"/>
    <mergeCell ref="K447:K448"/>
    <mergeCell ref="A474:A476"/>
    <mergeCell ref="B474:B476"/>
    <mergeCell ref="C474:C476"/>
    <mergeCell ref="D474:D476"/>
    <mergeCell ref="E474:K474"/>
    <mergeCell ref="E475:E476"/>
    <mergeCell ref="F475:I475"/>
    <mergeCell ref="J475:J476"/>
    <mergeCell ref="K475:K476"/>
    <mergeCell ref="A501:A503"/>
    <mergeCell ref="B501:B503"/>
    <mergeCell ref="C501:C503"/>
    <mergeCell ref="D501:D503"/>
    <mergeCell ref="E501:K501"/>
    <mergeCell ref="E502:E503"/>
    <mergeCell ref="F502:I502"/>
    <mergeCell ref="J502:J503"/>
    <mergeCell ref="K502:K503"/>
    <mergeCell ref="A528:A530"/>
    <mergeCell ref="B528:B530"/>
    <mergeCell ref="C528:C530"/>
    <mergeCell ref="D528:D530"/>
    <mergeCell ref="E528:K528"/>
    <mergeCell ref="E529:E530"/>
    <mergeCell ref="F529:I529"/>
    <mergeCell ref="J529:J530"/>
    <mergeCell ref="K529:K530"/>
  </mergeCells>
  <dataValidations count="1">
    <dataValidation type="whole" allowBlank="1" showErrorMessage="1" errorTitle="Upozorenje" error="Niste uneli korektnu vrednost!_x000a_Ponovite unos." sqref="D9:K13 D208:K211 D387:K410 D18:K45 D50:K72 D107:K128 D133:K155 D160:K181 D186:K203 D220:K234 D505:K524 D275:K301 D306:K331 D336:K357 D362:K382 D478:K500 D450:K473 D77:K102 D239:K270 D415:K445">
      <formula1>0</formula1>
      <formula2>999999999</formula2>
    </dataValidation>
  </dataValidations>
  <pageMargins left="0.16" right="0.16" top="0.56999999999999995" bottom="0.26" header="0.22" footer="0.3"/>
  <pageSetup paperSize="9" scale="95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541"/>
  <sheetViews>
    <sheetView topLeftCell="A307" workbookViewId="0">
      <selection activeCell="A304" sqref="A1:XFD1048576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9" style="12" customWidth="1"/>
    <col min="7" max="7" width="0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7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2" width="0" style="12" hidden="1" customWidth="1"/>
    <col min="23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1512363</v>
      </c>
      <c r="G6" s="19">
        <f t="shared" ref="G6:Q6" si="0">G7+G133</f>
        <v>2903056</v>
      </c>
      <c r="H6" s="19">
        <f t="shared" si="0"/>
        <v>24480</v>
      </c>
      <c r="I6" s="19">
        <f t="shared" si="0"/>
        <v>18738</v>
      </c>
      <c r="J6" s="19">
        <f t="shared" si="0"/>
        <v>0</v>
      </c>
      <c r="K6" s="19">
        <f t="shared" si="0"/>
        <v>1000</v>
      </c>
      <c r="L6" s="19">
        <f t="shared" si="0"/>
        <v>505</v>
      </c>
      <c r="M6" s="19">
        <f t="shared" si="0"/>
        <v>1474083</v>
      </c>
      <c r="N6" s="19">
        <f t="shared" si="0"/>
        <v>1398192</v>
      </c>
      <c r="O6" s="19">
        <f t="shared" si="0"/>
        <v>0</v>
      </c>
      <c r="P6" s="19">
        <f t="shared" si="0"/>
        <v>12800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1512163</v>
      </c>
      <c r="G7" s="19">
        <f>G8+G60+G74+G86+G115+G122+G126</f>
        <v>2902872</v>
      </c>
      <c r="H7" s="19">
        <f t="shared" ref="H7:Q7" si="1">H8+H60+H74+H86+H115+H122+H126</f>
        <v>24480</v>
      </c>
      <c r="I7" s="19">
        <f t="shared" si="1"/>
        <v>18738</v>
      </c>
      <c r="J7" s="19">
        <f t="shared" si="1"/>
        <v>0</v>
      </c>
      <c r="K7" s="19">
        <f t="shared" si="1"/>
        <v>1000</v>
      </c>
      <c r="L7" s="19">
        <f t="shared" si="1"/>
        <v>505</v>
      </c>
      <c r="M7" s="19">
        <f t="shared" si="1"/>
        <v>1474083</v>
      </c>
      <c r="N7" s="19">
        <f t="shared" si="1"/>
        <v>1398192</v>
      </c>
      <c r="O7" s="19">
        <f t="shared" si="1"/>
        <v>0</v>
      </c>
      <c r="P7" s="19">
        <f t="shared" si="1"/>
        <v>12600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idden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idden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idden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idden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idden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idden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idden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idden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idden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idden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14931</v>
      </c>
      <c r="G86" s="19">
        <f t="shared" ref="G86:Q86" si="21">G87+G94+G99+G110+G113</f>
        <v>14780</v>
      </c>
      <c r="H86" s="19">
        <f>H87+H94+H99+H110+H113</f>
        <v>1200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v>1131</v>
      </c>
      <c r="N86" s="19">
        <f t="shared" si="21"/>
        <v>1130</v>
      </c>
      <c r="O86" s="19">
        <f t="shared" si="21"/>
        <v>0</v>
      </c>
      <c r="P86" s="19">
        <f>P87+P94+P99+P110+P113+P120</f>
        <v>12600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1131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1131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1131</v>
      </c>
      <c r="G91" s="37">
        <f>SUM(I91:Q91)-K91-M91-P91</f>
        <v>1130</v>
      </c>
      <c r="H91" s="37"/>
      <c r="I91" s="38"/>
      <c r="J91" s="38"/>
      <c r="K91" s="38"/>
      <c r="L91" s="38"/>
      <c r="M91" s="38">
        <v>1131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1200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12500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1200</v>
      </c>
      <c r="I97" s="36">
        <v>1165</v>
      </c>
      <c r="J97" s="36"/>
      <c r="K97" s="36"/>
      <c r="L97" s="36"/>
      <c r="M97" s="36"/>
      <c r="N97" s="36"/>
      <c r="O97" s="36"/>
      <c r="P97" s="36">
        <v>7500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22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22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22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22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22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22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22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22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2870014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22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22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1472952</v>
      </c>
      <c r="G122" s="19">
        <f t="shared" ref="G122:Q122" si="33">G123</f>
        <v>2870014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1472952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22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1472952</v>
      </c>
      <c r="G123" s="19">
        <f t="shared" ref="G123:Q123" si="34">G124+G125</f>
        <v>2870014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1472952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22" ht="28.5" x14ac:dyDescent="0.4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1472952</v>
      </c>
      <c r="G124" s="37">
        <f>SUM(I124:Q124)</f>
        <v>2870014</v>
      </c>
      <c r="H124" s="37"/>
      <c r="I124" s="36"/>
      <c r="J124" s="36"/>
      <c r="K124" s="36"/>
      <c r="L124" s="36"/>
      <c r="M124" s="36">
        <f>1377997+1583+12500+4800+200+7710+600+37400+315+8072+399+274+18289+2813</f>
        <v>1472952</v>
      </c>
      <c r="N124" s="36">
        <v>1397062</v>
      </c>
      <c r="O124" s="36"/>
      <c r="P124" s="36"/>
      <c r="Q124" s="72"/>
      <c r="V124" s="388" t="s">
        <v>538</v>
      </c>
    </row>
    <row r="125" spans="1:22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22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24280</v>
      </c>
      <c r="G126" s="19">
        <f t="shared" ref="G126:Q126" si="36">G127</f>
        <v>18078</v>
      </c>
      <c r="H126" s="19">
        <f>H127</f>
        <v>23280</v>
      </c>
      <c r="I126" s="19">
        <f t="shared" si="36"/>
        <v>17573</v>
      </c>
      <c r="J126" s="19">
        <f t="shared" si="36"/>
        <v>0</v>
      </c>
      <c r="K126" s="19">
        <f t="shared" si="36"/>
        <v>1000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22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24280</v>
      </c>
      <c r="G127" s="19">
        <f t="shared" ref="G127:Q127" si="37">G132</f>
        <v>18078</v>
      </c>
      <c r="H127" s="19">
        <f t="shared" si="37"/>
        <v>23280</v>
      </c>
      <c r="I127" s="19">
        <f t="shared" si="37"/>
        <v>17573</v>
      </c>
      <c r="J127" s="19">
        <f t="shared" si="37"/>
        <v>0</v>
      </c>
      <c r="K127" s="19">
        <f t="shared" si="37"/>
        <v>1000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22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22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22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22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22" ht="26.25" x14ac:dyDescent="0.4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24280</v>
      </c>
      <c r="G132" s="389">
        <f>SUM(I132:Q132)-K132-M132-P132</f>
        <v>18078</v>
      </c>
      <c r="H132" s="389">
        <f>20000+42-42+3280</f>
        <v>23280</v>
      </c>
      <c r="I132" s="36">
        <v>17573</v>
      </c>
      <c r="J132" s="36"/>
      <c r="K132" s="36">
        <v>1000</v>
      </c>
      <c r="L132" s="36">
        <v>505</v>
      </c>
      <c r="M132" s="36"/>
      <c r="N132" s="36"/>
      <c r="O132" s="36"/>
      <c r="P132" s="36"/>
      <c r="Q132" s="72"/>
      <c r="V132" s="388" t="s">
        <v>538</v>
      </c>
    </row>
    <row r="133" spans="1:22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200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200</v>
      </c>
      <c r="Q133" s="67">
        <f t="shared" si="38"/>
        <v>184</v>
      </c>
    </row>
    <row r="134" spans="1:22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200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 t="shared" si="39"/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200</v>
      </c>
      <c r="Q134" s="67">
        <f t="shared" si="39"/>
        <v>184</v>
      </c>
    </row>
    <row r="135" spans="1:22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22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22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200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200</v>
      </c>
      <c r="Q137" s="67">
        <f t="shared" si="41"/>
        <v>184</v>
      </c>
    </row>
    <row r="138" spans="1:22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200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v>200</v>
      </c>
      <c r="Q138" s="72">
        <v>184</v>
      </c>
    </row>
    <row r="139" spans="1:22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22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22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22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22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22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1512363</v>
      </c>
      <c r="G210" s="42">
        <f t="shared" si="61"/>
        <v>2903056</v>
      </c>
      <c r="H210" s="42">
        <f t="shared" si="61"/>
        <v>24480</v>
      </c>
      <c r="I210" s="42">
        <f t="shared" si="61"/>
        <v>18738</v>
      </c>
      <c r="J210" s="42">
        <f t="shared" si="61"/>
        <v>0</v>
      </c>
      <c r="K210" s="42">
        <f t="shared" si="61"/>
        <v>1000</v>
      </c>
      <c r="L210" s="42">
        <f t="shared" si="61"/>
        <v>505</v>
      </c>
      <c r="M210" s="42">
        <f t="shared" si="61"/>
        <v>1474083</v>
      </c>
      <c r="N210" s="42">
        <f t="shared" si="61"/>
        <v>1398192</v>
      </c>
      <c r="O210" s="42">
        <f t="shared" si="61"/>
        <v>0</v>
      </c>
      <c r="P210" s="42">
        <f t="shared" si="61"/>
        <v>12800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1517748</v>
      </c>
      <c r="G219" s="19">
        <f t="shared" si="62"/>
        <v>1428226</v>
      </c>
      <c r="H219" s="19">
        <f t="shared" si="62"/>
        <v>25518</v>
      </c>
      <c r="I219" s="19">
        <f t="shared" si="62"/>
        <v>17657</v>
      </c>
      <c r="J219" s="19">
        <f t="shared" si="62"/>
        <v>0</v>
      </c>
      <c r="K219" s="19">
        <f t="shared" si="62"/>
        <v>1000</v>
      </c>
      <c r="L219" s="19">
        <f t="shared" si="62"/>
        <v>1273</v>
      </c>
      <c r="M219" s="19">
        <f t="shared" si="62"/>
        <v>1474189</v>
      </c>
      <c r="N219" s="19">
        <f t="shared" si="62"/>
        <v>1398024</v>
      </c>
      <c r="O219" s="19">
        <f t="shared" si="62"/>
        <v>0</v>
      </c>
      <c r="P219" s="19">
        <f t="shared" si="62"/>
        <v>17041</v>
      </c>
      <c r="Q219" s="19">
        <f t="shared" si="62"/>
        <v>11162</v>
      </c>
      <c r="R219" s="44">
        <f>H219+K219+M219+P219</f>
        <v>1517748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1492143</v>
      </c>
      <c r="G220" s="19">
        <f t="shared" ref="G220:Q220" si="63">G221+G247+G314+G333+G361+G374+G394+G413</f>
        <v>1411063</v>
      </c>
      <c r="H220" s="19">
        <f t="shared" si="63"/>
        <v>5518</v>
      </c>
      <c r="I220" s="19">
        <f t="shared" si="63"/>
        <v>2407</v>
      </c>
      <c r="J220" s="19">
        <f t="shared" si="63"/>
        <v>0</v>
      </c>
      <c r="K220" s="19">
        <f t="shared" si="63"/>
        <v>1000</v>
      </c>
      <c r="L220" s="19">
        <f t="shared" si="63"/>
        <v>1273</v>
      </c>
      <c r="M220" s="19">
        <f t="shared" si="63"/>
        <v>1474189</v>
      </c>
      <c r="N220" s="19">
        <f t="shared" si="63"/>
        <v>1398024</v>
      </c>
      <c r="O220" s="19">
        <f t="shared" si="63"/>
        <v>0</v>
      </c>
      <c r="P220" s="19">
        <f t="shared" si="63"/>
        <v>11436</v>
      </c>
      <c r="Q220" s="19">
        <f t="shared" si="63"/>
        <v>9349</v>
      </c>
      <c r="R220" s="44">
        <f>F220+F434</f>
        <v>1517748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1063773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1060568</v>
      </c>
      <c r="N221" s="19">
        <f t="shared" si="64"/>
        <v>1025065</v>
      </c>
      <c r="O221" s="19">
        <f t="shared" si="64"/>
        <v>0</v>
      </c>
      <c r="P221" s="19">
        <f t="shared" si="64"/>
        <v>3205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875010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872510</v>
      </c>
      <c r="N222" s="19">
        <f t="shared" si="65"/>
        <v>849796</v>
      </c>
      <c r="O222" s="19">
        <f t="shared" si="65"/>
        <v>0</v>
      </c>
      <c r="P222" s="19">
        <f t="shared" si="65"/>
        <v>2500</v>
      </c>
      <c r="Q222" s="19">
        <f t="shared" si="65"/>
        <v>1989</v>
      </c>
    </row>
    <row r="223" spans="1:18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875010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872510</v>
      </c>
      <c r="N223" s="36">
        <f>851785-1989</f>
        <v>849796</v>
      </c>
      <c r="O223" s="36"/>
      <c r="P223" s="36">
        <v>2500</v>
      </c>
      <c r="Q223" s="36">
        <v>1989</v>
      </c>
      <c r="R223" s="44">
        <f>M223+P223</f>
        <v>875010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141315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140910</v>
      </c>
      <c r="N224" s="19">
        <f t="shared" si="66"/>
        <v>141535</v>
      </c>
      <c r="O224" s="19">
        <f t="shared" si="66"/>
        <v>0</v>
      </c>
      <c r="P224" s="19">
        <f t="shared" si="66"/>
        <v>405</v>
      </c>
      <c r="Q224" s="19">
        <f t="shared" si="66"/>
        <v>331</v>
      </c>
    </row>
    <row r="225" spans="1:22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96251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95976</v>
      </c>
      <c r="N225" s="36">
        <f>97986-229</f>
        <v>97757</v>
      </c>
      <c r="O225" s="36"/>
      <c r="P225" s="36">
        <v>275</v>
      </c>
      <c r="Q225" s="36">
        <v>229</v>
      </c>
    </row>
    <row r="226" spans="1:22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45064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44934</v>
      </c>
      <c r="N226" s="36">
        <f>43880-102</f>
        <v>43778</v>
      </c>
      <c r="O226" s="36"/>
      <c r="P226" s="36">
        <v>130</v>
      </c>
      <c r="Q226" s="36">
        <v>102</v>
      </c>
    </row>
    <row r="227" spans="1:22" hidden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22" hidden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22" hidden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22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13972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13672</v>
      </c>
      <c r="N230" s="19">
        <f t="shared" si="69"/>
        <v>4959</v>
      </c>
      <c r="O230" s="19">
        <f t="shared" si="69"/>
        <v>0</v>
      </c>
      <c r="P230" s="19">
        <f t="shared" si="69"/>
        <v>300</v>
      </c>
      <c r="Q230" s="19">
        <f t="shared" si="69"/>
        <v>280</v>
      </c>
    </row>
    <row r="231" spans="1:22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22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22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5300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f>4800+200</f>
        <v>5000</v>
      </c>
      <c r="N233" s="36">
        <v>3654</v>
      </c>
      <c r="O233" s="36"/>
      <c r="P233" s="36">
        <v>300</v>
      </c>
      <c r="Q233" s="36">
        <v>280</v>
      </c>
    </row>
    <row r="234" spans="1:22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22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22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22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22" ht="54" x14ac:dyDescent="0.4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8672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f>600+8072</f>
        <v>8672</v>
      </c>
      <c r="N238" s="36">
        <v>1305</v>
      </c>
      <c r="O238" s="36"/>
      <c r="P238" s="36"/>
      <c r="Q238" s="36"/>
      <c r="V238" s="388" t="s">
        <v>538</v>
      </c>
    </row>
    <row r="239" spans="1:22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20976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20976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22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20976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20976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12500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12500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12500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12500</v>
      </c>
      <c r="N242" s="36">
        <v>9143</v>
      </c>
      <c r="O242" s="36"/>
      <c r="P242" s="36"/>
      <c r="Q242" s="36"/>
    </row>
    <row r="243" spans="1:18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419844</v>
      </c>
      <c r="G247" s="19">
        <f t="shared" si="74"/>
        <v>375619</v>
      </c>
      <c r="H247" s="19">
        <f t="shared" si="74"/>
        <v>5518</v>
      </c>
      <c r="I247" s="19">
        <f t="shared" si="74"/>
        <v>2407</v>
      </c>
      <c r="J247" s="19">
        <f t="shared" si="74"/>
        <v>0</v>
      </c>
      <c r="K247" s="19">
        <f t="shared" si="74"/>
        <v>1000</v>
      </c>
      <c r="L247" s="19">
        <f t="shared" si="74"/>
        <v>1273</v>
      </c>
      <c r="M247" s="19">
        <f t="shared" si="74"/>
        <v>405911</v>
      </c>
      <c r="N247" s="19">
        <f t="shared" si="74"/>
        <v>365541</v>
      </c>
      <c r="O247" s="19">
        <f t="shared" si="74"/>
        <v>0</v>
      </c>
      <c r="P247" s="19">
        <f t="shared" si="74"/>
        <v>7415</v>
      </c>
      <c r="Q247" s="19">
        <f t="shared" si="74"/>
        <v>6398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108949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108144</v>
      </c>
      <c r="N248" s="19">
        <f t="shared" si="75"/>
        <v>80545</v>
      </c>
      <c r="O248" s="19">
        <f t="shared" si="75"/>
        <v>0</v>
      </c>
      <c r="P248" s="19">
        <f t="shared" si="75"/>
        <v>805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1513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1433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91889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f>73200+50+18289</f>
        <v>91539</v>
      </c>
      <c r="N250" s="36">
        <v>65188</v>
      </c>
      <c r="O250" s="36"/>
      <c r="P250" s="36">
        <v>350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10447</v>
      </c>
      <c r="G251" s="37">
        <f t="shared" si="76"/>
        <v>9465</v>
      </c>
      <c r="H251" s="37"/>
      <c r="I251" s="36"/>
      <c r="J251" s="36"/>
      <c r="K251" s="36"/>
      <c r="L251" s="36"/>
      <c r="M251" s="36">
        <f>11064-400-300-180</f>
        <v>10184</v>
      </c>
      <c r="N251" s="36">
        <v>9410</v>
      </c>
      <c r="O251" s="36"/>
      <c r="P251" s="36">
        <f>85+178</f>
        <v>263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2208</v>
      </c>
      <c r="G252" s="37">
        <f t="shared" si="76"/>
        <v>2113</v>
      </c>
      <c r="H252" s="37"/>
      <c r="I252" s="36"/>
      <c r="J252" s="36"/>
      <c r="K252" s="36"/>
      <c r="L252" s="36"/>
      <c r="M252" s="36">
        <f>3000-1092+300</f>
        <v>2208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2892</v>
      </c>
      <c r="G253" s="37">
        <f t="shared" si="76"/>
        <v>2612</v>
      </c>
      <c r="H253" s="37"/>
      <c r="I253" s="36"/>
      <c r="J253" s="36"/>
      <c r="K253" s="36"/>
      <c r="L253" s="36"/>
      <c r="M253" s="36">
        <f>1131+2500-851</f>
        <v>2780</v>
      </c>
      <c r="N253" s="36">
        <v>2591</v>
      </c>
      <c r="O253" s="36"/>
      <c r="P253" s="36">
        <v>112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650</v>
      </c>
      <c r="G256" s="19">
        <f t="shared" si="77"/>
        <v>571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150</v>
      </c>
      <c r="N256" s="19">
        <f t="shared" si="77"/>
        <v>120</v>
      </c>
      <c r="O256" s="19">
        <f t="shared" si="77"/>
        <v>0</v>
      </c>
      <c r="P256" s="19">
        <f t="shared" si="77"/>
        <v>500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650</v>
      </c>
      <c r="G257" s="37">
        <f t="shared" ref="G257" si="78">SUM(I257:Q257)-K257-M257-P257</f>
        <v>571</v>
      </c>
      <c r="H257" s="37"/>
      <c r="I257" s="36"/>
      <c r="J257" s="36"/>
      <c r="K257" s="36"/>
      <c r="L257" s="36"/>
      <c r="M257" s="36">
        <v>150</v>
      </c>
      <c r="N257" s="36">
        <v>120</v>
      </c>
      <c r="O257" s="36"/>
      <c r="P257" s="36">
        <v>500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8511</v>
      </c>
      <c r="G262" s="19">
        <f t="shared" si="79"/>
        <v>6375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6300</v>
      </c>
      <c r="N262" s="19">
        <f t="shared" si="79"/>
        <v>4811</v>
      </c>
      <c r="O262" s="19">
        <f t="shared" si="79"/>
        <v>0</v>
      </c>
      <c r="P262" s="19">
        <f t="shared" si="79"/>
        <v>2211</v>
      </c>
      <c r="Q262" s="19">
        <f t="shared" si="79"/>
        <v>1564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3606</v>
      </c>
      <c r="G264" s="37">
        <f t="shared" ref="G264:G269" si="80">SUM(I264:Q264)-K264-M264-P264</f>
        <v>2262</v>
      </c>
      <c r="H264" s="37"/>
      <c r="I264" s="36"/>
      <c r="J264" s="36"/>
      <c r="K264" s="36"/>
      <c r="L264" s="36"/>
      <c r="M264" s="36">
        <f>3000+540</f>
        <v>3540</v>
      </c>
      <c r="N264" s="36">
        <v>2192</v>
      </c>
      <c r="O264" s="36"/>
      <c r="P264" s="36">
        <v>66</v>
      </c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3060</v>
      </c>
      <c r="G265" s="37">
        <f t="shared" si="80"/>
        <v>2522</v>
      </c>
      <c r="H265" s="37"/>
      <c r="I265" s="36"/>
      <c r="J265" s="36"/>
      <c r="K265" s="36"/>
      <c r="L265" s="36"/>
      <c r="M265" s="36">
        <v>2500</v>
      </c>
      <c r="N265" s="36">
        <v>2374</v>
      </c>
      <c r="O265" s="36"/>
      <c r="P265" s="36">
        <f>200+360</f>
        <v>560</v>
      </c>
      <c r="Q265" s="36">
        <v>148</v>
      </c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260</v>
      </c>
      <c r="G266" s="37">
        <f t="shared" si="80"/>
        <v>259</v>
      </c>
      <c r="H266" s="37"/>
      <c r="I266" s="36"/>
      <c r="J266" s="36"/>
      <c r="K266" s="36"/>
      <c r="L266" s="36"/>
      <c r="M266" s="36">
        <v>260</v>
      </c>
      <c r="N266" s="36">
        <v>245</v>
      </c>
      <c r="O266" s="36"/>
      <c r="P266" s="36"/>
      <c r="Q266" s="36">
        <v>14</v>
      </c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1125</v>
      </c>
      <c r="G267" s="37">
        <f t="shared" si="80"/>
        <v>1132</v>
      </c>
      <c r="H267" s="37"/>
      <c r="I267" s="36"/>
      <c r="J267" s="36"/>
      <c r="K267" s="36"/>
      <c r="L267" s="36"/>
      <c r="M267" s="36"/>
      <c r="N267" s="36"/>
      <c r="O267" s="36"/>
      <c r="P267" s="36">
        <v>1125</v>
      </c>
      <c r="Q267" s="36">
        <v>1132</v>
      </c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>
        <f t="shared" si="67"/>
        <v>0</v>
      </c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>
        <f t="shared" si="80"/>
        <v>114</v>
      </c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>
        <v>114</v>
      </c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 t="s">
        <v>198</v>
      </c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 t="s">
        <v>199</v>
      </c>
      <c r="H271" s="476"/>
      <c r="I271" s="544" t="s">
        <v>200</v>
      </c>
      <c r="J271" s="545"/>
      <c r="K271" s="545"/>
      <c r="L271" s="545"/>
      <c r="M271" s="545"/>
      <c r="N271" s="545"/>
      <c r="O271" s="544" t="s">
        <v>7</v>
      </c>
      <c r="P271" s="476"/>
      <c r="Q271" s="544" t="s">
        <v>8</v>
      </c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 t="s">
        <v>201</v>
      </c>
      <c r="J272" s="476" t="s">
        <v>10</v>
      </c>
      <c r="K272" s="476"/>
      <c r="L272" s="476" t="s">
        <v>11</v>
      </c>
      <c r="M272" s="476"/>
      <c r="N272" s="476" t="s">
        <v>12</v>
      </c>
      <c r="O272" s="545"/>
      <c r="P272" s="477"/>
      <c r="Q272" s="545"/>
    </row>
    <row r="273" spans="1:22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 t="s">
        <v>22</v>
      </c>
      <c r="H273" s="475"/>
      <c r="I273" s="475" t="s">
        <v>23</v>
      </c>
      <c r="J273" s="475" t="s">
        <v>24</v>
      </c>
      <c r="K273" s="475"/>
      <c r="L273" s="475" t="s">
        <v>25</v>
      </c>
      <c r="M273" s="475"/>
      <c r="N273" s="475" t="s">
        <v>26</v>
      </c>
      <c r="O273" s="475" t="s">
        <v>27</v>
      </c>
      <c r="P273" s="475"/>
      <c r="Q273" s="475" t="s">
        <v>28</v>
      </c>
    </row>
    <row r="274" spans="1:22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260</v>
      </c>
      <c r="G274" s="37">
        <f t="shared" ref="G274" si="81">SUM(I274:Q274)-K274-M274-P274</f>
        <v>86</v>
      </c>
      <c r="H274" s="37"/>
      <c r="I274" s="36"/>
      <c r="J274" s="36"/>
      <c r="K274" s="36"/>
      <c r="L274" s="36"/>
      <c r="M274" s="36"/>
      <c r="N274" s="36"/>
      <c r="O274" s="36"/>
      <c r="P274" s="36">
        <v>260</v>
      </c>
      <c r="Q274" s="36">
        <v>86</v>
      </c>
    </row>
    <row r="275" spans="1:22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2">SUM(F276:F282)</f>
        <v>6135</v>
      </c>
      <c r="G275" s="19">
        <f t="shared" si="82"/>
        <v>3707</v>
      </c>
      <c r="H275" s="19">
        <f t="shared" si="82"/>
        <v>3280</v>
      </c>
      <c r="I275" s="19">
        <f t="shared" si="82"/>
        <v>2280</v>
      </c>
      <c r="J275" s="19">
        <f t="shared" si="82"/>
        <v>0</v>
      </c>
      <c r="K275" s="19">
        <f t="shared" si="82"/>
        <v>0</v>
      </c>
      <c r="L275" s="19">
        <f t="shared" si="82"/>
        <v>0</v>
      </c>
      <c r="M275" s="19">
        <f t="shared" si="82"/>
        <v>1280</v>
      </c>
      <c r="N275" s="19">
        <f t="shared" si="82"/>
        <v>977</v>
      </c>
      <c r="O275" s="19">
        <f t="shared" si="82"/>
        <v>0</v>
      </c>
      <c r="P275" s="19">
        <f t="shared" si="82"/>
        <v>1575</v>
      </c>
      <c r="Q275" s="19">
        <f t="shared" si="82"/>
        <v>450</v>
      </c>
    </row>
    <row r="276" spans="1:22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2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2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1480</v>
      </c>
      <c r="G278" s="37">
        <f t="shared" ref="G278" si="83">SUM(I278:Q278)-K278-M278-P278</f>
        <v>1086</v>
      </c>
      <c r="H278" s="37"/>
      <c r="I278" s="36"/>
      <c r="J278" s="36"/>
      <c r="K278" s="36"/>
      <c r="L278" s="36"/>
      <c r="M278" s="36">
        <f>1000+280</f>
        <v>1280</v>
      </c>
      <c r="N278" s="36">
        <v>977</v>
      </c>
      <c r="O278" s="36"/>
      <c r="P278" s="36">
        <v>200</v>
      </c>
      <c r="Q278" s="36">
        <v>109</v>
      </c>
      <c r="R278" s="47"/>
      <c r="T278" s="47"/>
    </row>
    <row r="279" spans="1:22" hidden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2" ht="26.25" hidden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2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300</v>
      </c>
      <c r="G281" s="37">
        <f t="shared" ref="G281:G282" si="84">SUM(I281:Q281)-K281-M281-P281</f>
        <v>51</v>
      </c>
      <c r="H281" s="37"/>
      <c r="I281" s="36"/>
      <c r="J281" s="36"/>
      <c r="K281" s="36"/>
      <c r="L281" s="36"/>
      <c r="M281" s="36"/>
      <c r="N281" s="36"/>
      <c r="O281" s="36"/>
      <c r="P281" s="36">
        <f>150+150</f>
        <v>300</v>
      </c>
      <c r="Q281" s="36">
        <v>51</v>
      </c>
    </row>
    <row r="282" spans="1:22" ht="23.25" x14ac:dyDescent="0.3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4355</v>
      </c>
      <c r="G282" s="37">
        <f t="shared" si="84"/>
        <v>2570</v>
      </c>
      <c r="H282" s="37">
        <f>1054+2226</f>
        <v>3280</v>
      </c>
      <c r="I282" s="36">
        <v>2280</v>
      </c>
      <c r="J282" s="36"/>
      <c r="K282" s="36"/>
      <c r="L282" s="36"/>
      <c r="M282" s="36"/>
      <c r="N282" s="36"/>
      <c r="O282" s="36"/>
      <c r="P282" s="36">
        <f>400-150-178+1059+96-192+40</f>
        <v>1075</v>
      </c>
      <c r="Q282" s="36">
        <v>290</v>
      </c>
      <c r="R282" s="12">
        <v>1059</v>
      </c>
      <c r="S282" s="12" t="s">
        <v>504</v>
      </c>
      <c r="V282" s="393" t="s">
        <v>540</v>
      </c>
    </row>
    <row r="283" spans="1:22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5">F284+F285</f>
        <v>13318</v>
      </c>
      <c r="G283" s="19">
        <f t="shared" si="85"/>
        <v>8828</v>
      </c>
      <c r="H283" s="19">
        <f t="shared" si="85"/>
        <v>0</v>
      </c>
      <c r="I283" s="19">
        <f t="shared" si="85"/>
        <v>0</v>
      </c>
      <c r="J283" s="19">
        <f t="shared" si="85"/>
        <v>0</v>
      </c>
      <c r="K283" s="19">
        <f t="shared" si="85"/>
        <v>0</v>
      </c>
      <c r="L283" s="19">
        <f t="shared" si="85"/>
        <v>0</v>
      </c>
      <c r="M283" s="19">
        <f t="shared" si="85"/>
        <v>13194</v>
      </c>
      <c r="N283" s="19">
        <f t="shared" si="85"/>
        <v>8173</v>
      </c>
      <c r="O283" s="19">
        <f t="shared" si="85"/>
        <v>0</v>
      </c>
      <c r="P283" s="19">
        <f t="shared" si="85"/>
        <v>124</v>
      </c>
      <c r="Q283" s="19">
        <f t="shared" si="85"/>
        <v>655</v>
      </c>
    </row>
    <row r="284" spans="1:22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720</v>
      </c>
      <c r="G284" s="37">
        <f t="shared" ref="G284:G285" si="86">SUM(I284:Q284)-K284-M284-P284</f>
        <v>100</v>
      </c>
      <c r="H284" s="37"/>
      <c r="I284" s="36"/>
      <c r="J284" s="36"/>
      <c r="K284" s="36"/>
      <c r="L284" s="36"/>
      <c r="M284" s="36">
        <v>720</v>
      </c>
      <c r="N284" s="36">
        <v>100</v>
      </c>
      <c r="O284" s="36"/>
      <c r="P284" s="36"/>
      <c r="Q284" s="36"/>
    </row>
    <row r="285" spans="1:22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12598</v>
      </c>
      <c r="G285" s="37">
        <f t="shared" si="86"/>
        <v>8728</v>
      </c>
      <c r="H285" s="37"/>
      <c r="I285" s="36"/>
      <c r="J285" s="36"/>
      <c r="K285" s="36"/>
      <c r="L285" s="36"/>
      <c r="M285" s="36">
        <f>11147-580+1059-60+840+68</f>
        <v>12474</v>
      </c>
      <c r="N285" s="36">
        <f>8055+18</f>
        <v>8073</v>
      </c>
      <c r="O285" s="36"/>
      <c r="P285" s="36">
        <f>84-60+100</f>
        <v>124</v>
      </c>
      <c r="Q285" s="36">
        <v>655</v>
      </c>
      <c r="R285" s="12" t="s">
        <v>505</v>
      </c>
    </row>
    <row r="286" spans="1:22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282281</v>
      </c>
      <c r="G286" s="19">
        <f>SUM(G287:G313)</f>
        <v>275140</v>
      </c>
      <c r="H286" s="19">
        <f t="shared" ref="H286:Q286" si="87">SUM(H287:H313)</f>
        <v>2238</v>
      </c>
      <c r="I286" s="19">
        <f t="shared" si="87"/>
        <v>127</v>
      </c>
      <c r="J286" s="19">
        <f t="shared" si="87"/>
        <v>0</v>
      </c>
      <c r="K286" s="19">
        <f t="shared" si="87"/>
        <v>1000</v>
      </c>
      <c r="L286" s="19">
        <f t="shared" si="87"/>
        <v>1273</v>
      </c>
      <c r="M286" s="19">
        <f>M287+M289+M290+M293+M311+M312+M313</f>
        <v>276843</v>
      </c>
      <c r="N286" s="19">
        <f t="shared" si="87"/>
        <v>270915</v>
      </c>
      <c r="O286" s="19">
        <f t="shared" si="87"/>
        <v>0</v>
      </c>
      <c r="P286" s="19">
        <f>P287+P289+P290+P293+P311+P312+P313</f>
        <v>2200</v>
      </c>
      <c r="Q286" s="19">
        <f t="shared" si="87"/>
        <v>2825</v>
      </c>
      <c r="R286" s="44">
        <f>H286+K286+M286+P286</f>
        <v>282281</v>
      </c>
    </row>
    <row r="287" spans="1:22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5294</v>
      </c>
      <c r="G287" s="37">
        <f t="shared" ref="G287" si="88">SUM(I287:Q287)-K287-M287-P287</f>
        <v>3119</v>
      </c>
      <c r="H287" s="37"/>
      <c r="I287" s="36"/>
      <c r="J287" s="36"/>
      <c r="K287" s="36"/>
      <c r="L287" s="36"/>
      <c r="M287" s="36">
        <f>4200+106+315+399+274</f>
        <v>5294</v>
      </c>
      <c r="N287" s="36">
        <v>3119</v>
      </c>
      <c r="O287" s="36"/>
      <c r="P287" s="36"/>
      <c r="Q287" s="36"/>
      <c r="R287" s="12" t="s">
        <v>506</v>
      </c>
    </row>
    <row r="288" spans="1:22" hidden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200</v>
      </c>
      <c r="G289" s="37">
        <f t="shared" ref="G289:G290" si="89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v>200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1950</v>
      </c>
      <c r="G290" s="37">
        <f t="shared" si="89"/>
        <v>1580</v>
      </c>
      <c r="H290" s="37"/>
      <c r="I290" s="38"/>
      <c r="J290" s="38"/>
      <c r="K290" s="38"/>
      <c r="L290" s="38"/>
      <c r="M290" s="38">
        <f>2000-50</f>
        <v>1950</v>
      </c>
      <c r="N290" s="38">
        <f>1534+39</f>
        <v>1573</v>
      </c>
      <c r="O290" s="38"/>
      <c r="P290" s="38"/>
      <c r="Q290" s="38">
        <v>7</v>
      </c>
    </row>
    <row r="291" spans="1:19" ht="26.25" hidden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90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90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250607</v>
      </c>
      <c r="G293" s="37">
        <f t="shared" ref="G293:G313" si="91">SUM(I293:Q293)-K293-M293-P293</f>
        <v>252600</v>
      </c>
      <c r="H293" s="37"/>
      <c r="I293" s="36">
        <v>127</v>
      </c>
      <c r="J293" s="36"/>
      <c r="K293" s="36"/>
      <c r="L293" s="36"/>
      <c r="M293" s="48">
        <f>94103+2685+42117+11786+25692+37400+19065+15859</f>
        <v>248707</v>
      </c>
      <c r="N293" s="36">
        <v>250683</v>
      </c>
      <c r="O293" s="36"/>
      <c r="P293" s="48">
        <v>1900</v>
      </c>
      <c r="Q293" s="36">
        <v>1790</v>
      </c>
      <c r="R293" s="44">
        <f>M294+M299+M300+M303+M309+M310</f>
        <v>248707</v>
      </c>
      <c r="S293" s="44">
        <f>R293+P293</f>
        <v>250607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113168</v>
      </c>
      <c r="G294" s="37"/>
      <c r="H294" s="37"/>
      <c r="I294" s="36"/>
      <c r="J294" s="36"/>
      <c r="K294" s="36"/>
      <c r="L294" s="36"/>
      <c r="M294" s="48">
        <f>M295+M296+M297+M298</f>
        <v>113168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69695</v>
      </c>
      <c r="G295" s="37"/>
      <c r="H295" s="37"/>
      <c r="I295" s="36"/>
      <c r="J295" s="36"/>
      <c r="K295" s="36"/>
      <c r="L295" s="36"/>
      <c r="M295" s="38">
        <f>50630+19065</f>
        <v>69695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15745</v>
      </c>
      <c r="G296" s="37"/>
      <c r="H296" s="37"/>
      <c r="I296" s="36"/>
      <c r="J296" s="36"/>
      <c r="K296" s="36"/>
      <c r="L296" s="36"/>
      <c r="M296" s="38">
        <v>15745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57976</v>
      </c>
      <c r="G300" s="54"/>
      <c r="H300" s="54"/>
      <c r="I300" s="48"/>
      <c r="J300" s="48"/>
      <c r="K300" s="48"/>
      <c r="L300" s="48"/>
      <c r="M300" s="48">
        <f>M301+M302</f>
        <v>57976</v>
      </c>
      <c r="N300" s="48"/>
      <c r="O300" s="48"/>
      <c r="P300" s="48"/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36195</v>
      </c>
      <c r="G301" s="37"/>
      <c r="H301" s="37"/>
      <c r="I301" s="36"/>
      <c r="J301" s="36"/>
      <c r="K301" s="36"/>
      <c r="L301" s="36"/>
      <c r="M301" s="38">
        <f>36195</f>
        <v>36195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21781</v>
      </c>
      <c r="G302" s="37"/>
      <c r="H302" s="37"/>
      <c r="I302" s="36"/>
      <c r="J302" s="36"/>
      <c r="K302" s="36"/>
      <c r="L302" s="36"/>
      <c r="M302" s="38">
        <f>5922+15859</f>
        <v>21781</v>
      </c>
      <c r="N302" s="36"/>
      <c r="O302" s="36"/>
      <c r="P302" s="36">
        <v>1900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37400</v>
      </c>
      <c r="G310" s="54"/>
      <c r="H310" s="54"/>
      <c r="I310" s="48"/>
      <c r="J310" s="48"/>
      <c r="K310" s="48"/>
      <c r="L310" s="48"/>
      <c r="M310" s="48">
        <v>37400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12200</v>
      </c>
      <c r="G311" s="37">
        <f t="shared" si="91"/>
        <v>9570</v>
      </c>
      <c r="H311" s="37"/>
      <c r="I311" s="36"/>
      <c r="J311" s="36"/>
      <c r="K311" s="36"/>
      <c r="L311" s="36"/>
      <c r="M311" s="36">
        <f>9387+2813</f>
        <v>12200</v>
      </c>
      <c r="N311" s="36">
        <v>9570</v>
      </c>
      <c r="O311" s="36"/>
      <c r="P311" s="36"/>
      <c r="Q311" s="36"/>
    </row>
    <row r="312" spans="1:17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3900</v>
      </c>
      <c r="G312" s="37">
        <f t="shared" si="91"/>
        <v>2940</v>
      </c>
      <c r="H312" s="37"/>
      <c r="I312" s="36"/>
      <c r="J312" s="36"/>
      <c r="K312" s="36"/>
      <c r="L312" s="36"/>
      <c r="M312" s="36">
        <v>3900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6">
        <f>H313+K313+M313+P313</f>
        <v>8130</v>
      </c>
      <c r="G313" s="37">
        <f t="shared" si="91"/>
        <v>5184</v>
      </c>
      <c r="H313" s="37">
        <f>1038+1200</f>
        <v>2238</v>
      </c>
      <c r="I313" s="36"/>
      <c r="J313" s="36"/>
      <c r="K313" s="36">
        <v>1000</v>
      </c>
      <c r="L313" s="36">
        <v>1273</v>
      </c>
      <c r="M313" s="36">
        <f>4700+400+360+240-840-68</f>
        <v>4792</v>
      </c>
      <c r="N313" s="36">
        <f>3076-46</f>
        <v>3030</v>
      </c>
      <c r="O313" s="36"/>
      <c r="P313" s="352">
        <v>100</v>
      </c>
      <c r="Q313" s="36">
        <v>881</v>
      </c>
    </row>
    <row r="314" spans="1:17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90"/>
        <v>0</v>
      </c>
      <c r="H314" s="19"/>
      <c r="I314" s="19">
        <f t="shared" ref="I314:Q314" si="93">I315+I323+I325+I327+I331</f>
        <v>0</v>
      </c>
      <c r="J314" s="19">
        <f t="shared" si="93"/>
        <v>0</v>
      </c>
      <c r="K314" s="19"/>
      <c r="L314" s="19">
        <f t="shared" si="93"/>
        <v>0</v>
      </c>
      <c r="M314" s="19"/>
      <c r="N314" s="19">
        <f t="shared" si="93"/>
        <v>0</v>
      </c>
      <c r="O314" s="19">
        <f t="shared" si="93"/>
        <v>0</v>
      </c>
      <c r="P314" s="19"/>
      <c r="Q314" s="19">
        <f t="shared" si="93"/>
        <v>0</v>
      </c>
    </row>
    <row r="315" spans="1:17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90"/>
        <v>0</v>
      </c>
      <c r="H315" s="19"/>
      <c r="I315" s="19">
        <f t="shared" ref="I315:Q315" si="94">SUM(I316:I318)</f>
        <v>0</v>
      </c>
      <c r="J315" s="19">
        <f t="shared" si="94"/>
        <v>0</v>
      </c>
      <c r="K315" s="19"/>
      <c r="L315" s="19">
        <f t="shared" si="94"/>
        <v>0</v>
      </c>
      <c r="M315" s="19"/>
      <c r="N315" s="19">
        <f t="shared" si="94"/>
        <v>0</v>
      </c>
      <c r="O315" s="19">
        <f t="shared" si="94"/>
        <v>0</v>
      </c>
      <c r="P315" s="19"/>
      <c r="Q315" s="19">
        <f t="shared" si="94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90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90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90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90"/>
        <v>0</v>
      </c>
      <c r="H323" s="19"/>
      <c r="I323" s="19">
        <f t="shared" ref="I323:Q323" si="95">I324</f>
        <v>0</v>
      </c>
      <c r="J323" s="19">
        <f t="shared" si="95"/>
        <v>0</v>
      </c>
      <c r="K323" s="19"/>
      <c r="L323" s="19">
        <f t="shared" si="95"/>
        <v>0</v>
      </c>
      <c r="M323" s="19"/>
      <c r="N323" s="19">
        <f t="shared" si="95"/>
        <v>0</v>
      </c>
      <c r="O323" s="19">
        <f t="shared" si="95"/>
        <v>0</v>
      </c>
      <c r="P323" s="19"/>
      <c r="Q323" s="19">
        <f t="shared" si="95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90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90"/>
        <v>0</v>
      </c>
      <c r="H325" s="19"/>
      <c r="I325" s="19">
        <f t="shared" ref="I325:Q325" si="96">I326</f>
        <v>0</v>
      </c>
      <c r="J325" s="19">
        <f t="shared" si="96"/>
        <v>0</v>
      </c>
      <c r="K325" s="19"/>
      <c r="L325" s="19">
        <f t="shared" si="96"/>
        <v>0</v>
      </c>
      <c r="M325" s="19"/>
      <c r="N325" s="19">
        <f t="shared" si="96"/>
        <v>0</v>
      </c>
      <c r="O325" s="19">
        <f t="shared" si="96"/>
        <v>0</v>
      </c>
      <c r="P325" s="19"/>
      <c r="Q325" s="19">
        <f t="shared" si="96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90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90"/>
        <v>0</v>
      </c>
      <c r="H327" s="19"/>
      <c r="I327" s="19">
        <f t="shared" ref="I327:Q327" si="97">SUM(I328:I330)</f>
        <v>0</v>
      </c>
      <c r="J327" s="19">
        <f t="shared" si="97"/>
        <v>0</v>
      </c>
      <c r="K327" s="19"/>
      <c r="L327" s="19">
        <f t="shared" si="97"/>
        <v>0</v>
      </c>
      <c r="M327" s="19"/>
      <c r="N327" s="19">
        <f t="shared" si="97"/>
        <v>0</v>
      </c>
      <c r="O327" s="19">
        <f t="shared" si="97"/>
        <v>0</v>
      </c>
      <c r="P327" s="19"/>
      <c r="Q327" s="19">
        <f t="shared" si="97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90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90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90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90"/>
        <v>0</v>
      </c>
      <c r="H331" s="19"/>
      <c r="I331" s="19">
        <f t="shared" ref="I331:Q331" si="98">I332</f>
        <v>0</v>
      </c>
      <c r="J331" s="19">
        <f t="shared" si="98"/>
        <v>0</v>
      </c>
      <c r="K331" s="19"/>
      <c r="L331" s="19">
        <f t="shared" si="98"/>
        <v>0</v>
      </c>
      <c r="M331" s="19"/>
      <c r="N331" s="19">
        <f t="shared" si="98"/>
        <v>0</v>
      </c>
      <c r="O331" s="19">
        <f t="shared" si="98"/>
        <v>0</v>
      </c>
      <c r="P331" s="19"/>
      <c r="Q331" s="19">
        <f t="shared" si="98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90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99">F334+F344+F355+F357</f>
        <v>681</v>
      </c>
      <c r="G333" s="19">
        <f t="shared" si="99"/>
        <v>251</v>
      </c>
      <c r="H333" s="19">
        <f t="shared" si="99"/>
        <v>0</v>
      </c>
      <c r="I333" s="19">
        <f t="shared" si="99"/>
        <v>0</v>
      </c>
      <c r="J333" s="19">
        <f t="shared" si="99"/>
        <v>0</v>
      </c>
      <c r="K333" s="19">
        <f t="shared" si="99"/>
        <v>0</v>
      </c>
      <c r="L333" s="19">
        <f t="shared" si="99"/>
        <v>0</v>
      </c>
      <c r="M333" s="19">
        <f t="shared" si="99"/>
        <v>0</v>
      </c>
      <c r="N333" s="19">
        <f t="shared" si="99"/>
        <v>0</v>
      </c>
      <c r="O333" s="19">
        <f t="shared" si="99"/>
        <v>0</v>
      </c>
      <c r="P333" s="19">
        <f t="shared" si="99"/>
        <v>681</v>
      </c>
      <c r="Q333" s="19">
        <f t="shared" si="99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0">SUM(F335:F343)</f>
        <v>681</v>
      </c>
      <c r="G334" s="19">
        <f t="shared" si="100"/>
        <v>251</v>
      </c>
      <c r="H334" s="19">
        <f t="shared" si="100"/>
        <v>0</v>
      </c>
      <c r="I334" s="19">
        <f t="shared" si="100"/>
        <v>0</v>
      </c>
      <c r="J334" s="19">
        <f t="shared" si="100"/>
        <v>0</v>
      </c>
      <c r="K334" s="19">
        <f t="shared" si="100"/>
        <v>0</v>
      </c>
      <c r="L334" s="19">
        <f t="shared" si="100"/>
        <v>0</v>
      </c>
      <c r="M334" s="19">
        <f t="shared" si="100"/>
        <v>0</v>
      </c>
      <c r="N334" s="19">
        <f t="shared" si="100"/>
        <v>0</v>
      </c>
      <c r="O334" s="19">
        <f t="shared" si="100"/>
        <v>0</v>
      </c>
      <c r="P334" s="19">
        <f t="shared" si="100"/>
        <v>681</v>
      </c>
      <c r="Q334" s="19">
        <f t="shared" si="100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90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90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90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90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681</v>
      </c>
      <c r="G339" s="37">
        <f t="shared" ref="G339" si="101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681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90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90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90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90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90"/>
        <v>0</v>
      </c>
      <c r="H344" s="19"/>
      <c r="I344" s="19">
        <f t="shared" ref="I344:Q344" si="102">SUM(I345:I354)</f>
        <v>0</v>
      </c>
      <c r="J344" s="19">
        <f t="shared" si="102"/>
        <v>0</v>
      </c>
      <c r="K344" s="19"/>
      <c r="L344" s="19">
        <f t="shared" si="102"/>
        <v>0</v>
      </c>
      <c r="M344" s="19"/>
      <c r="N344" s="19">
        <f t="shared" si="102"/>
        <v>0</v>
      </c>
      <c r="O344" s="19">
        <f t="shared" si="102"/>
        <v>0</v>
      </c>
      <c r="P344" s="19"/>
      <c r="Q344" s="19">
        <f t="shared" si="102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90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90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90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90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90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90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90"/>
        <v>0</v>
      </c>
      <c r="H355" s="19"/>
      <c r="I355" s="19">
        <f t="shared" ref="I355:Q355" si="103">I356</f>
        <v>0</v>
      </c>
      <c r="J355" s="19">
        <f t="shared" si="103"/>
        <v>0</v>
      </c>
      <c r="K355" s="19"/>
      <c r="L355" s="19">
        <f t="shared" si="103"/>
        <v>0</v>
      </c>
      <c r="M355" s="19"/>
      <c r="N355" s="19">
        <f t="shared" si="103"/>
        <v>0</v>
      </c>
      <c r="O355" s="19">
        <f t="shared" si="103"/>
        <v>0</v>
      </c>
      <c r="P355" s="19"/>
      <c r="Q355" s="19">
        <f t="shared" si="103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90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90"/>
        <v>0</v>
      </c>
      <c r="H357" s="19"/>
      <c r="I357" s="19">
        <f t="shared" ref="I357:Q357" si="104">SUM(I358:I360)</f>
        <v>0</v>
      </c>
      <c r="J357" s="19">
        <f t="shared" si="104"/>
        <v>0</v>
      </c>
      <c r="K357" s="19"/>
      <c r="L357" s="19">
        <f t="shared" si="104"/>
        <v>0</v>
      </c>
      <c r="M357" s="19"/>
      <c r="N357" s="19">
        <f t="shared" si="104"/>
        <v>0</v>
      </c>
      <c r="O357" s="19">
        <f t="shared" si="104"/>
        <v>0</v>
      </c>
      <c r="P357" s="19"/>
      <c r="Q357" s="19">
        <f t="shared" si="104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90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90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90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90"/>
        <v>0</v>
      </c>
      <c r="H361" s="19"/>
      <c r="I361" s="19">
        <f t="shared" ref="I361:Q361" si="105">I362+I365+I368+I371</f>
        <v>0</v>
      </c>
      <c r="J361" s="19">
        <f t="shared" si="105"/>
        <v>0</v>
      </c>
      <c r="K361" s="19"/>
      <c r="L361" s="19">
        <f t="shared" si="105"/>
        <v>0</v>
      </c>
      <c r="M361" s="19"/>
      <c r="N361" s="19">
        <f t="shared" si="105"/>
        <v>0</v>
      </c>
      <c r="O361" s="19">
        <f t="shared" si="105"/>
        <v>0</v>
      </c>
      <c r="P361" s="19"/>
      <c r="Q361" s="19">
        <f t="shared" si="105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90"/>
        <v>0</v>
      </c>
      <c r="H362" s="19"/>
      <c r="I362" s="19">
        <f t="shared" ref="I362:Q362" si="106">I363+I364</f>
        <v>0</v>
      </c>
      <c r="J362" s="19">
        <f t="shared" si="106"/>
        <v>0</v>
      </c>
      <c r="K362" s="19"/>
      <c r="L362" s="19">
        <f t="shared" si="106"/>
        <v>0</v>
      </c>
      <c r="M362" s="19"/>
      <c r="N362" s="19">
        <f t="shared" si="106"/>
        <v>0</v>
      </c>
      <c r="O362" s="19">
        <f t="shared" si="106"/>
        <v>0</v>
      </c>
      <c r="P362" s="19"/>
      <c r="Q362" s="19">
        <f t="shared" si="106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90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90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90"/>
        <v>0</v>
      </c>
      <c r="H365" s="19"/>
      <c r="I365" s="19">
        <f t="shared" ref="I365:Q365" si="107">I366+I367</f>
        <v>0</v>
      </c>
      <c r="J365" s="19">
        <f t="shared" si="107"/>
        <v>0</v>
      </c>
      <c r="K365" s="19"/>
      <c r="L365" s="19">
        <f t="shared" si="107"/>
        <v>0</v>
      </c>
      <c r="M365" s="19"/>
      <c r="N365" s="19">
        <f t="shared" si="107"/>
        <v>0</v>
      </c>
      <c r="O365" s="19">
        <f t="shared" si="107"/>
        <v>0</v>
      </c>
      <c r="P365" s="19"/>
      <c r="Q365" s="19">
        <f t="shared" si="107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90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90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90"/>
        <v>0</v>
      </c>
      <c r="H368" s="19"/>
      <c r="I368" s="19">
        <f t="shared" ref="I368:Q368" si="108">I369+I370</f>
        <v>0</v>
      </c>
      <c r="J368" s="19">
        <f t="shared" si="108"/>
        <v>0</v>
      </c>
      <c r="K368" s="19"/>
      <c r="L368" s="19">
        <f t="shared" si="108"/>
        <v>0</v>
      </c>
      <c r="M368" s="19"/>
      <c r="N368" s="19">
        <f t="shared" si="108"/>
        <v>0</v>
      </c>
      <c r="O368" s="19">
        <f t="shared" si="108"/>
        <v>0</v>
      </c>
      <c r="P368" s="19"/>
      <c r="Q368" s="19">
        <f t="shared" si="108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90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90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90"/>
        <v>0</v>
      </c>
      <c r="H371" s="19"/>
      <c r="I371" s="19">
        <f t="shared" ref="I371:Q371" si="109">I372+I373</f>
        <v>0</v>
      </c>
      <c r="J371" s="19">
        <f t="shared" si="109"/>
        <v>0</v>
      </c>
      <c r="K371" s="19"/>
      <c r="L371" s="19">
        <f t="shared" si="109"/>
        <v>0</v>
      </c>
      <c r="M371" s="19"/>
      <c r="N371" s="19">
        <f t="shared" si="109"/>
        <v>0</v>
      </c>
      <c r="O371" s="19">
        <f t="shared" si="109"/>
        <v>0</v>
      </c>
      <c r="P371" s="19"/>
      <c r="Q371" s="19">
        <f t="shared" si="109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90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90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0">F379+F382+F385+F388+F391</f>
        <v>7710</v>
      </c>
      <c r="G374" s="19">
        <f t="shared" si="110"/>
        <v>7410</v>
      </c>
      <c r="H374" s="37">
        <f t="shared" si="110"/>
        <v>0</v>
      </c>
      <c r="I374" s="19">
        <f t="shared" si="110"/>
        <v>0</v>
      </c>
      <c r="J374" s="19">
        <f t="shared" si="110"/>
        <v>0</v>
      </c>
      <c r="K374" s="19">
        <f t="shared" si="110"/>
        <v>0</v>
      </c>
      <c r="L374" s="19">
        <f t="shared" si="110"/>
        <v>0</v>
      </c>
      <c r="M374" s="19">
        <f t="shared" si="110"/>
        <v>7710</v>
      </c>
      <c r="N374" s="19">
        <f t="shared" si="110"/>
        <v>7410</v>
      </c>
      <c r="O374" s="19">
        <f t="shared" si="110"/>
        <v>0</v>
      </c>
      <c r="P374" s="19">
        <f t="shared" si="110"/>
        <v>0</v>
      </c>
      <c r="Q374" s="19">
        <f t="shared" si="110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90"/>
        <v>0</v>
      </c>
      <c r="H379" s="19"/>
      <c r="I379" s="19">
        <f t="shared" ref="I379:Q379" si="111">I380+I381</f>
        <v>0</v>
      </c>
      <c r="J379" s="19">
        <f t="shared" si="111"/>
        <v>0</v>
      </c>
      <c r="K379" s="19"/>
      <c r="L379" s="19">
        <f t="shared" si="111"/>
        <v>0</v>
      </c>
      <c r="M379" s="19"/>
      <c r="N379" s="19">
        <f t="shared" si="111"/>
        <v>0</v>
      </c>
      <c r="O379" s="19">
        <f t="shared" si="111"/>
        <v>0</v>
      </c>
      <c r="P379" s="19"/>
      <c r="Q379" s="19">
        <f t="shared" si="111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90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90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90"/>
        <v>0</v>
      </c>
      <c r="H382" s="19"/>
      <c r="I382" s="19">
        <f t="shared" ref="I382:Q382" si="112">I383+I384</f>
        <v>0</v>
      </c>
      <c r="J382" s="19">
        <f t="shared" si="112"/>
        <v>0</v>
      </c>
      <c r="K382" s="19"/>
      <c r="L382" s="19">
        <f t="shared" si="112"/>
        <v>0</v>
      </c>
      <c r="M382" s="19"/>
      <c r="N382" s="19">
        <f t="shared" si="112"/>
        <v>0</v>
      </c>
      <c r="O382" s="19">
        <f t="shared" si="112"/>
        <v>0</v>
      </c>
      <c r="P382" s="19"/>
      <c r="Q382" s="19">
        <f t="shared" si="112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90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90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3">SUM(I385:Q385)</f>
        <v>0</v>
      </c>
      <c r="H385" s="19"/>
      <c r="I385" s="19">
        <f t="shared" ref="I385:Q385" si="114">I386+I387</f>
        <v>0</v>
      </c>
      <c r="J385" s="19">
        <f t="shared" si="114"/>
        <v>0</v>
      </c>
      <c r="K385" s="19"/>
      <c r="L385" s="19">
        <f t="shared" si="114"/>
        <v>0</v>
      </c>
      <c r="M385" s="19"/>
      <c r="N385" s="19">
        <f t="shared" si="114"/>
        <v>0</v>
      </c>
      <c r="O385" s="19">
        <f t="shared" si="114"/>
        <v>0</v>
      </c>
      <c r="P385" s="19"/>
      <c r="Q385" s="19">
        <f t="shared" si="114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3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3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3"/>
        <v>0</v>
      </c>
      <c r="H388" s="19"/>
      <c r="I388" s="19">
        <f t="shared" ref="I388:Q388" si="115">I389+I390</f>
        <v>0</v>
      </c>
      <c r="J388" s="19">
        <f t="shared" si="115"/>
        <v>0</v>
      </c>
      <c r="K388" s="19"/>
      <c r="L388" s="19">
        <f t="shared" si="115"/>
        <v>0</v>
      </c>
      <c r="M388" s="19"/>
      <c r="N388" s="19">
        <f t="shared" si="115"/>
        <v>0</v>
      </c>
      <c r="O388" s="19">
        <f t="shared" si="115"/>
        <v>0</v>
      </c>
      <c r="P388" s="19"/>
      <c r="Q388" s="19">
        <f t="shared" si="115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3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3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6">F392+F393</f>
        <v>7710</v>
      </c>
      <c r="G391" s="19">
        <f t="shared" si="116"/>
        <v>7410</v>
      </c>
      <c r="H391" s="19">
        <f t="shared" si="116"/>
        <v>0</v>
      </c>
      <c r="I391" s="19">
        <f t="shared" si="116"/>
        <v>0</v>
      </c>
      <c r="J391" s="19">
        <f t="shared" si="116"/>
        <v>0</v>
      </c>
      <c r="K391" s="19">
        <f t="shared" si="116"/>
        <v>0</v>
      </c>
      <c r="L391" s="19">
        <f t="shared" si="116"/>
        <v>0</v>
      </c>
      <c r="M391" s="19">
        <f t="shared" si="116"/>
        <v>7710</v>
      </c>
      <c r="N391" s="19">
        <f t="shared" si="116"/>
        <v>7410</v>
      </c>
      <c r="O391" s="19">
        <f t="shared" si="116"/>
        <v>0</v>
      </c>
      <c r="P391" s="19">
        <f t="shared" si="116"/>
        <v>0</v>
      </c>
      <c r="Q391" s="19">
        <f t="shared" si="116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7710</v>
      </c>
      <c r="G392" s="37">
        <f t="shared" ref="G392" si="117">SUM(I392:Q392)-K392-M392-P392</f>
        <v>7410</v>
      </c>
      <c r="H392" s="37"/>
      <c r="I392" s="36"/>
      <c r="J392" s="36"/>
      <c r="K392" s="36"/>
      <c r="L392" s="36"/>
      <c r="M392" s="36">
        <v>7710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3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3"/>
        <v>0</v>
      </c>
      <c r="H394" s="19"/>
      <c r="I394" s="19">
        <f t="shared" ref="I394:Q394" si="118">I395+I399</f>
        <v>0</v>
      </c>
      <c r="J394" s="19">
        <f t="shared" si="118"/>
        <v>0</v>
      </c>
      <c r="K394" s="19"/>
      <c r="L394" s="19">
        <f t="shared" si="118"/>
        <v>0</v>
      </c>
      <c r="M394" s="19"/>
      <c r="N394" s="19">
        <f t="shared" si="118"/>
        <v>0</v>
      </c>
      <c r="O394" s="19">
        <f t="shared" si="118"/>
        <v>0</v>
      </c>
      <c r="P394" s="19"/>
      <c r="Q394" s="19">
        <f t="shared" si="118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3"/>
        <v>0</v>
      </c>
      <c r="H395" s="19"/>
      <c r="I395" s="19">
        <f t="shared" ref="I395:Q395" si="119">SUM(I396:I398)</f>
        <v>0</v>
      </c>
      <c r="J395" s="19">
        <f t="shared" si="119"/>
        <v>0</v>
      </c>
      <c r="K395" s="19"/>
      <c r="L395" s="19">
        <f t="shared" si="119"/>
        <v>0</v>
      </c>
      <c r="M395" s="19"/>
      <c r="N395" s="19">
        <f t="shared" si="119"/>
        <v>0</v>
      </c>
      <c r="O395" s="19">
        <f t="shared" si="119"/>
        <v>0</v>
      </c>
      <c r="P395" s="19"/>
      <c r="Q395" s="19">
        <f t="shared" si="119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3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3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3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3"/>
        <v>0</v>
      </c>
      <c r="H399" s="19"/>
      <c r="I399" s="19">
        <f t="shared" ref="I399:Q399" si="120">SUM(I404:I412)</f>
        <v>0</v>
      </c>
      <c r="J399" s="19">
        <f t="shared" si="120"/>
        <v>0</v>
      </c>
      <c r="K399" s="19"/>
      <c r="L399" s="19">
        <f t="shared" si="120"/>
        <v>0</v>
      </c>
      <c r="M399" s="19"/>
      <c r="N399" s="19">
        <f t="shared" si="120"/>
        <v>0</v>
      </c>
      <c r="O399" s="19">
        <f t="shared" si="120"/>
        <v>0</v>
      </c>
      <c r="P399" s="19"/>
      <c r="Q399" s="19">
        <f t="shared" si="120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3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3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3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3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3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3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3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3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3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1">F414+F417+F421+F423+F426+F432</f>
        <v>135</v>
      </c>
      <c r="G413" s="19">
        <f t="shared" si="121"/>
        <v>118</v>
      </c>
      <c r="H413" s="19">
        <f t="shared" si="121"/>
        <v>0</v>
      </c>
      <c r="I413" s="19">
        <f t="shared" si="121"/>
        <v>0</v>
      </c>
      <c r="J413" s="19">
        <f t="shared" si="121"/>
        <v>0</v>
      </c>
      <c r="K413" s="19">
        <f t="shared" si="121"/>
        <v>0</v>
      </c>
      <c r="L413" s="19">
        <f t="shared" si="121"/>
        <v>0</v>
      </c>
      <c r="M413" s="19">
        <f t="shared" si="121"/>
        <v>0</v>
      </c>
      <c r="N413" s="19">
        <f t="shared" si="121"/>
        <v>8</v>
      </c>
      <c r="O413" s="19">
        <f t="shared" si="121"/>
        <v>0</v>
      </c>
      <c r="P413" s="19">
        <f t="shared" si="121"/>
        <v>135</v>
      </c>
      <c r="Q413" s="19">
        <f t="shared" si="121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2">F415+F416</f>
        <v>35</v>
      </c>
      <c r="G414" s="19">
        <f t="shared" si="122"/>
        <v>35</v>
      </c>
      <c r="H414" s="19">
        <f t="shared" si="122"/>
        <v>0</v>
      </c>
      <c r="I414" s="19">
        <f t="shared" si="122"/>
        <v>0</v>
      </c>
      <c r="J414" s="19">
        <f t="shared" si="122"/>
        <v>0</v>
      </c>
      <c r="K414" s="19">
        <f t="shared" si="122"/>
        <v>0</v>
      </c>
      <c r="L414" s="19">
        <f t="shared" si="122"/>
        <v>0</v>
      </c>
      <c r="M414" s="19">
        <f t="shared" si="122"/>
        <v>0</v>
      </c>
      <c r="N414" s="19">
        <f t="shared" si="122"/>
        <v>0</v>
      </c>
      <c r="O414" s="19">
        <f t="shared" si="122"/>
        <v>0</v>
      </c>
      <c r="P414" s="19">
        <f t="shared" si="122"/>
        <v>35</v>
      </c>
      <c r="Q414" s="19">
        <f t="shared" si="122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3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3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22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4">SUM(F418:F420)</f>
        <v>50</v>
      </c>
      <c r="G417" s="19">
        <f t="shared" si="124"/>
        <v>68</v>
      </c>
      <c r="H417" s="19">
        <f t="shared" si="124"/>
        <v>0</v>
      </c>
      <c r="I417" s="19">
        <f t="shared" si="124"/>
        <v>0</v>
      </c>
      <c r="J417" s="19">
        <f t="shared" si="124"/>
        <v>0</v>
      </c>
      <c r="K417" s="19">
        <f t="shared" si="124"/>
        <v>0</v>
      </c>
      <c r="L417" s="19">
        <f t="shared" si="124"/>
        <v>0</v>
      </c>
      <c r="M417" s="19">
        <f t="shared" si="124"/>
        <v>0</v>
      </c>
      <c r="N417" s="19">
        <f t="shared" si="124"/>
        <v>8</v>
      </c>
      <c r="O417" s="19">
        <f t="shared" si="124"/>
        <v>0</v>
      </c>
      <c r="P417" s="19">
        <f t="shared" si="124"/>
        <v>50</v>
      </c>
      <c r="Q417" s="19">
        <f t="shared" si="124"/>
        <v>50</v>
      </c>
    </row>
    <row r="418" spans="1:22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20</v>
      </c>
      <c r="G418" s="37">
        <f t="shared" ref="G418:G419" si="125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20</v>
      </c>
      <c r="Q418" s="36">
        <v>9</v>
      </c>
    </row>
    <row r="419" spans="1:22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20</v>
      </c>
      <c r="G419" s="37">
        <f t="shared" si="125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20</v>
      </c>
      <c r="Q419" s="36">
        <v>41</v>
      </c>
      <c r="V419" s="12" t="s">
        <v>539</v>
      </c>
    </row>
    <row r="420" spans="1:22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3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22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6">F422</f>
        <v>50</v>
      </c>
      <c r="G421" s="19">
        <f t="shared" si="126"/>
        <v>15</v>
      </c>
      <c r="H421" s="19">
        <f t="shared" si="126"/>
        <v>0</v>
      </c>
      <c r="I421" s="19">
        <f t="shared" si="126"/>
        <v>0</v>
      </c>
      <c r="J421" s="19">
        <f t="shared" si="126"/>
        <v>0</v>
      </c>
      <c r="K421" s="19">
        <f t="shared" si="126"/>
        <v>0</v>
      </c>
      <c r="L421" s="19">
        <f t="shared" si="126"/>
        <v>0</v>
      </c>
      <c r="M421" s="19">
        <f t="shared" si="126"/>
        <v>0</v>
      </c>
      <c r="N421" s="19">
        <f t="shared" si="126"/>
        <v>0</v>
      </c>
      <c r="O421" s="19">
        <f t="shared" si="126"/>
        <v>0</v>
      </c>
      <c r="P421" s="19">
        <f t="shared" si="126"/>
        <v>50</v>
      </c>
      <c r="Q421" s="19">
        <f t="shared" si="126"/>
        <v>15</v>
      </c>
    </row>
    <row r="422" spans="1:22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50</v>
      </c>
      <c r="G422" s="37">
        <f t="shared" ref="G422" si="127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50</v>
      </c>
      <c r="Q422" s="36">
        <v>15</v>
      </c>
    </row>
    <row r="423" spans="1:22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3"/>
        <v>0</v>
      </c>
      <c r="H423" s="19"/>
      <c r="I423" s="19">
        <f t="shared" ref="I423:Q423" si="128">I424+I425</f>
        <v>0</v>
      </c>
      <c r="J423" s="19">
        <f t="shared" si="128"/>
        <v>0</v>
      </c>
      <c r="K423" s="19"/>
      <c r="L423" s="19">
        <f t="shared" si="128"/>
        <v>0</v>
      </c>
      <c r="M423" s="19"/>
      <c r="N423" s="19">
        <f t="shared" si="128"/>
        <v>0</v>
      </c>
      <c r="O423" s="19">
        <f t="shared" si="128"/>
        <v>0</v>
      </c>
      <c r="P423" s="19"/>
      <c r="Q423" s="19">
        <f t="shared" si="128"/>
        <v>0</v>
      </c>
    </row>
    <row r="424" spans="1:22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3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22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3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22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3"/>
        <v>0</v>
      </c>
      <c r="H426" s="19"/>
      <c r="I426" s="19">
        <f t="shared" ref="I426:Q426" si="129">I427</f>
        <v>0</v>
      </c>
      <c r="J426" s="19">
        <f t="shared" si="129"/>
        <v>0</v>
      </c>
      <c r="K426" s="19"/>
      <c r="L426" s="19">
        <f t="shared" si="129"/>
        <v>0</v>
      </c>
      <c r="M426" s="19"/>
      <c r="N426" s="19">
        <f t="shared" si="129"/>
        <v>0</v>
      </c>
      <c r="O426" s="19">
        <f t="shared" si="129"/>
        <v>0</v>
      </c>
      <c r="P426" s="19"/>
      <c r="Q426" s="19">
        <f t="shared" si="129"/>
        <v>0</v>
      </c>
    </row>
    <row r="427" spans="1:22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3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22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22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22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22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22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3"/>
        <v>0</v>
      </c>
      <c r="H432" s="19"/>
      <c r="I432" s="19">
        <f t="shared" ref="I432:Q432" si="130">I433</f>
        <v>0</v>
      </c>
      <c r="J432" s="19">
        <f t="shared" si="130"/>
        <v>0</v>
      </c>
      <c r="K432" s="19"/>
      <c r="L432" s="19">
        <f t="shared" si="130"/>
        <v>0</v>
      </c>
      <c r="M432" s="19"/>
      <c r="N432" s="19">
        <f t="shared" si="130"/>
        <v>0</v>
      </c>
      <c r="O432" s="19">
        <f t="shared" si="130"/>
        <v>0</v>
      </c>
      <c r="P432" s="19"/>
      <c r="Q432" s="19">
        <f t="shared" si="130"/>
        <v>0</v>
      </c>
    </row>
    <row r="433" spans="1:22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3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1">F435+F458+F471+F474+F482</f>
        <v>25605</v>
      </c>
      <c r="G434" s="19">
        <f t="shared" si="131"/>
        <v>17163</v>
      </c>
      <c r="H434" s="19">
        <f t="shared" si="131"/>
        <v>20000</v>
      </c>
      <c r="I434" s="19">
        <f t="shared" si="131"/>
        <v>15250</v>
      </c>
      <c r="J434" s="19">
        <f t="shared" si="131"/>
        <v>0</v>
      </c>
      <c r="K434" s="19">
        <f t="shared" si="131"/>
        <v>0</v>
      </c>
      <c r="L434" s="19">
        <f t="shared" si="131"/>
        <v>0</v>
      </c>
      <c r="M434" s="19">
        <f t="shared" si="131"/>
        <v>0</v>
      </c>
      <c r="N434" s="19">
        <f t="shared" si="131"/>
        <v>0</v>
      </c>
      <c r="O434" s="19">
        <f t="shared" si="131"/>
        <v>0</v>
      </c>
      <c r="P434" s="19">
        <f t="shared" si="131"/>
        <v>5605</v>
      </c>
      <c r="Q434" s="19">
        <f t="shared" si="131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2">F436+F441+F452+F454+F456</f>
        <v>25605</v>
      </c>
      <c r="G435" s="19">
        <f t="shared" si="132"/>
        <v>17163</v>
      </c>
      <c r="H435" s="19">
        <f t="shared" si="132"/>
        <v>20000</v>
      </c>
      <c r="I435" s="19">
        <f t="shared" si="132"/>
        <v>15250</v>
      </c>
      <c r="J435" s="19">
        <f t="shared" si="132"/>
        <v>0</v>
      </c>
      <c r="K435" s="19">
        <f t="shared" si="132"/>
        <v>0</v>
      </c>
      <c r="L435" s="19">
        <f t="shared" si="132"/>
        <v>0</v>
      </c>
      <c r="M435" s="19">
        <f t="shared" si="132"/>
        <v>0</v>
      </c>
      <c r="N435" s="19">
        <f t="shared" si="132"/>
        <v>0</v>
      </c>
      <c r="O435" s="19">
        <f t="shared" si="132"/>
        <v>0</v>
      </c>
      <c r="P435" s="19">
        <f t="shared" si="132"/>
        <v>5605</v>
      </c>
      <c r="Q435" s="19">
        <f t="shared" si="132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3">SUM(F437:F440)</f>
        <v>2124</v>
      </c>
      <c r="G436" s="19">
        <f t="shared" si="133"/>
        <v>1450</v>
      </c>
      <c r="H436" s="19">
        <f t="shared" si="133"/>
        <v>2000</v>
      </c>
      <c r="I436" s="19">
        <f t="shared" si="133"/>
        <v>1450</v>
      </c>
      <c r="J436" s="19">
        <f t="shared" si="133"/>
        <v>0</v>
      </c>
      <c r="K436" s="19">
        <f t="shared" si="133"/>
        <v>0</v>
      </c>
      <c r="L436" s="19">
        <f t="shared" si="133"/>
        <v>0</v>
      </c>
      <c r="M436" s="19">
        <f t="shared" si="133"/>
        <v>0</v>
      </c>
      <c r="N436" s="19">
        <f t="shared" si="133"/>
        <v>0</v>
      </c>
      <c r="O436" s="19">
        <f t="shared" si="133"/>
        <v>0</v>
      </c>
      <c r="P436" s="19">
        <f t="shared" si="133"/>
        <v>124</v>
      </c>
      <c r="Q436" s="19">
        <f t="shared" si="133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3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3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2124</v>
      </c>
      <c r="G439" s="37">
        <f t="shared" ref="G439" si="134">SUM(I439:Q439)-K439-M439-P439</f>
        <v>1450</v>
      </c>
      <c r="H439" s="37">
        <v>2000</v>
      </c>
      <c r="I439" s="36">
        <v>1450</v>
      </c>
      <c r="J439" s="36"/>
      <c r="K439" s="36"/>
      <c r="L439" s="36"/>
      <c r="M439" s="36"/>
      <c r="N439" s="36"/>
      <c r="O439" s="36"/>
      <c r="P439" s="36">
        <v>124</v>
      </c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3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5">SUM(F442:F451)</f>
        <v>23381</v>
      </c>
      <c r="G441" s="19">
        <f t="shared" si="135"/>
        <v>15613</v>
      </c>
      <c r="H441" s="19">
        <f t="shared" si="135"/>
        <v>18000</v>
      </c>
      <c r="I441" s="19">
        <f t="shared" si="135"/>
        <v>13800</v>
      </c>
      <c r="J441" s="19">
        <f t="shared" si="135"/>
        <v>0</v>
      </c>
      <c r="K441" s="19">
        <f t="shared" si="135"/>
        <v>0</v>
      </c>
      <c r="L441" s="19">
        <f t="shared" si="135"/>
        <v>0</v>
      </c>
      <c r="M441" s="19">
        <f t="shared" si="135"/>
        <v>0</v>
      </c>
      <c r="N441" s="19">
        <f t="shared" si="135"/>
        <v>0</v>
      </c>
      <c r="O441" s="19">
        <f t="shared" si="135"/>
        <v>0</v>
      </c>
      <c r="P441" s="19">
        <f t="shared" si="135"/>
        <v>5381</v>
      </c>
      <c r="Q441" s="19">
        <f t="shared" si="135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3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3848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>
        <f>3960-112</f>
        <v>3848</v>
      </c>
      <c r="Q443" s="36"/>
    </row>
    <row r="444" spans="1:22" ht="28.5" x14ac:dyDescent="0.4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1376</v>
      </c>
      <c r="G444" s="37">
        <f t="shared" ref="G444" si="136">SUM(I444:Q444)-K444-M444-P444</f>
        <v>1258</v>
      </c>
      <c r="H444" s="388"/>
      <c r="I444" s="36"/>
      <c r="J444" s="36"/>
      <c r="K444" s="36"/>
      <c r="L444" s="36"/>
      <c r="M444" s="36"/>
      <c r="N444" s="36"/>
      <c r="O444" s="36"/>
      <c r="P444" s="36">
        <f>2000-221-559-96+252</f>
        <v>1376</v>
      </c>
      <c r="Q444" s="36">
        <v>1258</v>
      </c>
      <c r="R444" s="12">
        <v>809</v>
      </c>
      <c r="S444" s="12">
        <v>1124</v>
      </c>
      <c r="T444" s="12">
        <f>S444-R444</f>
        <v>315</v>
      </c>
      <c r="V444" s="400" t="s">
        <v>538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3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3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18157</v>
      </c>
      <c r="G447" s="37">
        <f t="shared" ref="G447" si="137">SUM(I447:Q447)-K447-M447-P447</f>
        <v>14355</v>
      </c>
      <c r="H447" s="37">
        <f>20000-2000</f>
        <v>18000</v>
      </c>
      <c r="I447" s="36">
        <v>13800</v>
      </c>
      <c r="J447" s="36"/>
      <c r="K447" s="36"/>
      <c r="L447" s="36"/>
      <c r="M447" s="36"/>
      <c r="N447" s="36"/>
      <c r="O447" s="36"/>
      <c r="P447" s="38">
        <v>157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3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3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3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3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3"/>
        <v>0</v>
      </c>
      <c r="H452" s="19"/>
      <c r="I452" s="19">
        <f t="shared" ref="I452:Q452" si="138">I453</f>
        <v>0</v>
      </c>
      <c r="J452" s="19">
        <f t="shared" si="138"/>
        <v>0</v>
      </c>
      <c r="K452" s="19"/>
      <c r="L452" s="19">
        <f t="shared" si="138"/>
        <v>0</v>
      </c>
      <c r="M452" s="19"/>
      <c r="N452" s="19">
        <f t="shared" si="138"/>
        <v>0</v>
      </c>
      <c r="O452" s="19">
        <f t="shared" si="138"/>
        <v>0</v>
      </c>
      <c r="P452" s="19"/>
      <c r="Q452" s="19">
        <f t="shared" si="138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3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3"/>
        <v>0</v>
      </c>
      <c r="H454" s="19"/>
      <c r="I454" s="19">
        <f t="shared" ref="I454:Q454" si="139">I455</f>
        <v>0</v>
      </c>
      <c r="J454" s="19">
        <f t="shared" si="139"/>
        <v>0</v>
      </c>
      <c r="K454" s="19"/>
      <c r="L454" s="19">
        <f t="shared" si="139"/>
        <v>0</v>
      </c>
      <c r="M454" s="19"/>
      <c r="N454" s="19">
        <f t="shared" si="139"/>
        <v>0</v>
      </c>
      <c r="O454" s="19">
        <f t="shared" si="139"/>
        <v>0</v>
      </c>
      <c r="P454" s="19"/>
      <c r="Q454" s="19">
        <f t="shared" si="139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3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0">F457</f>
        <v>100</v>
      </c>
      <c r="G456" s="19">
        <f t="shared" si="140"/>
        <v>100</v>
      </c>
      <c r="H456" s="19">
        <f t="shared" si="140"/>
        <v>0</v>
      </c>
      <c r="I456" s="19">
        <f t="shared" si="140"/>
        <v>0</v>
      </c>
      <c r="J456" s="19">
        <f t="shared" si="140"/>
        <v>0</v>
      </c>
      <c r="K456" s="19">
        <f t="shared" si="140"/>
        <v>0</v>
      </c>
      <c r="L456" s="19">
        <f t="shared" si="140"/>
        <v>0</v>
      </c>
      <c r="M456" s="19">
        <f t="shared" si="140"/>
        <v>0</v>
      </c>
      <c r="N456" s="19">
        <f t="shared" si="140"/>
        <v>0</v>
      </c>
      <c r="O456" s="19">
        <f t="shared" si="140"/>
        <v>0</v>
      </c>
      <c r="P456" s="19">
        <f t="shared" si="140"/>
        <v>100</v>
      </c>
      <c r="Q456" s="19">
        <f t="shared" si="140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100</v>
      </c>
      <c r="G457" s="37">
        <f t="shared" si="113"/>
        <v>100</v>
      </c>
      <c r="H457" s="37"/>
      <c r="I457" s="36"/>
      <c r="J457" s="36"/>
      <c r="K457" s="36"/>
      <c r="L457" s="36"/>
      <c r="M457" s="36"/>
      <c r="N457" s="36"/>
      <c r="O457" s="36"/>
      <c r="P457" s="36">
        <v>100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1">SUM(I458:Q458)</f>
        <v>0</v>
      </c>
      <c r="H458" s="19"/>
      <c r="I458" s="19">
        <f t="shared" ref="I458:Q458" si="142">I459+I461+I469</f>
        <v>0</v>
      </c>
      <c r="J458" s="19">
        <f t="shared" si="142"/>
        <v>0</v>
      </c>
      <c r="K458" s="19"/>
      <c r="L458" s="19">
        <f t="shared" si="142"/>
        <v>0</v>
      </c>
      <c r="M458" s="19"/>
      <c r="N458" s="19">
        <f t="shared" si="142"/>
        <v>0</v>
      </c>
      <c r="O458" s="19">
        <f t="shared" si="142"/>
        <v>0</v>
      </c>
      <c r="P458" s="19"/>
      <c r="Q458" s="19">
        <f t="shared" si="142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1"/>
        <v>0</v>
      </c>
      <c r="H459" s="19"/>
      <c r="I459" s="19">
        <f t="shared" ref="I459:Q459" si="143">I460</f>
        <v>0</v>
      </c>
      <c r="J459" s="19">
        <f t="shared" si="143"/>
        <v>0</v>
      </c>
      <c r="K459" s="19"/>
      <c r="L459" s="19">
        <f t="shared" si="143"/>
        <v>0</v>
      </c>
      <c r="M459" s="19"/>
      <c r="N459" s="19">
        <f t="shared" si="143"/>
        <v>0</v>
      </c>
      <c r="O459" s="19">
        <f t="shared" si="143"/>
        <v>0</v>
      </c>
      <c r="P459" s="19"/>
      <c r="Q459" s="19">
        <f t="shared" si="143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1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1"/>
        <v>0</v>
      </c>
      <c r="H461" s="19"/>
      <c r="I461" s="19">
        <f t="shared" ref="I461:Q461" si="144">SUM(I462:I468)</f>
        <v>0</v>
      </c>
      <c r="J461" s="19">
        <f t="shared" si="144"/>
        <v>0</v>
      </c>
      <c r="K461" s="19"/>
      <c r="L461" s="19">
        <f t="shared" si="144"/>
        <v>0</v>
      </c>
      <c r="M461" s="19"/>
      <c r="N461" s="19">
        <f t="shared" si="144"/>
        <v>0</v>
      </c>
      <c r="O461" s="19">
        <f t="shared" si="144"/>
        <v>0</v>
      </c>
      <c r="P461" s="19"/>
      <c r="Q461" s="19">
        <f t="shared" si="144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1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1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1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1"/>
        <v>0</v>
      </c>
      <c r="H469" s="19"/>
      <c r="I469" s="19">
        <f t="shared" ref="I469:Q469" si="145">I470</f>
        <v>0</v>
      </c>
      <c r="J469" s="19">
        <f t="shared" si="145"/>
        <v>0</v>
      </c>
      <c r="K469" s="19"/>
      <c r="L469" s="19">
        <f t="shared" si="145"/>
        <v>0</v>
      </c>
      <c r="M469" s="19"/>
      <c r="N469" s="19">
        <f t="shared" si="145"/>
        <v>0</v>
      </c>
      <c r="O469" s="19">
        <f t="shared" si="145"/>
        <v>0</v>
      </c>
      <c r="P469" s="19"/>
      <c r="Q469" s="19">
        <f t="shared" si="145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1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1"/>
        <v>0</v>
      </c>
      <c r="H471" s="19"/>
      <c r="I471" s="19">
        <f t="shared" ref="I471:Q472" si="146">I472</f>
        <v>0</v>
      </c>
      <c r="J471" s="19">
        <f t="shared" si="146"/>
        <v>0</v>
      </c>
      <c r="K471" s="19"/>
      <c r="L471" s="19">
        <f t="shared" si="146"/>
        <v>0</v>
      </c>
      <c r="M471" s="19"/>
      <c r="N471" s="19">
        <f t="shared" si="146"/>
        <v>0</v>
      </c>
      <c r="O471" s="19">
        <f t="shared" si="146"/>
        <v>0</v>
      </c>
      <c r="P471" s="19"/>
      <c r="Q471" s="19">
        <f t="shared" si="146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1"/>
        <v>0</v>
      </c>
      <c r="H472" s="19"/>
      <c r="I472" s="19">
        <f t="shared" si="146"/>
        <v>0</v>
      </c>
      <c r="J472" s="19">
        <f t="shared" si="146"/>
        <v>0</v>
      </c>
      <c r="K472" s="19"/>
      <c r="L472" s="19">
        <f t="shared" si="146"/>
        <v>0</v>
      </c>
      <c r="M472" s="19"/>
      <c r="N472" s="19">
        <f t="shared" si="146"/>
        <v>0</v>
      </c>
      <c r="O472" s="19">
        <f t="shared" si="146"/>
        <v>0</v>
      </c>
      <c r="P472" s="19"/>
      <c r="Q472" s="19">
        <f t="shared" si="146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1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1"/>
        <v>0</v>
      </c>
      <c r="H474" s="19"/>
      <c r="I474" s="19">
        <f t="shared" ref="I474:Q474" si="147">I475+I477+I479</f>
        <v>0</v>
      </c>
      <c r="J474" s="19">
        <f t="shared" si="147"/>
        <v>0</v>
      </c>
      <c r="K474" s="19"/>
      <c r="L474" s="19">
        <f t="shared" si="147"/>
        <v>0</v>
      </c>
      <c r="M474" s="19"/>
      <c r="N474" s="19">
        <f t="shared" si="147"/>
        <v>0</v>
      </c>
      <c r="O474" s="19">
        <f t="shared" si="147"/>
        <v>0</v>
      </c>
      <c r="P474" s="19"/>
      <c r="Q474" s="19">
        <f t="shared" si="147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1"/>
        <v>0</v>
      </c>
      <c r="H475" s="19"/>
      <c r="I475" s="19">
        <f t="shared" ref="I475:Q475" si="148">I476</f>
        <v>0</v>
      </c>
      <c r="J475" s="19">
        <f t="shared" si="148"/>
        <v>0</v>
      </c>
      <c r="K475" s="19"/>
      <c r="L475" s="19">
        <f t="shared" si="148"/>
        <v>0</v>
      </c>
      <c r="M475" s="19"/>
      <c r="N475" s="19">
        <f t="shared" si="148"/>
        <v>0</v>
      </c>
      <c r="O475" s="19">
        <f t="shared" si="148"/>
        <v>0</v>
      </c>
      <c r="P475" s="19"/>
      <c r="Q475" s="19">
        <f t="shared" si="148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1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1"/>
        <v>0</v>
      </c>
      <c r="H477" s="19"/>
      <c r="I477" s="19">
        <f t="shared" ref="I477:Q477" si="149">I478</f>
        <v>0</v>
      </c>
      <c r="J477" s="19">
        <f t="shared" si="149"/>
        <v>0</v>
      </c>
      <c r="K477" s="19"/>
      <c r="L477" s="19">
        <f t="shared" si="149"/>
        <v>0</v>
      </c>
      <c r="M477" s="19"/>
      <c r="N477" s="19">
        <f t="shared" si="149"/>
        <v>0</v>
      </c>
      <c r="O477" s="19">
        <f t="shared" si="149"/>
        <v>0</v>
      </c>
      <c r="P477" s="19"/>
      <c r="Q477" s="19">
        <f t="shared" si="149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1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1"/>
        <v>0</v>
      </c>
      <c r="H479" s="19"/>
      <c r="I479" s="19">
        <f t="shared" ref="I479:Q479" si="150">I480+I481</f>
        <v>0</v>
      </c>
      <c r="J479" s="19">
        <f t="shared" si="150"/>
        <v>0</v>
      </c>
      <c r="K479" s="19"/>
      <c r="L479" s="19">
        <f t="shared" si="150"/>
        <v>0</v>
      </c>
      <c r="M479" s="19"/>
      <c r="N479" s="19">
        <f t="shared" si="150"/>
        <v>0</v>
      </c>
      <c r="O479" s="19">
        <f t="shared" si="150"/>
        <v>0</v>
      </c>
      <c r="P479" s="19"/>
      <c r="Q479" s="19">
        <f t="shared" si="150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1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1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1"/>
        <v>0</v>
      </c>
      <c r="H482" s="19"/>
      <c r="I482" s="19">
        <f t="shared" ref="I482:Q483" si="151">I483</f>
        <v>0</v>
      </c>
      <c r="J482" s="19">
        <f t="shared" si="151"/>
        <v>0</v>
      </c>
      <c r="K482" s="19"/>
      <c r="L482" s="19">
        <f t="shared" si="151"/>
        <v>0</v>
      </c>
      <c r="M482" s="19"/>
      <c r="N482" s="19">
        <f t="shared" si="151"/>
        <v>0</v>
      </c>
      <c r="O482" s="19">
        <f t="shared" si="151"/>
        <v>0</v>
      </c>
      <c r="P482" s="19"/>
      <c r="Q482" s="19">
        <f t="shared" si="151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1"/>
        <v>0</v>
      </c>
      <c r="H483" s="19"/>
      <c r="I483" s="19">
        <f t="shared" si="151"/>
        <v>0</v>
      </c>
      <c r="J483" s="19">
        <f t="shared" si="151"/>
        <v>0</v>
      </c>
      <c r="K483" s="19"/>
      <c r="L483" s="19">
        <f t="shared" si="151"/>
        <v>0</v>
      </c>
      <c r="M483" s="19"/>
      <c r="N483" s="19">
        <f t="shared" si="151"/>
        <v>0</v>
      </c>
      <c r="O483" s="19">
        <f t="shared" si="151"/>
        <v>0</v>
      </c>
      <c r="P483" s="19"/>
      <c r="Q483" s="19">
        <f t="shared" si="151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1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1"/>
        <v>0</v>
      </c>
      <c r="H485" s="19"/>
      <c r="I485" s="19">
        <f t="shared" ref="I485:Q485" si="152">I486+I515</f>
        <v>0</v>
      </c>
      <c r="J485" s="19">
        <f t="shared" si="152"/>
        <v>0</v>
      </c>
      <c r="K485" s="19"/>
      <c r="L485" s="19">
        <f t="shared" si="152"/>
        <v>0</v>
      </c>
      <c r="M485" s="19"/>
      <c r="N485" s="19">
        <f t="shared" si="152"/>
        <v>0</v>
      </c>
      <c r="O485" s="19">
        <f t="shared" si="152"/>
        <v>0</v>
      </c>
      <c r="P485" s="19"/>
      <c r="Q485" s="19">
        <f t="shared" si="152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1"/>
        <v>0</v>
      </c>
      <c r="H486" s="19"/>
      <c r="I486" s="19">
        <f t="shared" ref="I486:Q486" si="153">I487+I501+I509+I511+I513</f>
        <v>0</v>
      </c>
      <c r="J486" s="19">
        <f t="shared" si="153"/>
        <v>0</v>
      </c>
      <c r="K486" s="19"/>
      <c r="L486" s="19">
        <f t="shared" si="153"/>
        <v>0</v>
      </c>
      <c r="M486" s="19"/>
      <c r="N486" s="19">
        <f t="shared" si="153"/>
        <v>0</v>
      </c>
      <c r="O486" s="19">
        <f t="shared" si="153"/>
        <v>0</v>
      </c>
      <c r="P486" s="19"/>
      <c r="Q486" s="19">
        <f t="shared" si="153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1"/>
        <v>0</v>
      </c>
      <c r="H487" s="19"/>
      <c r="I487" s="19">
        <f t="shared" ref="I487:Q487" si="154">SUM(I488:I500)</f>
        <v>0</v>
      </c>
      <c r="J487" s="19">
        <f t="shared" si="154"/>
        <v>0</v>
      </c>
      <c r="K487" s="19"/>
      <c r="L487" s="19">
        <f t="shared" si="154"/>
        <v>0</v>
      </c>
      <c r="M487" s="19"/>
      <c r="N487" s="19">
        <f t="shared" si="154"/>
        <v>0</v>
      </c>
      <c r="O487" s="19">
        <f t="shared" si="154"/>
        <v>0</v>
      </c>
      <c r="P487" s="19"/>
      <c r="Q487" s="19">
        <f t="shared" si="154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1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1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1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1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1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1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1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1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1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1"/>
        <v>0</v>
      </c>
      <c r="H501" s="19"/>
      <c r="I501" s="19">
        <f t="shared" ref="I501:Q501" si="155">SUM(I502:I508)</f>
        <v>0</v>
      </c>
      <c r="J501" s="19">
        <f t="shared" si="155"/>
        <v>0</v>
      </c>
      <c r="K501" s="19"/>
      <c r="L501" s="19">
        <f t="shared" si="155"/>
        <v>0</v>
      </c>
      <c r="M501" s="19"/>
      <c r="N501" s="19">
        <f t="shared" si="155"/>
        <v>0</v>
      </c>
      <c r="O501" s="19">
        <f t="shared" si="155"/>
        <v>0</v>
      </c>
      <c r="P501" s="19"/>
      <c r="Q501" s="19">
        <f t="shared" si="155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1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1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1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1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1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1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1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1"/>
        <v>0</v>
      </c>
      <c r="H509" s="19"/>
      <c r="I509" s="19">
        <f t="shared" ref="I509:Q509" si="156">I510</f>
        <v>0</v>
      </c>
      <c r="J509" s="19">
        <f t="shared" si="156"/>
        <v>0</v>
      </c>
      <c r="K509" s="19"/>
      <c r="L509" s="19">
        <f t="shared" si="156"/>
        <v>0</v>
      </c>
      <c r="M509" s="19"/>
      <c r="N509" s="19">
        <f t="shared" si="156"/>
        <v>0</v>
      </c>
      <c r="O509" s="19">
        <f t="shared" si="156"/>
        <v>0</v>
      </c>
      <c r="P509" s="19"/>
      <c r="Q509" s="19">
        <f t="shared" si="156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1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1"/>
        <v>0</v>
      </c>
      <c r="H511" s="19"/>
      <c r="I511" s="19">
        <f t="shared" ref="I511:Q513" si="157">I512</f>
        <v>0</v>
      </c>
      <c r="J511" s="19">
        <f t="shared" si="157"/>
        <v>0</v>
      </c>
      <c r="K511" s="19"/>
      <c r="L511" s="19">
        <f t="shared" si="157"/>
        <v>0</v>
      </c>
      <c r="M511" s="19"/>
      <c r="N511" s="19">
        <f t="shared" si="157"/>
        <v>0</v>
      </c>
      <c r="O511" s="19">
        <f t="shared" si="157"/>
        <v>0</v>
      </c>
      <c r="P511" s="19"/>
      <c r="Q511" s="19">
        <f t="shared" si="157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1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1"/>
        <v>0</v>
      </c>
      <c r="H513" s="19"/>
      <c r="I513" s="19">
        <f t="shared" si="157"/>
        <v>0</v>
      </c>
      <c r="J513" s="19">
        <f t="shared" si="157"/>
        <v>0</v>
      </c>
      <c r="K513" s="19"/>
      <c r="L513" s="19">
        <f t="shared" si="157"/>
        <v>0</v>
      </c>
      <c r="M513" s="19"/>
      <c r="N513" s="19">
        <f t="shared" si="157"/>
        <v>0</v>
      </c>
      <c r="O513" s="19">
        <f t="shared" si="157"/>
        <v>0</v>
      </c>
      <c r="P513" s="19"/>
      <c r="Q513" s="19">
        <f t="shared" si="157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1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1"/>
        <v>0</v>
      </c>
      <c r="H515" s="19"/>
      <c r="I515" s="19">
        <f t="shared" ref="I515:Q515" si="158">I516+I530+I539</f>
        <v>0</v>
      </c>
      <c r="J515" s="19">
        <f t="shared" si="158"/>
        <v>0</v>
      </c>
      <c r="K515" s="19"/>
      <c r="L515" s="19">
        <f t="shared" si="158"/>
        <v>0</v>
      </c>
      <c r="M515" s="19"/>
      <c r="N515" s="19">
        <f t="shared" si="158"/>
        <v>0</v>
      </c>
      <c r="O515" s="19">
        <f t="shared" si="158"/>
        <v>0</v>
      </c>
      <c r="P515" s="19"/>
      <c r="Q515" s="19">
        <f t="shared" si="158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1"/>
        <v>0</v>
      </c>
      <c r="H516" s="19"/>
      <c r="I516" s="19">
        <f t="shared" ref="I516:Q516" si="159">SUM(I517:I529)</f>
        <v>0</v>
      </c>
      <c r="J516" s="19">
        <f t="shared" si="159"/>
        <v>0</v>
      </c>
      <c r="K516" s="19"/>
      <c r="L516" s="19">
        <f t="shared" si="159"/>
        <v>0</v>
      </c>
      <c r="M516" s="19"/>
      <c r="N516" s="19">
        <f t="shared" si="159"/>
        <v>0</v>
      </c>
      <c r="O516" s="19">
        <f t="shared" si="159"/>
        <v>0</v>
      </c>
      <c r="P516" s="19"/>
      <c r="Q516" s="19">
        <f t="shared" si="159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1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1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1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1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1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1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1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1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1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1"/>
        <v>0</v>
      </c>
      <c r="H530" s="19"/>
      <c r="I530" s="19">
        <f t="shared" ref="I530:Q530" si="160">SUM(I531:I538)</f>
        <v>0</v>
      </c>
      <c r="J530" s="19">
        <f t="shared" si="160"/>
        <v>0</v>
      </c>
      <c r="K530" s="19"/>
      <c r="L530" s="19">
        <f t="shared" si="160"/>
        <v>0</v>
      </c>
      <c r="M530" s="19"/>
      <c r="N530" s="19">
        <f t="shared" si="160"/>
        <v>0</v>
      </c>
      <c r="O530" s="19">
        <f t="shared" si="160"/>
        <v>0</v>
      </c>
      <c r="P530" s="19"/>
      <c r="Q530" s="19">
        <f t="shared" si="160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1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1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1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1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1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1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1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1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1"/>
        <v>0</v>
      </c>
      <c r="H539" s="19"/>
      <c r="I539" s="19">
        <f t="shared" ref="I539:Q539" si="162">I540</f>
        <v>0</v>
      </c>
      <c r="J539" s="19">
        <f t="shared" si="162"/>
        <v>0</v>
      </c>
      <c r="K539" s="19"/>
      <c r="L539" s="19">
        <f t="shared" si="162"/>
        <v>0</v>
      </c>
      <c r="M539" s="19"/>
      <c r="N539" s="19">
        <f t="shared" si="162"/>
        <v>0</v>
      </c>
      <c r="O539" s="19">
        <f t="shared" si="162"/>
        <v>0</v>
      </c>
      <c r="P539" s="19"/>
      <c r="Q539" s="19">
        <f t="shared" si="162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1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3">E219+E485</f>
        <v>1500538</v>
      </c>
      <c r="F541" s="19">
        <f t="shared" si="163"/>
        <v>1517748</v>
      </c>
      <c r="G541" s="19">
        <f t="shared" si="163"/>
        <v>1428226</v>
      </c>
      <c r="H541" s="19">
        <f t="shared" si="163"/>
        <v>25518</v>
      </c>
      <c r="I541" s="19">
        <f t="shared" si="163"/>
        <v>17657</v>
      </c>
      <c r="J541" s="19">
        <f t="shared" si="163"/>
        <v>0</v>
      </c>
      <c r="K541" s="19">
        <f t="shared" si="163"/>
        <v>1000</v>
      </c>
      <c r="L541" s="19">
        <f t="shared" si="163"/>
        <v>1273</v>
      </c>
      <c r="M541" s="19">
        <f t="shared" si="163"/>
        <v>1474189</v>
      </c>
      <c r="N541" s="19">
        <f t="shared" si="163"/>
        <v>1398024</v>
      </c>
      <c r="O541" s="19">
        <f t="shared" si="163"/>
        <v>0</v>
      </c>
      <c r="P541" s="19">
        <f t="shared" si="163"/>
        <v>17041</v>
      </c>
      <c r="Q541" s="19">
        <f t="shared" si="163"/>
        <v>11162</v>
      </c>
    </row>
  </sheetData>
  <mergeCells count="186"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</mergeCells>
  <dataValidations count="1">
    <dataValidation type="whole" allowBlank="1" showErrorMessage="1" errorTitle="Upozorenje" error="Niste uneli korektnu vrednost!_x000a_Ponovite unos." sqref="E495:Q517 F74:F154 E15:Q42 E47:Q69 E159:Q180 E185:Q202 E207:Q211 E6:Q10 E74:E99 G74:Q99 G122:Q127 G132:Q154 E132:E154 E274:Q318 E238:Q269 E219:Q233 E522:Q541 E404:Q427 E323:Q348 E353:Q374 E379:Q399 E467:Q490 G104:Q119 G120:M121 E104:E127 E432:G462 I432:Q462 H432:H443 H445:H462">
      <formula1>0</formula1>
      <formula2>999999999</formula2>
    </dataValidation>
  </dataValidations>
  <pageMargins left="0.16" right="0.21" top="0.72" bottom="0.75" header="0.24" footer="0.56999999999999995"/>
  <pageSetup paperSize="9" orientation="portrait" verticalDpi="4294967295" r:id="rId1"/>
  <headerFooter>
    <oddHeader>&amp;CФИНАНСИЈСКИ ПЛАН ОПШТЕ БОЛНИЦЕ ПИРОТ ЗА 2022. ГОДИНУ</oddHead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</sheetPr>
  <dimension ref="A1:V541"/>
  <sheetViews>
    <sheetView workbookViewId="0">
      <selection activeCell="W86" sqref="W1:W1048576"/>
    </sheetView>
  </sheetViews>
  <sheetFormatPr defaultRowHeight="15" x14ac:dyDescent="0.25"/>
  <cols>
    <col min="1" max="1" width="4.85546875" style="12" customWidth="1"/>
    <col min="2" max="2" width="9" style="12" customWidth="1"/>
    <col min="3" max="3" width="28.42578125" style="12" customWidth="1"/>
    <col min="4" max="4" width="3.28515625" style="12" customWidth="1"/>
    <col min="5" max="5" width="8.7109375" style="12" hidden="1" customWidth="1"/>
    <col min="6" max="6" width="9" style="12" customWidth="1"/>
    <col min="7" max="7" width="0" style="12" hidden="1" customWidth="1"/>
    <col min="8" max="8" width="9.7109375" style="12" customWidth="1"/>
    <col min="9" max="9" width="7.5703125" style="12" hidden="1" customWidth="1"/>
    <col min="10" max="10" width="0" style="12" hidden="1" customWidth="1"/>
    <col min="11" max="11" width="7.28515625" style="12" customWidth="1"/>
    <col min="12" max="12" width="6.28515625" style="12" hidden="1" customWidth="1"/>
    <col min="13" max="13" width="10.28515625" style="12" customWidth="1"/>
    <col min="14" max="14" width="0" style="12" hidden="1" customWidth="1"/>
    <col min="15" max="15" width="0.5703125" style="12" hidden="1" customWidth="1"/>
    <col min="16" max="16" width="10.5703125" style="12" customWidth="1"/>
    <col min="17" max="17" width="7.85546875" style="12" hidden="1" customWidth="1"/>
    <col min="18" max="22" width="0" style="12" hidden="1" customWidth="1"/>
    <col min="23" max="16384" width="9.140625" style="12"/>
  </cols>
  <sheetData>
    <row r="1" spans="1:17" ht="33.75" customHeight="1" thickBot="1" x14ac:dyDescent="0.3">
      <c r="A1" s="13" t="s">
        <v>507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</row>
    <row r="2" spans="1:17" ht="15" customHeight="1" thickBot="1" x14ac:dyDescent="0.3">
      <c r="A2" s="567" t="s">
        <v>0</v>
      </c>
      <c r="B2" s="569" t="s">
        <v>1</v>
      </c>
      <c r="C2" s="569" t="s">
        <v>2</v>
      </c>
      <c r="D2" s="540"/>
      <c r="E2" s="571" t="s">
        <v>3</v>
      </c>
      <c r="F2" s="564" t="s">
        <v>3</v>
      </c>
      <c r="G2" s="565"/>
      <c r="H2" s="565"/>
      <c r="I2" s="565"/>
      <c r="J2" s="565"/>
      <c r="K2" s="565"/>
      <c r="L2" s="565"/>
      <c r="M2" s="565"/>
      <c r="N2" s="565"/>
      <c r="O2" s="565"/>
      <c r="P2" s="565"/>
      <c r="Q2" s="566"/>
    </row>
    <row r="3" spans="1:17" ht="29.25" customHeight="1" x14ac:dyDescent="0.25">
      <c r="A3" s="568"/>
      <c r="B3" s="544"/>
      <c r="C3" s="570"/>
      <c r="D3" s="561"/>
      <c r="E3" s="544"/>
      <c r="F3" s="540" t="s">
        <v>510</v>
      </c>
      <c r="G3" s="562" t="s">
        <v>5</v>
      </c>
      <c r="H3" s="537" t="s">
        <v>6</v>
      </c>
      <c r="I3" s="538"/>
      <c r="J3" s="538"/>
      <c r="K3" s="538"/>
      <c r="L3" s="538"/>
      <c r="M3" s="538"/>
      <c r="N3" s="539"/>
      <c r="O3" s="541" t="s">
        <v>7</v>
      </c>
      <c r="P3" s="541" t="s">
        <v>8</v>
      </c>
      <c r="Q3" s="563" t="s">
        <v>8</v>
      </c>
    </row>
    <row r="4" spans="1:17" ht="39" x14ac:dyDescent="0.25">
      <c r="A4" s="568"/>
      <c r="B4" s="544"/>
      <c r="C4" s="570"/>
      <c r="D4" s="541"/>
      <c r="E4" s="544"/>
      <c r="F4" s="541"/>
      <c r="G4" s="548"/>
      <c r="H4" s="75" t="s">
        <v>9</v>
      </c>
      <c r="I4" s="476" t="s">
        <v>9</v>
      </c>
      <c r="J4" s="476" t="s">
        <v>9</v>
      </c>
      <c r="K4" s="476" t="s">
        <v>11</v>
      </c>
      <c r="L4" s="476" t="s">
        <v>11</v>
      </c>
      <c r="M4" s="476" t="s">
        <v>12</v>
      </c>
      <c r="N4" s="476" t="s">
        <v>12</v>
      </c>
      <c r="O4" s="544"/>
      <c r="P4" s="544"/>
      <c r="Q4" s="547"/>
    </row>
    <row r="5" spans="1:17" x14ac:dyDescent="0.25">
      <c r="A5" s="484">
        <v>1</v>
      </c>
      <c r="B5" s="476">
        <v>2</v>
      </c>
      <c r="C5" s="476">
        <v>3</v>
      </c>
      <c r="D5" s="476"/>
      <c r="E5" s="476">
        <v>4</v>
      </c>
      <c r="F5" s="476">
        <v>4</v>
      </c>
      <c r="G5" s="476">
        <v>4</v>
      </c>
      <c r="H5" s="476">
        <v>5</v>
      </c>
      <c r="I5" s="476">
        <v>5</v>
      </c>
      <c r="J5" s="476">
        <v>7</v>
      </c>
      <c r="K5" s="476">
        <v>6</v>
      </c>
      <c r="L5" s="476">
        <v>6</v>
      </c>
      <c r="M5" s="476">
        <v>7</v>
      </c>
      <c r="N5" s="476">
        <v>7</v>
      </c>
      <c r="O5" s="476">
        <v>10</v>
      </c>
      <c r="P5" s="476">
        <v>8</v>
      </c>
      <c r="Q5" s="478">
        <v>8</v>
      </c>
    </row>
    <row r="6" spans="1:17" ht="42" customHeight="1" x14ac:dyDescent="0.25">
      <c r="A6" s="17">
        <v>5001</v>
      </c>
      <c r="B6" s="476"/>
      <c r="C6" s="18" t="s">
        <v>13</v>
      </c>
      <c r="D6" s="18"/>
      <c r="E6" s="19">
        <f>E7+E133</f>
        <v>1500538</v>
      </c>
      <c r="F6" s="19">
        <f>F7+F133</f>
        <v>1522451</v>
      </c>
      <c r="G6" s="19">
        <f t="shared" ref="G6:Q6" si="0">G7+G133</f>
        <v>2905642</v>
      </c>
      <c r="H6" s="19">
        <f t="shared" si="0"/>
        <v>24480</v>
      </c>
      <c r="I6" s="19">
        <f t="shared" si="0"/>
        <v>18738</v>
      </c>
      <c r="J6" s="19">
        <f t="shared" si="0"/>
        <v>0</v>
      </c>
      <c r="K6" s="19">
        <f t="shared" si="0"/>
        <v>8447</v>
      </c>
      <c r="L6" s="19">
        <f t="shared" si="0"/>
        <v>505</v>
      </c>
      <c r="M6" s="19">
        <f t="shared" si="0"/>
        <v>1476669</v>
      </c>
      <c r="N6" s="19">
        <f t="shared" si="0"/>
        <v>1398192</v>
      </c>
      <c r="O6" s="19">
        <f t="shared" si="0"/>
        <v>0</v>
      </c>
      <c r="P6" s="19">
        <f t="shared" si="0"/>
        <v>12855</v>
      </c>
      <c r="Q6" s="67">
        <f t="shared" si="0"/>
        <v>12669</v>
      </c>
    </row>
    <row r="7" spans="1:17" ht="39" x14ac:dyDescent="0.25">
      <c r="A7" s="17">
        <v>5002</v>
      </c>
      <c r="B7" s="476">
        <v>700000</v>
      </c>
      <c r="C7" s="18" t="s">
        <v>14</v>
      </c>
      <c r="D7" s="18"/>
      <c r="E7" s="19">
        <f>E8+E60+E74+E86+E115+E122+E126</f>
        <v>1500338</v>
      </c>
      <c r="F7" s="20">
        <f>F86+F122+F126</f>
        <v>1522196</v>
      </c>
      <c r="G7" s="19">
        <f>G8+G60+G74+G86+G115+G122+G126</f>
        <v>2905458</v>
      </c>
      <c r="H7" s="19">
        <f t="shared" ref="H7:Q7" si="1">H8+H60+H74+H86+H115+H122+H126</f>
        <v>24480</v>
      </c>
      <c r="I7" s="19">
        <f t="shared" si="1"/>
        <v>18738</v>
      </c>
      <c r="J7" s="19">
        <f t="shared" si="1"/>
        <v>0</v>
      </c>
      <c r="K7" s="19">
        <f t="shared" si="1"/>
        <v>8447</v>
      </c>
      <c r="L7" s="19">
        <f t="shared" si="1"/>
        <v>505</v>
      </c>
      <c r="M7" s="19">
        <f t="shared" si="1"/>
        <v>1476669</v>
      </c>
      <c r="N7" s="19">
        <f t="shared" si="1"/>
        <v>1398192</v>
      </c>
      <c r="O7" s="19">
        <f t="shared" si="1"/>
        <v>0</v>
      </c>
      <c r="P7" s="19">
        <f t="shared" si="1"/>
        <v>12600</v>
      </c>
      <c r="Q7" s="67">
        <f t="shared" si="1"/>
        <v>12485</v>
      </c>
    </row>
    <row r="8" spans="1:17" ht="39" hidden="1" customHeight="1" x14ac:dyDescent="0.25">
      <c r="A8" s="484">
        <v>5003</v>
      </c>
      <c r="B8" s="476">
        <v>710000</v>
      </c>
      <c r="C8" s="18" t="s">
        <v>15</v>
      </c>
      <c r="D8" s="18"/>
      <c r="E8" s="21">
        <f>E9+E17+E19+E26+E32+E39+E42+E53</f>
        <v>0</v>
      </c>
      <c r="F8" s="21"/>
      <c r="G8" s="21">
        <f t="shared" ref="G8:G41" si="2">SUM(I8:Q8)</f>
        <v>0</v>
      </c>
      <c r="H8" s="21"/>
      <c r="I8" s="21">
        <f t="shared" ref="I8:Q8" si="3">I9+I17+I19+I26+I32+I39+I42+I53</f>
        <v>0</v>
      </c>
      <c r="J8" s="21">
        <f t="shared" si="3"/>
        <v>0</v>
      </c>
      <c r="K8" s="21"/>
      <c r="L8" s="21">
        <f t="shared" si="3"/>
        <v>0</v>
      </c>
      <c r="M8" s="21"/>
      <c r="N8" s="21">
        <f t="shared" si="3"/>
        <v>0</v>
      </c>
      <c r="O8" s="21">
        <f t="shared" si="3"/>
        <v>0</v>
      </c>
      <c r="P8" s="21"/>
      <c r="Q8" s="68">
        <f t="shared" si="3"/>
        <v>0</v>
      </c>
    </row>
    <row r="9" spans="1:17" ht="39" hidden="1" customHeight="1" x14ac:dyDescent="0.25">
      <c r="A9" s="484">
        <v>5004</v>
      </c>
      <c r="B9" s="476">
        <v>711000</v>
      </c>
      <c r="C9" s="18" t="s">
        <v>16</v>
      </c>
      <c r="D9" s="18"/>
      <c r="E9" s="21">
        <f>SUM(E10:E16)</f>
        <v>0</v>
      </c>
      <c r="F9" s="21"/>
      <c r="G9" s="21">
        <f t="shared" si="2"/>
        <v>0</v>
      </c>
      <c r="H9" s="21"/>
      <c r="I9" s="21">
        <f t="shared" ref="I9:Q9" si="4">SUM(I10:I16)</f>
        <v>0</v>
      </c>
      <c r="J9" s="21">
        <f t="shared" si="4"/>
        <v>0</v>
      </c>
      <c r="K9" s="21"/>
      <c r="L9" s="21">
        <f t="shared" si="4"/>
        <v>0</v>
      </c>
      <c r="M9" s="21"/>
      <c r="N9" s="21">
        <f t="shared" si="4"/>
        <v>0</v>
      </c>
      <c r="O9" s="21">
        <f t="shared" si="4"/>
        <v>0</v>
      </c>
      <c r="P9" s="21"/>
      <c r="Q9" s="68">
        <f t="shared" si="4"/>
        <v>0</v>
      </c>
    </row>
    <row r="10" spans="1:17" ht="39" hidden="1" customHeight="1" x14ac:dyDescent="0.25">
      <c r="A10" s="22">
        <v>5005</v>
      </c>
      <c r="B10" s="23">
        <v>711100</v>
      </c>
      <c r="C10" s="9" t="s">
        <v>17</v>
      </c>
      <c r="D10" s="24"/>
      <c r="E10" s="25"/>
      <c r="F10" s="26"/>
      <c r="G10" s="26">
        <f t="shared" si="2"/>
        <v>0</v>
      </c>
      <c r="H10" s="26"/>
      <c r="I10" s="26"/>
      <c r="J10" s="26"/>
      <c r="K10" s="26"/>
      <c r="L10" s="26"/>
      <c r="M10" s="26"/>
      <c r="N10" s="26"/>
      <c r="O10" s="26"/>
      <c r="P10" s="26"/>
      <c r="Q10" s="69"/>
    </row>
    <row r="11" spans="1:17" ht="24" hidden="1" customHeight="1" x14ac:dyDescent="0.25">
      <c r="A11" s="551" t="s">
        <v>0</v>
      </c>
      <c r="B11" s="554" t="s">
        <v>1</v>
      </c>
      <c r="C11" s="557" t="s">
        <v>2</v>
      </c>
      <c r="D11" s="481"/>
      <c r="E11" s="560" t="s">
        <v>3</v>
      </c>
      <c r="F11" s="476"/>
      <c r="G11" s="544" t="s">
        <v>4</v>
      </c>
      <c r="H11" s="544"/>
      <c r="I11" s="544"/>
      <c r="J11" s="544"/>
      <c r="K11" s="544"/>
      <c r="L11" s="544"/>
      <c r="M11" s="544"/>
      <c r="N11" s="544"/>
      <c r="O11" s="544"/>
      <c r="P11" s="544"/>
      <c r="Q11" s="547"/>
    </row>
    <row r="12" spans="1:17" ht="24" hidden="1" customHeight="1" x14ac:dyDescent="0.25">
      <c r="A12" s="552"/>
      <c r="B12" s="555"/>
      <c r="C12" s="558"/>
      <c r="D12" s="482"/>
      <c r="E12" s="561"/>
      <c r="F12" s="476"/>
      <c r="G12" s="548" t="s">
        <v>5</v>
      </c>
      <c r="H12" s="479"/>
      <c r="I12" s="544" t="s">
        <v>6</v>
      </c>
      <c r="J12" s="544"/>
      <c r="K12" s="544"/>
      <c r="L12" s="544"/>
      <c r="M12" s="544"/>
      <c r="N12" s="544"/>
      <c r="O12" s="544" t="s">
        <v>7</v>
      </c>
      <c r="P12" s="476"/>
      <c r="Q12" s="547" t="s">
        <v>8</v>
      </c>
    </row>
    <row r="13" spans="1:17" ht="39" hidden="1" customHeight="1" x14ac:dyDescent="0.25">
      <c r="A13" s="553"/>
      <c r="B13" s="556"/>
      <c r="C13" s="559"/>
      <c r="D13" s="483"/>
      <c r="E13" s="541"/>
      <c r="F13" s="476"/>
      <c r="G13" s="548"/>
      <c r="H13" s="479"/>
      <c r="I13" s="476" t="s">
        <v>9</v>
      </c>
      <c r="J13" s="476" t="s">
        <v>10</v>
      </c>
      <c r="K13" s="476"/>
      <c r="L13" s="476" t="s">
        <v>11</v>
      </c>
      <c r="M13" s="476"/>
      <c r="N13" s="476" t="s">
        <v>12</v>
      </c>
      <c r="O13" s="544"/>
      <c r="P13" s="476"/>
      <c r="Q13" s="547"/>
    </row>
    <row r="14" spans="1:17" ht="26.25" hidden="1" customHeight="1" x14ac:dyDescent="0.25">
      <c r="A14" s="31" t="s">
        <v>18</v>
      </c>
      <c r="B14" s="475" t="s">
        <v>19</v>
      </c>
      <c r="C14" s="475" t="s">
        <v>20</v>
      </c>
      <c r="D14" s="475"/>
      <c r="E14" s="33" t="s">
        <v>21</v>
      </c>
      <c r="F14" s="33"/>
      <c r="G14" s="33" t="s">
        <v>22</v>
      </c>
      <c r="H14" s="33"/>
      <c r="I14" s="33" t="s">
        <v>23</v>
      </c>
      <c r="J14" s="33" t="s">
        <v>24</v>
      </c>
      <c r="K14" s="33"/>
      <c r="L14" s="33" t="s">
        <v>25</v>
      </c>
      <c r="M14" s="33"/>
      <c r="N14" s="33" t="s">
        <v>26</v>
      </c>
      <c r="O14" s="33" t="s">
        <v>27</v>
      </c>
      <c r="P14" s="33"/>
      <c r="Q14" s="70" t="s">
        <v>28</v>
      </c>
    </row>
    <row r="15" spans="1:17" ht="39" hidden="1" customHeight="1" x14ac:dyDescent="0.25">
      <c r="A15" s="22">
        <v>5006</v>
      </c>
      <c r="B15" s="23">
        <v>711200</v>
      </c>
      <c r="C15" s="9" t="s">
        <v>29</v>
      </c>
      <c r="D15" s="9"/>
      <c r="E15" s="26"/>
      <c r="F15" s="26"/>
      <c r="G15" s="26">
        <f t="shared" si="2"/>
        <v>0</v>
      </c>
      <c r="H15" s="26"/>
      <c r="I15" s="26"/>
      <c r="J15" s="26"/>
      <c r="K15" s="26"/>
      <c r="L15" s="26"/>
      <c r="M15" s="26"/>
      <c r="N15" s="26"/>
      <c r="O15" s="26"/>
      <c r="P15" s="26"/>
      <c r="Q15" s="69"/>
    </row>
    <row r="16" spans="1:17" ht="51.75" hidden="1" customHeight="1" x14ac:dyDescent="0.25">
      <c r="A16" s="22">
        <v>5007</v>
      </c>
      <c r="B16" s="23">
        <v>711300</v>
      </c>
      <c r="C16" s="9" t="s">
        <v>30</v>
      </c>
      <c r="D16" s="9"/>
      <c r="E16" s="26"/>
      <c r="F16" s="26"/>
      <c r="G16" s="26">
        <f t="shared" si="2"/>
        <v>0</v>
      </c>
      <c r="H16" s="26"/>
      <c r="I16" s="26"/>
      <c r="J16" s="26"/>
      <c r="K16" s="26"/>
      <c r="L16" s="26"/>
      <c r="M16" s="26"/>
      <c r="N16" s="26"/>
      <c r="O16" s="26"/>
      <c r="P16" s="26"/>
      <c r="Q16" s="69"/>
    </row>
    <row r="17" spans="1:17" ht="26.25" hidden="1" customHeight="1" x14ac:dyDescent="0.25">
      <c r="A17" s="484">
        <v>5008</v>
      </c>
      <c r="B17" s="476">
        <v>712000</v>
      </c>
      <c r="C17" s="18" t="s">
        <v>31</v>
      </c>
      <c r="D17" s="18"/>
      <c r="E17" s="21">
        <f>E18</f>
        <v>0</v>
      </c>
      <c r="F17" s="21"/>
      <c r="G17" s="21">
        <f t="shared" si="2"/>
        <v>0</v>
      </c>
      <c r="H17" s="21"/>
      <c r="I17" s="21">
        <f t="shared" ref="I17:Q17" si="5">I18</f>
        <v>0</v>
      </c>
      <c r="J17" s="21">
        <f t="shared" si="5"/>
        <v>0</v>
      </c>
      <c r="K17" s="21"/>
      <c r="L17" s="21">
        <f t="shared" si="5"/>
        <v>0</v>
      </c>
      <c r="M17" s="21"/>
      <c r="N17" s="21">
        <f t="shared" si="5"/>
        <v>0</v>
      </c>
      <c r="O17" s="21">
        <f t="shared" si="5"/>
        <v>0</v>
      </c>
      <c r="P17" s="21"/>
      <c r="Q17" s="68">
        <f t="shared" si="5"/>
        <v>0</v>
      </c>
    </row>
    <row r="18" spans="1:17" ht="15" hidden="1" customHeight="1" x14ac:dyDescent="0.25">
      <c r="A18" s="22">
        <v>5009</v>
      </c>
      <c r="B18" s="23">
        <v>712100</v>
      </c>
      <c r="C18" s="9" t="s">
        <v>32</v>
      </c>
      <c r="D18" s="9"/>
      <c r="E18" s="26"/>
      <c r="F18" s="26"/>
      <c r="G18" s="26">
        <f t="shared" si="2"/>
        <v>0</v>
      </c>
      <c r="H18" s="26"/>
      <c r="I18" s="26"/>
      <c r="J18" s="26"/>
      <c r="K18" s="26"/>
      <c r="L18" s="26"/>
      <c r="M18" s="26"/>
      <c r="N18" s="26"/>
      <c r="O18" s="26"/>
      <c r="P18" s="26"/>
      <c r="Q18" s="69"/>
    </row>
    <row r="19" spans="1:17" ht="26.25" hidden="1" customHeight="1" x14ac:dyDescent="0.25">
      <c r="A19" s="484">
        <v>5010</v>
      </c>
      <c r="B19" s="476">
        <v>713000</v>
      </c>
      <c r="C19" s="18" t="s">
        <v>33</v>
      </c>
      <c r="D19" s="18"/>
      <c r="E19" s="21">
        <f>SUM(E20:E25)</f>
        <v>0</v>
      </c>
      <c r="F19" s="21"/>
      <c r="G19" s="21">
        <f t="shared" si="2"/>
        <v>0</v>
      </c>
      <c r="H19" s="21"/>
      <c r="I19" s="21">
        <f t="shared" ref="I19:Q19" si="6">SUM(I20:I25)</f>
        <v>0</v>
      </c>
      <c r="J19" s="21">
        <f t="shared" si="6"/>
        <v>0</v>
      </c>
      <c r="K19" s="21"/>
      <c r="L19" s="21">
        <f t="shared" si="6"/>
        <v>0</v>
      </c>
      <c r="M19" s="21"/>
      <c r="N19" s="21">
        <f t="shared" si="6"/>
        <v>0</v>
      </c>
      <c r="O19" s="21">
        <f t="shared" si="6"/>
        <v>0</v>
      </c>
      <c r="P19" s="21"/>
      <c r="Q19" s="68">
        <f t="shared" si="6"/>
        <v>0</v>
      </c>
    </row>
    <row r="20" spans="1:17" ht="26.25" hidden="1" customHeight="1" x14ac:dyDescent="0.25">
      <c r="A20" s="22">
        <v>5011</v>
      </c>
      <c r="B20" s="23">
        <v>713100</v>
      </c>
      <c r="C20" s="9" t="s">
        <v>34</v>
      </c>
      <c r="D20" s="9"/>
      <c r="E20" s="26"/>
      <c r="F20" s="26"/>
      <c r="G20" s="26">
        <f t="shared" si="2"/>
        <v>0</v>
      </c>
      <c r="H20" s="26"/>
      <c r="I20" s="26"/>
      <c r="J20" s="26"/>
      <c r="K20" s="26"/>
      <c r="L20" s="26"/>
      <c r="M20" s="26"/>
      <c r="N20" s="26"/>
      <c r="O20" s="26"/>
      <c r="P20" s="26"/>
      <c r="Q20" s="69"/>
    </row>
    <row r="21" spans="1:17" ht="26.25" hidden="1" customHeight="1" x14ac:dyDescent="0.25">
      <c r="A21" s="22">
        <v>5012</v>
      </c>
      <c r="B21" s="23">
        <v>713200</v>
      </c>
      <c r="C21" s="9" t="s">
        <v>35</v>
      </c>
      <c r="D21" s="9"/>
      <c r="E21" s="26"/>
      <c r="F21" s="26"/>
      <c r="G21" s="26">
        <f t="shared" si="2"/>
        <v>0</v>
      </c>
      <c r="H21" s="26"/>
      <c r="I21" s="26"/>
      <c r="J21" s="26"/>
      <c r="K21" s="26"/>
      <c r="L21" s="26"/>
      <c r="M21" s="26"/>
      <c r="N21" s="26"/>
      <c r="O21" s="26"/>
      <c r="P21" s="26"/>
      <c r="Q21" s="69"/>
    </row>
    <row r="22" spans="1:17" ht="26.25" hidden="1" customHeight="1" x14ac:dyDescent="0.25">
      <c r="A22" s="22">
        <v>5013</v>
      </c>
      <c r="B22" s="23">
        <v>713300</v>
      </c>
      <c r="C22" s="9" t="s">
        <v>36</v>
      </c>
      <c r="D22" s="9"/>
      <c r="E22" s="26"/>
      <c r="F22" s="26"/>
      <c r="G22" s="26">
        <f t="shared" si="2"/>
        <v>0</v>
      </c>
      <c r="H22" s="26"/>
      <c r="I22" s="26"/>
      <c r="J22" s="26"/>
      <c r="K22" s="26"/>
      <c r="L22" s="26"/>
      <c r="M22" s="26"/>
      <c r="N22" s="26"/>
      <c r="O22" s="26"/>
      <c r="P22" s="26"/>
      <c r="Q22" s="69"/>
    </row>
    <row r="23" spans="1:17" ht="26.25" hidden="1" customHeight="1" x14ac:dyDescent="0.25">
      <c r="A23" s="22">
        <v>5014</v>
      </c>
      <c r="B23" s="23">
        <v>713400</v>
      </c>
      <c r="C23" s="9" t="s">
        <v>37</v>
      </c>
      <c r="D23" s="9"/>
      <c r="E23" s="26"/>
      <c r="F23" s="26"/>
      <c r="G23" s="26">
        <f t="shared" si="2"/>
        <v>0</v>
      </c>
      <c r="H23" s="26"/>
      <c r="I23" s="26"/>
      <c r="J23" s="26"/>
      <c r="K23" s="26"/>
      <c r="L23" s="26"/>
      <c r="M23" s="26"/>
      <c r="N23" s="26"/>
      <c r="O23" s="26"/>
      <c r="P23" s="26"/>
      <c r="Q23" s="69"/>
    </row>
    <row r="24" spans="1:17" ht="26.25" hidden="1" customHeight="1" x14ac:dyDescent="0.25">
      <c r="A24" s="22">
        <v>5015</v>
      </c>
      <c r="B24" s="23">
        <v>713500</v>
      </c>
      <c r="C24" s="9" t="s">
        <v>38</v>
      </c>
      <c r="D24" s="9"/>
      <c r="E24" s="26"/>
      <c r="F24" s="26"/>
      <c r="G24" s="26">
        <f t="shared" si="2"/>
        <v>0</v>
      </c>
      <c r="H24" s="26"/>
      <c r="I24" s="26"/>
      <c r="J24" s="26"/>
      <c r="K24" s="26"/>
      <c r="L24" s="26"/>
      <c r="M24" s="26"/>
      <c r="N24" s="26"/>
      <c r="O24" s="26"/>
      <c r="P24" s="26"/>
      <c r="Q24" s="69"/>
    </row>
    <row r="25" spans="1:17" ht="26.25" hidden="1" customHeight="1" x14ac:dyDescent="0.25">
      <c r="A25" s="22">
        <v>5016</v>
      </c>
      <c r="B25" s="23">
        <v>713600</v>
      </c>
      <c r="C25" s="9" t="s">
        <v>39</v>
      </c>
      <c r="D25" s="9"/>
      <c r="E25" s="21"/>
      <c r="F25" s="21"/>
      <c r="G25" s="26">
        <f t="shared" si="2"/>
        <v>0</v>
      </c>
      <c r="H25" s="26"/>
      <c r="I25" s="21"/>
      <c r="J25" s="21"/>
      <c r="K25" s="21"/>
      <c r="L25" s="21"/>
      <c r="M25" s="21"/>
      <c r="N25" s="21"/>
      <c r="O25" s="21"/>
      <c r="P25" s="21"/>
      <c r="Q25" s="68"/>
    </row>
    <row r="26" spans="1:17" ht="26.25" hidden="1" customHeight="1" x14ac:dyDescent="0.25">
      <c r="A26" s="484">
        <v>5017</v>
      </c>
      <c r="B26" s="476">
        <v>714000</v>
      </c>
      <c r="C26" s="18" t="s">
        <v>40</v>
      </c>
      <c r="D26" s="18"/>
      <c r="E26" s="21">
        <f>SUM(E27:E31)</f>
        <v>0</v>
      </c>
      <c r="F26" s="21"/>
      <c r="G26" s="21">
        <f t="shared" si="2"/>
        <v>0</v>
      </c>
      <c r="H26" s="21"/>
      <c r="I26" s="21">
        <f t="shared" ref="I26:Q26" si="7">SUM(I27:I31)</f>
        <v>0</v>
      </c>
      <c r="J26" s="21">
        <f t="shared" si="7"/>
        <v>0</v>
      </c>
      <c r="K26" s="21"/>
      <c r="L26" s="21">
        <f t="shared" si="7"/>
        <v>0</v>
      </c>
      <c r="M26" s="21"/>
      <c r="N26" s="21">
        <f t="shared" si="7"/>
        <v>0</v>
      </c>
      <c r="O26" s="21">
        <f t="shared" si="7"/>
        <v>0</v>
      </c>
      <c r="P26" s="21"/>
      <c r="Q26" s="68">
        <f t="shared" si="7"/>
        <v>0</v>
      </c>
    </row>
    <row r="27" spans="1:17" ht="15" hidden="1" customHeight="1" x14ac:dyDescent="0.25">
      <c r="A27" s="22">
        <v>5018</v>
      </c>
      <c r="B27" s="23">
        <v>714100</v>
      </c>
      <c r="C27" s="9" t="s">
        <v>41</v>
      </c>
      <c r="D27" s="9"/>
      <c r="E27" s="26"/>
      <c r="F27" s="26"/>
      <c r="G27" s="26">
        <f t="shared" si="2"/>
        <v>0</v>
      </c>
      <c r="H27" s="26"/>
      <c r="I27" s="26"/>
      <c r="J27" s="26"/>
      <c r="K27" s="26"/>
      <c r="L27" s="26"/>
      <c r="M27" s="26"/>
      <c r="N27" s="26"/>
      <c r="O27" s="26"/>
      <c r="P27" s="26"/>
      <c r="Q27" s="69"/>
    </row>
    <row r="28" spans="1:17" ht="15" hidden="1" customHeight="1" x14ac:dyDescent="0.25">
      <c r="A28" s="22">
        <v>5019</v>
      </c>
      <c r="B28" s="23">
        <v>714300</v>
      </c>
      <c r="C28" s="9" t="s">
        <v>42</v>
      </c>
      <c r="D28" s="9"/>
      <c r="E28" s="26"/>
      <c r="F28" s="26"/>
      <c r="G28" s="26">
        <f t="shared" si="2"/>
        <v>0</v>
      </c>
      <c r="H28" s="26"/>
      <c r="I28" s="26"/>
      <c r="J28" s="26"/>
      <c r="K28" s="26"/>
      <c r="L28" s="26"/>
      <c r="M28" s="26"/>
      <c r="N28" s="26"/>
      <c r="O28" s="26"/>
      <c r="P28" s="26"/>
      <c r="Q28" s="69"/>
    </row>
    <row r="29" spans="1:17" ht="15" hidden="1" customHeight="1" x14ac:dyDescent="0.25">
      <c r="A29" s="22">
        <v>5020</v>
      </c>
      <c r="B29" s="23">
        <v>714400</v>
      </c>
      <c r="C29" s="9" t="s">
        <v>43</v>
      </c>
      <c r="D29" s="9"/>
      <c r="E29" s="26"/>
      <c r="F29" s="26"/>
      <c r="G29" s="26">
        <f t="shared" si="2"/>
        <v>0</v>
      </c>
      <c r="H29" s="26"/>
      <c r="I29" s="26"/>
      <c r="J29" s="26"/>
      <c r="K29" s="26"/>
      <c r="L29" s="26"/>
      <c r="M29" s="26"/>
      <c r="N29" s="26"/>
      <c r="O29" s="26"/>
      <c r="P29" s="26"/>
      <c r="Q29" s="69"/>
    </row>
    <row r="30" spans="1:17" ht="51.75" hidden="1" customHeight="1" x14ac:dyDescent="0.25">
      <c r="A30" s="22">
        <v>5021</v>
      </c>
      <c r="B30" s="23">
        <v>714500</v>
      </c>
      <c r="C30" s="9" t="s">
        <v>44</v>
      </c>
      <c r="D30" s="9"/>
      <c r="E30" s="26"/>
      <c r="F30" s="26"/>
      <c r="G30" s="26">
        <f t="shared" si="2"/>
        <v>0</v>
      </c>
      <c r="H30" s="26"/>
      <c r="I30" s="26"/>
      <c r="J30" s="26"/>
      <c r="K30" s="26"/>
      <c r="L30" s="26"/>
      <c r="M30" s="26"/>
      <c r="N30" s="26"/>
      <c r="O30" s="26"/>
      <c r="P30" s="26"/>
      <c r="Q30" s="69"/>
    </row>
    <row r="31" spans="1:17" ht="15" hidden="1" customHeight="1" x14ac:dyDescent="0.25">
      <c r="A31" s="22">
        <v>5022</v>
      </c>
      <c r="B31" s="23">
        <v>714600</v>
      </c>
      <c r="C31" s="9" t="s">
        <v>45</v>
      </c>
      <c r="D31" s="9"/>
      <c r="E31" s="26"/>
      <c r="F31" s="26"/>
      <c r="G31" s="26">
        <f t="shared" si="2"/>
        <v>0</v>
      </c>
      <c r="H31" s="26"/>
      <c r="I31" s="26"/>
      <c r="J31" s="26"/>
      <c r="K31" s="26"/>
      <c r="L31" s="26"/>
      <c r="M31" s="26"/>
      <c r="N31" s="26"/>
      <c r="O31" s="26"/>
      <c r="P31" s="26"/>
      <c r="Q31" s="69"/>
    </row>
    <row r="32" spans="1:17" ht="39" hidden="1" customHeight="1" x14ac:dyDescent="0.25">
      <c r="A32" s="484">
        <v>5023</v>
      </c>
      <c r="B32" s="476">
        <v>715000</v>
      </c>
      <c r="C32" s="18" t="s">
        <v>46</v>
      </c>
      <c r="D32" s="18"/>
      <c r="E32" s="21">
        <f>SUM(E33:E38)</f>
        <v>0</v>
      </c>
      <c r="F32" s="21"/>
      <c r="G32" s="21">
        <f t="shared" si="2"/>
        <v>0</v>
      </c>
      <c r="H32" s="21"/>
      <c r="I32" s="21">
        <f t="shared" ref="I32:Q32" si="8">SUM(I33:I38)</f>
        <v>0</v>
      </c>
      <c r="J32" s="21">
        <f t="shared" si="8"/>
        <v>0</v>
      </c>
      <c r="K32" s="21"/>
      <c r="L32" s="21">
        <f t="shared" si="8"/>
        <v>0</v>
      </c>
      <c r="M32" s="21"/>
      <c r="N32" s="21">
        <f t="shared" si="8"/>
        <v>0</v>
      </c>
      <c r="O32" s="21">
        <f t="shared" si="8"/>
        <v>0</v>
      </c>
      <c r="P32" s="21"/>
      <c r="Q32" s="68">
        <f t="shared" si="8"/>
        <v>0</v>
      </c>
    </row>
    <row r="33" spans="1:17" ht="15" hidden="1" customHeight="1" x14ac:dyDescent="0.25">
      <c r="A33" s="22">
        <v>5024</v>
      </c>
      <c r="B33" s="23">
        <v>715100</v>
      </c>
      <c r="C33" s="9" t="s">
        <v>47</v>
      </c>
      <c r="D33" s="9"/>
      <c r="E33" s="26"/>
      <c r="F33" s="26"/>
      <c r="G33" s="26">
        <f t="shared" si="2"/>
        <v>0</v>
      </c>
      <c r="H33" s="26"/>
      <c r="I33" s="26"/>
      <c r="J33" s="26"/>
      <c r="K33" s="26"/>
      <c r="L33" s="26"/>
      <c r="M33" s="26"/>
      <c r="N33" s="26"/>
      <c r="O33" s="26"/>
      <c r="P33" s="26"/>
      <c r="Q33" s="69"/>
    </row>
    <row r="34" spans="1:17" ht="15" hidden="1" customHeight="1" x14ac:dyDescent="0.25">
      <c r="A34" s="22">
        <v>5025</v>
      </c>
      <c r="B34" s="23">
        <v>715200</v>
      </c>
      <c r="C34" s="9" t="s">
        <v>48</v>
      </c>
      <c r="D34" s="9"/>
      <c r="E34" s="26"/>
      <c r="F34" s="26"/>
      <c r="G34" s="26">
        <f t="shared" si="2"/>
        <v>0</v>
      </c>
      <c r="H34" s="26"/>
      <c r="I34" s="26"/>
      <c r="J34" s="26"/>
      <c r="K34" s="26"/>
      <c r="L34" s="26"/>
      <c r="M34" s="26"/>
      <c r="N34" s="26"/>
      <c r="O34" s="26"/>
      <c r="P34" s="26"/>
      <c r="Q34" s="69"/>
    </row>
    <row r="35" spans="1:17" ht="26.25" hidden="1" customHeight="1" x14ac:dyDescent="0.25">
      <c r="A35" s="22">
        <v>5026</v>
      </c>
      <c r="B35" s="23">
        <v>715300</v>
      </c>
      <c r="C35" s="9" t="s">
        <v>49</v>
      </c>
      <c r="D35" s="9"/>
      <c r="E35" s="26"/>
      <c r="F35" s="26"/>
      <c r="G35" s="26">
        <f t="shared" si="2"/>
        <v>0</v>
      </c>
      <c r="H35" s="26"/>
      <c r="I35" s="26"/>
      <c r="J35" s="26"/>
      <c r="K35" s="26"/>
      <c r="L35" s="26"/>
      <c r="M35" s="26"/>
      <c r="N35" s="26"/>
      <c r="O35" s="26"/>
      <c r="P35" s="26"/>
      <c r="Q35" s="69"/>
    </row>
    <row r="36" spans="1:17" ht="39" hidden="1" customHeight="1" x14ac:dyDescent="0.25">
      <c r="A36" s="22">
        <v>5027</v>
      </c>
      <c r="B36" s="23">
        <v>715400</v>
      </c>
      <c r="C36" s="9" t="s">
        <v>50</v>
      </c>
      <c r="D36" s="9"/>
      <c r="E36" s="26"/>
      <c r="F36" s="26"/>
      <c r="G36" s="26">
        <f t="shared" si="2"/>
        <v>0</v>
      </c>
      <c r="H36" s="26"/>
      <c r="I36" s="26"/>
      <c r="J36" s="26"/>
      <c r="K36" s="26"/>
      <c r="L36" s="26"/>
      <c r="M36" s="26"/>
      <c r="N36" s="26"/>
      <c r="O36" s="26"/>
      <c r="P36" s="26"/>
      <c r="Q36" s="69"/>
    </row>
    <row r="37" spans="1:17" ht="26.25" hidden="1" customHeight="1" x14ac:dyDescent="0.25">
      <c r="A37" s="22">
        <v>5028</v>
      </c>
      <c r="B37" s="23">
        <v>715500</v>
      </c>
      <c r="C37" s="9" t="s">
        <v>51</v>
      </c>
      <c r="D37" s="9"/>
      <c r="E37" s="26"/>
      <c r="F37" s="26"/>
      <c r="G37" s="26">
        <f t="shared" si="2"/>
        <v>0</v>
      </c>
      <c r="H37" s="26"/>
      <c r="I37" s="26"/>
      <c r="J37" s="26"/>
      <c r="K37" s="26"/>
      <c r="L37" s="26"/>
      <c r="M37" s="26"/>
      <c r="N37" s="26"/>
      <c r="O37" s="26"/>
      <c r="P37" s="26"/>
      <c r="Q37" s="69"/>
    </row>
    <row r="38" spans="1:17" ht="26.25" hidden="1" customHeight="1" x14ac:dyDescent="0.25">
      <c r="A38" s="22">
        <v>5029</v>
      </c>
      <c r="B38" s="23">
        <v>715600</v>
      </c>
      <c r="C38" s="9" t="s">
        <v>52</v>
      </c>
      <c r="D38" s="9"/>
      <c r="E38" s="26"/>
      <c r="F38" s="26"/>
      <c r="G38" s="26">
        <f t="shared" si="2"/>
        <v>0</v>
      </c>
      <c r="H38" s="26"/>
      <c r="I38" s="26"/>
      <c r="J38" s="26"/>
      <c r="K38" s="26"/>
      <c r="L38" s="26"/>
      <c r="M38" s="26"/>
      <c r="N38" s="26"/>
      <c r="O38" s="26"/>
      <c r="P38" s="26"/>
      <c r="Q38" s="69"/>
    </row>
    <row r="39" spans="1:17" ht="15" hidden="1" customHeight="1" x14ac:dyDescent="0.25">
      <c r="A39" s="484">
        <v>5030</v>
      </c>
      <c r="B39" s="476">
        <v>716000</v>
      </c>
      <c r="C39" s="18" t="s">
        <v>53</v>
      </c>
      <c r="D39" s="18"/>
      <c r="E39" s="21">
        <f>E40+E41</f>
        <v>0</v>
      </c>
      <c r="F39" s="21"/>
      <c r="G39" s="21">
        <f t="shared" si="2"/>
        <v>0</v>
      </c>
      <c r="H39" s="21"/>
      <c r="I39" s="21">
        <f t="shared" ref="I39:Q39" si="9">I40+I41</f>
        <v>0</v>
      </c>
      <c r="J39" s="21">
        <f t="shared" si="9"/>
        <v>0</v>
      </c>
      <c r="K39" s="21"/>
      <c r="L39" s="21">
        <f t="shared" si="9"/>
        <v>0</v>
      </c>
      <c r="M39" s="21"/>
      <c r="N39" s="21">
        <f t="shared" si="9"/>
        <v>0</v>
      </c>
      <c r="O39" s="21">
        <f t="shared" si="9"/>
        <v>0</v>
      </c>
      <c r="P39" s="21"/>
      <c r="Q39" s="68">
        <f t="shared" si="9"/>
        <v>0</v>
      </c>
    </row>
    <row r="40" spans="1:17" ht="39" hidden="1" customHeight="1" x14ac:dyDescent="0.25">
      <c r="A40" s="22">
        <v>5031</v>
      </c>
      <c r="B40" s="23">
        <v>716100</v>
      </c>
      <c r="C40" s="9" t="s">
        <v>54</v>
      </c>
      <c r="D40" s="9"/>
      <c r="E40" s="26"/>
      <c r="F40" s="26"/>
      <c r="G40" s="26">
        <f t="shared" si="2"/>
        <v>0</v>
      </c>
      <c r="H40" s="26"/>
      <c r="I40" s="26"/>
      <c r="J40" s="26"/>
      <c r="K40" s="26"/>
      <c r="L40" s="26"/>
      <c r="M40" s="26"/>
      <c r="N40" s="26"/>
      <c r="O40" s="26"/>
      <c r="P40" s="26"/>
      <c r="Q40" s="69"/>
    </row>
    <row r="41" spans="1:17" ht="39" hidden="1" customHeight="1" x14ac:dyDescent="0.25">
      <c r="A41" s="22">
        <v>5032</v>
      </c>
      <c r="B41" s="23">
        <v>716200</v>
      </c>
      <c r="C41" s="9" t="s">
        <v>55</v>
      </c>
      <c r="D41" s="9"/>
      <c r="E41" s="26"/>
      <c r="F41" s="26"/>
      <c r="G41" s="26">
        <f t="shared" si="2"/>
        <v>0</v>
      </c>
      <c r="H41" s="26"/>
      <c r="I41" s="26"/>
      <c r="J41" s="26"/>
      <c r="K41" s="26"/>
      <c r="L41" s="26"/>
      <c r="M41" s="26"/>
      <c r="N41" s="26"/>
      <c r="O41" s="26"/>
      <c r="P41" s="26"/>
      <c r="Q41" s="69"/>
    </row>
    <row r="42" spans="1:17" ht="15" hidden="1" customHeight="1" x14ac:dyDescent="0.25">
      <c r="A42" s="484">
        <v>5033</v>
      </c>
      <c r="B42" s="476">
        <v>717000</v>
      </c>
      <c r="C42" s="18" t="s">
        <v>56</v>
      </c>
      <c r="D42" s="18"/>
      <c r="E42" s="21">
        <f>SUM(E47:E52)</f>
        <v>0</v>
      </c>
      <c r="F42" s="21"/>
      <c r="G42" s="21">
        <f t="shared" ref="G42:G83" si="10">SUM(I42:Q42)</f>
        <v>0</v>
      </c>
      <c r="H42" s="21"/>
      <c r="I42" s="21">
        <f t="shared" ref="I42:Q42" si="11">SUM(I47:I52)</f>
        <v>0</v>
      </c>
      <c r="J42" s="21">
        <f t="shared" si="11"/>
        <v>0</v>
      </c>
      <c r="K42" s="21"/>
      <c r="L42" s="21">
        <f t="shared" si="11"/>
        <v>0</v>
      </c>
      <c r="M42" s="21"/>
      <c r="N42" s="21">
        <f t="shared" si="11"/>
        <v>0</v>
      </c>
      <c r="O42" s="21">
        <f t="shared" si="11"/>
        <v>0</v>
      </c>
      <c r="P42" s="21"/>
      <c r="Q42" s="68">
        <f t="shared" si="11"/>
        <v>0</v>
      </c>
    </row>
    <row r="43" spans="1:17" ht="15" hidden="1" customHeight="1" x14ac:dyDescent="0.25">
      <c r="A43" s="546" t="s">
        <v>0</v>
      </c>
      <c r="B43" s="543" t="s">
        <v>1</v>
      </c>
      <c r="C43" s="542" t="s">
        <v>2</v>
      </c>
      <c r="D43" s="474"/>
      <c r="E43" s="549" t="s">
        <v>3</v>
      </c>
      <c r="F43" s="480"/>
      <c r="G43" s="549" t="s">
        <v>4</v>
      </c>
      <c r="H43" s="549"/>
      <c r="I43" s="549"/>
      <c r="J43" s="549"/>
      <c r="K43" s="549"/>
      <c r="L43" s="549"/>
      <c r="M43" s="549"/>
      <c r="N43" s="549"/>
      <c r="O43" s="549"/>
      <c r="P43" s="549"/>
      <c r="Q43" s="550"/>
    </row>
    <row r="44" spans="1:17" ht="15" hidden="1" customHeight="1" x14ac:dyDescent="0.25">
      <c r="A44" s="546"/>
      <c r="B44" s="543"/>
      <c r="C44" s="542"/>
      <c r="D44" s="474"/>
      <c r="E44" s="549"/>
      <c r="F44" s="480"/>
      <c r="G44" s="542" t="s">
        <v>5</v>
      </c>
      <c r="H44" s="474"/>
      <c r="I44" s="549" t="s">
        <v>6</v>
      </c>
      <c r="J44" s="549"/>
      <c r="K44" s="549"/>
      <c r="L44" s="549"/>
      <c r="M44" s="549"/>
      <c r="N44" s="549"/>
      <c r="O44" s="549" t="s">
        <v>7</v>
      </c>
      <c r="P44" s="480"/>
      <c r="Q44" s="550" t="s">
        <v>8</v>
      </c>
    </row>
    <row r="45" spans="1:17" ht="39" hidden="1" customHeight="1" x14ac:dyDescent="0.25">
      <c r="A45" s="546"/>
      <c r="B45" s="543"/>
      <c r="C45" s="542"/>
      <c r="D45" s="474"/>
      <c r="E45" s="549"/>
      <c r="F45" s="480"/>
      <c r="G45" s="542"/>
      <c r="H45" s="474"/>
      <c r="I45" s="480" t="s">
        <v>9</v>
      </c>
      <c r="J45" s="480" t="s">
        <v>10</v>
      </c>
      <c r="K45" s="480"/>
      <c r="L45" s="480" t="s">
        <v>11</v>
      </c>
      <c r="M45" s="480"/>
      <c r="N45" s="480" t="s">
        <v>12</v>
      </c>
      <c r="O45" s="549"/>
      <c r="P45" s="480"/>
      <c r="Q45" s="550"/>
    </row>
    <row r="46" spans="1:17" ht="26.25" hidden="1" customHeight="1" x14ac:dyDescent="0.25">
      <c r="A46" s="31" t="s">
        <v>18</v>
      </c>
      <c r="B46" s="475" t="s">
        <v>19</v>
      </c>
      <c r="C46" s="475" t="s">
        <v>20</v>
      </c>
      <c r="D46" s="475"/>
      <c r="E46" s="475" t="s">
        <v>21</v>
      </c>
      <c r="F46" s="475"/>
      <c r="G46" s="475" t="s">
        <v>22</v>
      </c>
      <c r="H46" s="475"/>
      <c r="I46" s="475" t="s">
        <v>23</v>
      </c>
      <c r="J46" s="475" t="s">
        <v>24</v>
      </c>
      <c r="K46" s="475"/>
      <c r="L46" s="475" t="s">
        <v>25</v>
      </c>
      <c r="M46" s="475"/>
      <c r="N46" s="475" t="s">
        <v>26</v>
      </c>
      <c r="O46" s="475" t="s">
        <v>27</v>
      </c>
      <c r="P46" s="475"/>
      <c r="Q46" s="71" t="s">
        <v>28</v>
      </c>
    </row>
    <row r="47" spans="1:17" ht="15" hidden="1" customHeight="1" x14ac:dyDescent="0.25">
      <c r="A47" s="22">
        <v>5034</v>
      </c>
      <c r="B47" s="23">
        <v>717100</v>
      </c>
      <c r="C47" s="9" t="s">
        <v>57</v>
      </c>
      <c r="D47" s="9"/>
      <c r="E47" s="26"/>
      <c r="F47" s="26"/>
      <c r="G47" s="26">
        <f t="shared" si="10"/>
        <v>0</v>
      </c>
      <c r="H47" s="26"/>
      <c r="I47" s="26"/>
      <c r="J47" s="26"/>
      <c r="K47" s="26"/>
      <c r="L47" s="26"/>
      <c r="M47" s="26"/>
      <c r="N47" s="26"/>
      <c r="O47" s="26"/>
      <c r="P47" s="26"/>
      <c r="Q47" s="69"/>
    </row>
    <row r="48" spans="1:17" ht="15" hidden="1" customHeight="1" x14ac:dyDescent="0.25">
      <c r="A48" s="22">
        <v>5035</v>
      </c>
      <c r="B48" s="23">
        <v>717200</v>
      </c>
      <c r="C48" s="9" t="s">
        <v>58</v>
      </c>
      <c r="D48" s="9"/>
      <c r="E48" s="26"/>
      <c r="F48" s="26"/>
      <c r="G48" s="26">
        <f t="shared" si="10"/>
        <v>0</v>
      </c>
      <c r="H48" s="26"/>
      <c r="I48" s="26"/>
      <c r="J48" s="26"/>
      <c r="K48" s="26"/>
      <c r="L48" s="26"/>
      <c r="M48" s="26"/>
      <c r="N48" s="26"/>
      <c r="O48" s="26"/>
      <c r="P48" s="26"/>
      <c r="Q48" s="69"/>
    </row>
    <row r="49" spans="1:17" ht="15" hidden="1" customHeight="1" x14ac:dyDescent="0.25">
      <c r="A49" s="22">
        <v>5036</v>
      </c>
      <c r="B49" s="23">
        <v>717300</v>
      </c>
      <c r="C49" s="9" t="s">
        <v>59</v>
      </c>
      <c r="D49" s="9"/>
      <c r="E49" s="26"/>
      <c r="F49" s="26"/>
      <c r="G49" s="26">
        <f t="shared" si="10"/>
        <v>0</v>
      </c>
      <c r="H49" s="26"/>
      <c r="I49" s="26"/>
      <c r="J49" s="26"/>
      <c r="K49" s="26"/>
      <c r="L49" s="26"/>
      <c r="M49" s="26"/>
      <c r="N49" s="26"/>
      <c r="O49" s="26"/>
      <c r="P49" s="26"/>
      <c r="Q49" s="69"/>
    </row>
    <row r="50" spans="1:17" ht="26.25" hidden="1" x14ac:dyDescent="0.25">
      <c r="A50" s="22">
        <v>5037</v>
      </c>
      <c r="B50" s="23">
        <v>717400</v>
      </c>
      <c r="C50" s="9" t="s">
        <v>60</v>
      </c>
      <c r="D50" s="9"/>
      <c r="E50" s="26"/>
      <c r="F50" s="26"/>
      <c r="G50" s="26">
        <f t="shared" si="10"/>
        <v>0</v>
      </c>
      <c r="H50" s="26"/>
      <c r="I50" s="26"/>
      <c r="J50" s="26"/>
      <c r="K50" s="26"/>
      <c r="L50" s="26"/>
      <c r="M50" s="26"/>
      <c r="N50" s="26"/>
      <c r="O50" s="26"/>
      <c r="P50" s="26"/>
      <c r="Q50" s="69"/>
    </row>
    <row r="51" spans="1:17" hidden="1" x14ac:dyDescent="0.25">
      <c r="A51" s="22">
        <v>5038</v>
      </c>
      <c r="B51" s="23">
        <v>717500</v>
      </c>
      <c r="C51" s="9" t="s">
        <v>61</v>
      </c>
      <c r="D51" s="9"/>
      <c r="E51" s="26"/>
      <c r="F51" s="26"/>
      <c r="G51" s="26">
        <f t="shared" si="10"/>
        <v>0</v>
      </c>
      <c r="H51" s="26"/>
      <c r="I51" s="26"/>
      <c r="J51" s="26"/>
      <c r="K51" s="26"/>
      <c r="L51" s="26"/>
      <c r="M51" s="26"/>
      <c r="N51" s="26"/>
      <c r="O51" s="26"/>
      <c r="P51" s="26"/>
      <c r="Q51" s="69"/>
    </row>
    <row r="52" spans="1:17" hidden="1" x14ac:dyDescent="0.25">
      <c r="A52" s="22">
        <v>5039</v>
      </c>
      <c r="B52" s="23">
        <v>717600</v>
      </c>
      <c r="C52" s="9" t="s">
        <v>62</v>
      </c>
      <c r="D52" s="9"/>
      <c r="E52" s="26"/>
      <c r="F52" s="26"/>
      <c r="G52" s="26">
        <f t="shared" si="10"/>
        <v>0</v>
      </c>
      <c r="H52" s="26"/>
      <c r="I52" s="26"/>
      <c r="J52" s="26"/>
      <c r="K52" s="26"/>
      <c r="L52" s="26"/>
      <c r="M52" s="26"/>
      <c r="N52" s="26"/>
      <c r="O52" s="26"/>
      <c r="P52" s="26"/>
      <c r="Q52" s="69"/>
    </row>
    <row r="53" spans="1:17" ht="77.25" hidden="1" x14ac:dyDescent="0.25">
      <c r="A53" s="484">
        <v>5040</v>
      </c>
      <c r="B53" s="476">
        <v>719000</v>
      </c>
      <c r="C53" s="18" t="s">
        <v>63</v>
      </c>
      <c r="D53" s="18"/>
      <c r="E53" s="21">
        <f>SUM(E54:E59)</f>
        <v>0</v>
      </c>
      <c r="F53" s="21"/>
      <c r="G53" s="21">
        <f t="shared" si="10"/>
        <v>0</v>
      </c>
      <c r="H53" s="21"/>
      <c r="I53" s="21">
        <f t="shared" ref="I53:Q53" si="12">SUM(I54:I59)</f>
        <v>0</v>
      </c>
      <c r="J53" s="21">
        <f t="shared" si="12"/>
        <v>0</v>
      </c>
      <c r="K53" s="21"/>
      <c r="L53" s="21">
        <f t="shared" si="12"/>
        <v>0</v>
      </c>
      <c r="M53" s="21"/>
      <c r="N53" s="21">
        <f t="shared" si="12"/>
        <v>0</v>
      </c>
      <c r="O53" s="21">
        <f t="shared" si="12"/>
        <v>0</v>
      </c>
      <c r="P53" s="21"/>
      <c r="Q53" s="68">
        <f t="shared" si="12"/>
        <v>0</v>
      </c>
    </row>
    <row r="54" spans="1:17" ht="39" hidden="1" x14ac:dyDescent="0.25">
      <c r="A54" s="22">
        <v>5041</v>
      </c>
      <c r="B54" s="23">
        <v>719100</v>
      </c>
      <c r="C54" s="9" t="s">
        <v>64</v>
      </c>
      <c r="D54" s="9"/>
      <c r="E54" s="26"/>
      <c r="F54" s="26"/>
      <c r="G54" s="26">
        <f t="shared" si="10"/>
        <v>0</v>
      </c>
      <c r="H54" s="26"/>
      <c r="I54" s="26"/>
      <c r="J54" s="26"/>
      <c r="K54" s="26"/>
      <c r="L54" s="26"/>
      <c r="M54" s="26"/>
      <c r="N54" s="26"/>
      <c r="O54" s="26"/>
      <c r="P54" s="26"/>
      <c r="Q54" s="69"/>
    </row>
    <row r="55" spans="1:17" ht="51.75" hidden="1" x14ac:dyDescent="0.25">
      <c r="A55" s="22">
        <v>5042</v>
      </c>
      <c r="B55" s="23">
        <v>719200</v>
      </c>
      <c r="C55" s="9" t="s">
        <v>65</v>
      </c>
      <c r="D55" s="9"/>
      <c r="E55" s="26"/>
      <c r="F55" s="26"/>
      <c r="G55" s="26">
        <f t="shared" si="10"/>
        <v>0</v>
      </c>
      <c r="H55" s="26"/>
      <c r="I55" s="26"/>
      <c r="J55" s="26"/>
      <c r="K55" s="26"/>
      <c r="L55" s="26"/>
      <c r="M55" s="26"/>
      <c r="N55" s="26"/>
      <c r="O55" s="26"/>
      <c r="P55" s="26"/>
      <c r="Q55" s="69"/>
    </row>
    <row r="56" spans="1:17" ht="39" hidden="1" x14ac:dyDescent="0.25">
      <c r="A56" s="22">
        <v>5043</v>
      </c>
      <c r="B56" s="23">
        <v>719300</v>
      </c>
      <c r="C56" s="9" t="s">
        <v>66</v>
      </c>
      <c r="D56" s="9"/>
      <c r="E56" s="26"/>
      <c r="F56" s="26"/>
      <c r="G56" s="26">
        <f t="shared" si="10"/>
        <v>0</v>
      </c>
      <c r="H56" s="26"/>
      <c r="I56" s="26"/>
      <c r="J56" s="26"/>
      <c r="K56" s="26"/>
      <c r="L56" s="26"/>
      <c r="M56" s="26"/>
      <c r="N56" s="26"/>
      <c r="O56" s="26"/>
      <c r="P56" s="26"/>
      <c r="Q56" s="69"/>
    </row>
    <row r="57" spans="1:17" ht="26.25" hidden="1" x14ac:dyDescent="0.25">
      <c r="A57" s="22">
        <v>5044</v>
      </c>
      <c r="B57" s="23">
        <v>719400</v>
      </c>
      <c r="C57" s="9" t="s">
        <v>67</v>
      </c>
      <c r="D57" s="9"/>
      <c r="E57" s="26"/>
      <c r="F57" s="26"/>
      <c r="G57" s="26">
        <f t="shared" si="10"/>
        <v>0</v>
      </c>
      <c r="H57" s="26"/>
      <c r="I57" s="26"/>
      <c r="J57" s="26"/>
      <c r="K57" s="26"/>
      <c r="L57" s="26"/>
      <c r="M57" s="26"/>
      <c r="N57" s="26"/>
      <c r="O57" s="26"/>
      <c r="P57" s="26"/>
      <c r="Q57" s="69"/>
    </row>
    <row r="58" spans="1:17" ht="39" hidden="1" x14ac:dyDescent="0.25">
      <c r="A58" s="22">
        <v>5045</v>
      </c>
      <c r="B58" s="23">
        <v>719500</v>
      </c>
      <c r="C58" s="9" t="s">
        <v>68</v>
      </c>
      <c r="D58" s="9"/>
      <c r="E58" s="26"/>
      <c r="F58" s="26"/>
      <c r="G58" s="26">
        <f t="shared" si="10"/>
        <v>0</v>
      </c>
      <c r="H58" s="26"/>
      <c r="I58" s="26"/>
      <c r="J58" s="26"/>
      <c r="K58" s="26"/>
      <c r="L58" s="26"/>
      <c r="M58" s="26"/>
      <c r="N58" s="26"/>
      <c r="O58" s="26"/>
      <c r="P58" s="26"/>
      <c r="Q58" s="69"/>
    </row>
    <row r="59" spans="1:17" ht="26.25" hidden="1" x14ac:dyDescent="0.25">
      <c r="A59" s="22">
        <v>5046</v>
      </c>
      <c r="B59" s="23">
        <v>719600</v>
      </c>
      <c r="C59" s="9" t="s">
        <v>69</v>
      </c>
      <c r="D59" s="9"/>
      <c r="E59" s="26"/>
      <c r="F59" s="26"/>
      <c r="G59" s="26">
        <f t="shared" si="10"/>
        <v>0</v>
      </c>
      <c r="H59" s="26"/>
      <c r="I59" s="26"/>
      <c r="J59" s="26"/>
      <c r="K59" s="26"/>
      <c r="L59" s="26"/>
      <c r="M59" s="26"/>
      <c r="N59" s="26"/>
      <c r="O59" s="26"/>
      <c r="P59" s="26"/>
      <c r="Q59" s="69"/>
    </row>
    <row r="60" spans="1:17" ht="26.25" hidden="1" x14ac:dyDescent="0.25">
      <c r="A60" s="484">
        <v>5047</v>
      </c>
      <c r="B60" s="476">
        <v>720000</v>
      </c>
      <c r="C60" s="18" t="s">
        <v>70</v>
      </c>
      <c r="D60" s="18"/>
      <c r="E60" s="19">
        <f>E61+E66</f>
        <v>0</v>
      </c>
      <c r="F60" s="19"/>
      <c r="G60" s="19">
        <f t="shared" si="10"/>
        <v>0</v>
      </c>
      <c r="H60" s="19"/>
      <c r="I60" s="19">
        <f t="shared" ref="I60:Q60" si="13">I61+I66</f>
        <v>0</v>
      </c>
      <c r="J60" s="19">
        <f t="shared" si="13"/>
        <v>0</v>
      </c>
      <c r="K60" s="19"/>
      <c r="L60" s="19">
        <f t="shared" si="13"/>
        <v>0</v>
      </c>
      <c r="M60" s="19"/>
      <c r="N60" s="19">
        <f t="shared" si="13"/>
        <v>0</v>
      </c>
      <c r="O60" s="19">
        <f t="shared" si="13"/>
        <v>0</v>
      </c>
      <c r="P60" s="19"/>
      <c r="Q60" s="67">
        <f t="shared" si="13"/>
        <v>0</v>
      </c>
    </row>
    <row r="61" spans="1:17" ht="26.25" hidden="1" x14ac:dyDescent="0.25">
      <c r="A61" s="484">
        <v>5048</v>
      </c>
      <c r="B61" s="476">
        <v>721000</v>
      </c>
      <c r="C61" s="18" t="s">
        <v>71</v>
      </c>
      <c r="D61" s="18"/>
      <c r="E61" s="19">
        <f>SUM(E62:E65)</f>
        <v>0</v>
      </c>
      <c r="F61" s="19"/>
      <c r="G61" s="19">
        <f t="shared" si="10"/>
        <v>0</v>
      </c>
      <c r="H61" s="19"/>
      <c r="I61" s="19">
        <f t="shared" ref="I61:Q61" si="14">SUM(I62:I65)</f>
        <v>0</v>
      </c>
      <c r="J61" s="19">
        <f t="shared" si="14"/>
        <v>0</v>
      </c>
      <c r="K61" s="19"/>
      <c r="L61" s="19">
        <f t="shared" si="14"/>
        <v>0</v>
      </c>
      <c r="M61" s="19"/>
      <c r="N61" s="19">
        <f t="shared" si="14"/>
        <v>0</v>
      </c>
      <c r="O61" s="19">
        <f t="shared" si="14"/>
        <v>0</v>
      </c>
      <c r="P61" s="19"/>
      <c r="Q61" s="67">
        <f t="shared" si="14"/>
        <v>0</v>
      </c>
    </row>
    <row r="62" spans="1:17" ht="26.25" hidden="1" x14ac:dyDescent="0.25">
      <c r="A62" s="22">
        <v>5049</v>
      </c>
      <c r="B62" s="23">
        <v>721100</v>
      </c>
      <c r="C62" s="9" t="s">
        <v>72</v>
      </c>
      <c r="D62" s="9"/>
      <c r="E62" s="36"/>
      <c r="F62" s="36"/>
      <c r="G62" s="37">
        <f t="shared" si="10"/>
        <v>0</v>
      </c>
      <c r="H62" s="37"/>
      <c r="I62" s="36"/>
      <c r="J62" s="36"/>
      <c r="K62" s="36"/>
      <c r="L62" s="36"/>
      <c r="M62" s="36"/>
      <c r="N62" s="36"/>
      <c r="O62" s="36"/>
      <c r="P62" s="36"/>
      <c r="Q62" s="72"/>
    </row>
    <row r="63" spans="1:17" ht="26.25" hidden="1" x14ac:dyDescent="0.25">
      <c r="A63" s="22">
        <v>5050</v>
      </c>
      <c r="B63" s="23">
        <v>721200</v>
      </c>
      <c r="C63" s="9" t="s">
        <v>73</v>
      </c>
      <c r="D63" s="9"/>
      <c r="E63" s="36"/>
      <c r="F63" s="36"/>
      <c r="G63" s="37">
        <f t="shared" si="10"/>
        <v>0</v>
      </c>
      <c r="H63" s="37"/>
      <c r="I63" s="36"/>
      <c r="J63" s="36"/>
      <c r="K63" s="36"/>
      <c r="L63" s="36"/>
      <c r="M63" s="36"/>
      <c r="N63" s="36"/>
      <c r="O63" s="36"/>
      <c r="P63" s="36"/>
      <c r="Q63" s="72"/>
    </row>
    <row r="64" spans="1:17" ht="51.75" hidden="1" x14ac:dyDescent="0.25">
      <c r="A64" s="22">
        <v>5051</v>
      </c>
      <c r="B64" s="23">
        <v>721300</v>
      </c>
      <c r="C64" s="9" t="s">
        <v>74</v>
      </c>
      <c r="D64" s="9"/>
      <c r="E64" s="36"/>
      <c r="F64" s="36"/>
      <c r="G64" s="37">
        <f t="shared" si="10"/>
        <v>0</v>
      </c>
      <c r="H64" s="37"/>
      <c r="I64" s="36"/>
      <c r="J64" s="36"/>
      <c r="K64" s="36"/>
      <c r="L64" s="36"/>
      <c r="M64" s="36"/>
      <c r="N64" s="36"/>
      <c r="O64" s="36"/>
      <c r="P64" s="36"/>
      <c r="Q64" s="72"/>
    </row>
    <row r="65" spans="1:17" ht="39" hidden="1" x14ac:dyDescent="0.25">
      <c r="A65" s="22">
        <v>5052</v>
      </c>
      <c r="B65" s="23">
        <v>721400</v>
      </c>
      <c r="C65" s="9" t="s">
        <v>75</v>
      </c>
      <c r="D65" s="9"/>
      <c r="E65" s="36"/>
      <c r="F65" s="36"/>
      <c r="G65" s="37">
        <f t="shared" si="10"/>
        <v>0</v>
      </c>
      <c r="H65" s="37"/>
      <c r="I65" s="36"/>
      <c r="J65" s="36"/>
      <c r="K65" s="36"/>
      <c r="L65" s="36"/>
      <c r="M65" s="36"/>
      <c r="N65" s="36"/>
      <c r="O65" s="36"/>
      <c r="P65" s="36"/>
      <c r="Q65" s="72"/>
    </row>
    <row r="66" spans="1:17" ht="26.25" hidden="1" x14ac:dyDescent="0.25">
      <c r="A66" s="484">
        <v>5053</v>
      </c>
      <c r="B66" s="476">
        <v>722000</v>
      </c>
      <c r="C66" s="18" t="s">
        <v>76</v>
      </c>
      <c r="D66" s="18"/>
      <c r="E66" s="19">
        <f>SUM(E67:E69)</f>
        <v>0</v>
      </c>
      <c r="F66" s="19"/>
      <c r="G66" s="19">
        <f t="shared" si="10"/>
        <v>0</v>
      </c>
      <c r="H66" s="19"/>
      <c r="I66" s="19">
        <f t="shared" ref="I66:Q66" si="15">SUM(I67:I69)</f>
        <v>0</v>
      </c>
      <c r="J66" s="19">
        <f t="shared" si="15"/>
        <v>0</v>
      </c>
      <c r="K66" s="19"/>
      <c r="L66" s="19">
        <f t="shared" si="15"/>
        <v>0</v>
      </c>
      <c r="M66" s="19"/>
      <c r="N66" s="19">
        <f t="shared" si="15"/>
        <v>0</v>
      </c>
      <c r="O66" s="19">
        <f t="shared" si="15"/>
        <v>0</v>
      </c>
      <c r="P66" s="19"/>
      <c r="Q66" s="67">
        <f t="shared" si="15"/>
        <v>0</v>
      </c>
    </row>
    <row r="67" spans="1:17" ht="26.25" hidden="1" x14ac:dyDescent="0.25">
      <c r="A67" s="22">
        <v>5054</v>
      </c>
      <c r="B67" s="23">
        <v>722100</v>
      </c>
      <c r="C67" s="9" t="s">
        <v>77</v>
      </c>
      <c r="D67" s="9"/>
      <c r="E67" s="36"/>
      <c r="F67" s="36"/>
      <c r="G67" s="37">
        <f t="shared" si="10"/>
        <v>0</v>
      </c>
      <c r="H67" s="37"/>
      <c r="I67" s="36"/>
      <c r="J67" s="36"/>
      <c r="K67" s="36"/>
      <c r="L67" s="36"/>
      <c r="M67" s="36"/>
      <c r="N67" s="36"/>
      <c r="O67" s="36"/>
      <c r="P67" s="36"/>
      <c r="Q67" s="72"/>
    </row>
    <row r="68" spans="1:17" ht="26.25" hidden="1" x14ac:dyDescent="0.25">
      <c r="A68" s="22">
        <v>5055</v>
      </c>
      <c r="B68" s="23">
        <v>722200</v>
      </c>
      <c r="C68" s="9" t="s">
        <v>78</v>
      </c>
      <c r="D68" s="9"/>
      <c r="E68" s="36"/>
      <c r="F68" s="36"/>
      <c r="G68" s="37">
        <f t="shared" si="10"/>
        <v>0</v>
      </c>
      <c r="H68" s="37"/>
      <c r="I68" s="36"/>
      <c r="J68" s="36"/>
      <c r="K68" s="36"/>
      <c r="L68" s="36"/>
      <c r="M68" s="36"/>
      <c r="N68" s="36"/>
      <c r="O68" s="36"/>
      <c r="P68" s="36"/>
      <c r="Q68" s="72"/>
    </row>
    <row r="69" spans="1:17" ht="26.25" hidden="1" x14ac:dyDescent="0.25">
      <c r="A69" s="22">
        <v>5056</v>
      </c>
      <c r="B69" s="23">
        <v>722300</v>
      </c>
      <c r="C69" s="9" t="s">
        <v>79</v>
      </c>
      <c r="D69" s="9"/>
      <c r="E69" s="36"/>
      <c r="F69" s="36"/>
      <c r="G69" s="37">
        <f t="shared" si="10"/>
        <v>0</v>
      </c>
      <c r="H69" s="37"/>
      <c r="I69" s="36"/>
      <c r="J69" s="36"/>
      <c r="K69" s="36"/>
      <c r="L69" s="36"/>
      <c r="M69" s="36"/>
      <c r="N69" s="36"/>
      <c r="O69" s="36"/>
      <c r="P69" s="36"/>
      <c r="Q69" s="72"/>
    </row>
    <row r="70" spans="1:17" hidden="1" x14ac:dyDescent="0.25">
      <c r="A70" s="546" t="s">
        <v>0</v>
      </c>
      <c r="B70" s="543" t="s">
        <v>1</v>
      </c>
      <c r="C70" s="542" t="s">
        <v>2</v>
      </c>
      <c r="D70" s="474"/>
      <c r="E70" s="544" t="s">
        <v>3</v>
      </c>
      <c r="F70" s="476"/>
      <c r="G70" s="544" t="s">
        <v>4</v>
      </c>
      <c r="H70" s="544"/>
      <c r="I70" s="544"/>
      <c r="J70" s="544"/>
      <c r="K70" s="544"/>
      <c r="L70" s="544"/>
      <c r="M70" s="544"/>
      <c r="N70" s="544"/>
      <c r="O70" s="544"/>
      <c r="P70" s="544"/>
      <c r="Q70" s="547"/>
    </row>
    <row r="71" spans="1:17" hidden="1" x14ac:dyDescent="0.25">
      <c r="A71" s="546"/>
      <c r="B71" s="543"/>
      <c r="C71" s="542"/>
      <c r="D71" s="474"/>
      <c r="E71" s="544"/>
      <c r="F71" s="476"/>
      <c r="G71" s="548" t="s">
        <v>5</v>
      </c>
      <c r="H71" s="479"/>
      <c r="I71" s="544" t="s">
        <v>6</v>
      </c>
      <c r="J71" s="544"/>
      <c r="K71" s="544"/>
      <c r="L71" s="544"/>
      <c r="M71" s="544"/>
      <c r="N71" s="544"/>
      <c r="O71" s="544" t="s">
        <v>7</v>
      </c>
      <c r="P71" s="476"/>
      <c r="Q71" s="547" t="s">
        <v>8</v>
      </c>
    </row>
    <row r="72" spans="1:17" ht="39" hidden="1" x14ac:dyDescent="0.25">
      <c r="A72" s="546"/>
      <c r="B72" s="543"/>
      <c r="C72" s="542"/>
      <c r="D72" s="474"/>
      <c r="E72" s="544"/>
      <c r="F72" s="476"/>
      <c r="G72" s="548"/>
      <c r="H72" s="479"/>
      <c r="I72" s="476" t="s">
        <v>9</v>
      </c>
      <c r="J72" s="476" t="s">
        <v>10</v>
      </c>
      <c r="K72" s="476"/>
      <c r="L72" s="476" t="s">
        <v>11</v>
      </c>
      <c r="M72" s="476"/>
      <c r="N72" s="476" t="s">
        <v>12</v>
      </c>
      <c r="O72" s="544"/>
      <c r="P72" s="476"/>
      <c r="Q72" s="547"/>
    </row>
    <row r="73" spans="1:17" ht="26.25" hidden="1" x14ac:dyDescent="0.25">
      <c r="A73" s="31" t="s">
        <v>18</v>
      </c>
      <c r="B73" s="475" t="s">
        <v>19</v>
      </c>
      <c r="C73" s="475" t="s">
        <v>20</v>
      </c>
      <c r="D73" s="475"/>
      <c r="E73" s="33" t="s">
        <v>21</v>
      </c>
      <c r="F73" s="33"/>
      <c r="G73" s="33" t="s">
        <v>22</v>
      </c>
      <c r="H73" s="33"/>
      <c r="I73" s="33" t="s">
        <v>23</v>
      </c>
      <c r="J73" s="33" t="s">
        <v>24</v>
      </c>
      <c r="K73" s="33"/>
      <c r="L73" s="33" t="s">
        <v>25</v>
      </c>
      <c r="M73" s="33"/>
      <c r="N73" s="33" t="s">
        <v>26</v>
      </c>
      <c r="O73" s="33" t="s">
        <v>27</v>
      </c>
      <c r="P73" s="33"/>
      <c r="Q73" s="70" t="s">
        <v>28</v>
      </c>
    </row>
    <row r="74" spans="1:17" ht="39" hidden="1" x14ac:dyDescent="0.25">
      <c r="A74" s="484">
        <v>5057</v>
      </c>
      <c r="B74" s="476">
        <v>730000</v>
      </c>
      <c r="C74" s="18" t="s">
        <v>80</v>
      </c>
      <c r="D74" s="18"/>
      <c r="E74" s="19">
        <f>E75+E78+E83</f>
        <v>0</v>
      </c>
      <c r="F74" s="19"/>
      <c r="G74" s="19">
        <f t="shared" si="10"/>
        <v>0</v>
      </c>
      <c r="H74" s="19"/>
      <c r="I74" s="19">
        <f t="shared" ref="I74:Q74" si="16">I75+I78+I83</f>
        <v>0</v>
      </c>
      <c r="J74" s="19">
        <f t="shared" si="16"/>
        <v>0</v>
      </c>
      <c r="K74" s="19"/>
      <c r="L74" s="19">
        <f t="shared" si="16"/>
        <v>0</v>
      </c>
      <c r="M74" s="19"/>
      <c r="N74" s="19">
        <f t="shared" si="16"/>
        <v>0</v>
      </c>
      <c r="O74" s="19">
        <f t="shared" si="16"/>
        <v>0</v>
      </c>
      <c r="P74" s="19"/>
      <c r="Q74" s="67">
        <f t="shared" si="16"/>
        <v>0</v>
      </c>
    </row>
    <row r="75" spans="1:17" ht="26.25" hidden="1" x14ac:dyDescent="0.25">
      <c r="A75" s="484">
        <v>5058</v>
      </c>
      <c r="B75" s="476">
        <v>731000</v>
      </c>
      <c r="C75" s="18" t="s">
        <v>81</v>
      </c>
      <c r="D75" s="18"/>
      <c r="E75" s="19">
        <f>E76+E77</f>
        <v>0</v>
      </c>
      <c r="F75" s="19"/>
      <c r="G75" s="19">
        <f t="shared" si="10"/>
        <v>0</v>
      </c>
      <c r="H75" s="19"/>
      <c r="I75" s="19">
        <f t="shared" ref="I75:Q75" si="17">I76+I77</f>
        <v>0</v>
      </c>
      <c r="J75" s="19">
        <f t="shared" si="17"/>
        <v>0</v>
      </c>
      <c r="K75" s="19"/>
      <c r="L75" s="19">
        <f t="shared" si="17"/>
        <v>0</v>
      </c>
      <c r="M75" s="19"/>
      <c r="N75" s="19">
        <f t="shared" si="17"/>
        <v>0</v>
      </c>
      <c r="O75" s="19">
        <f t="shared" si="17"/>
        <v>0</v>
      </c>
      <c r="P75" s="19"/>
      <c r="Q75" s="67">
        <f t="shared" si="17"/>
        <v>0</v>
      </c>
    </row>
    <row r="76" spans="1:17" ht="26.25" hidden="1" x14ac:dyDescent="0.25">
      <c r="A76" s="22">
        <v>5059</v>
      </c>
      <c r="B76" s="23">
        <v>731100</v>
      </c>
      <c r="C76" s="9" t="s">
        <v>82</v>
      </c>
      <c r="D76" s="9"/>
      <c r="E76" s="36"/>
      <c r="F76" s="36"/>
      <c r="G76" s="37">
        <f t="shared" si="10"/>
        <v>0</v>
      </c>
      <c r="H76" s="37"/>
      <c r="I76" s="36"/>
      <c r="J76" s="36"/>
      <c r="K76" s="36"/>
      <c r="L76" s="36"/>
      <c r="M76" s="36"/>
      <c r="N76" s="36"/>
      <c r="O76" s="36"/>
      <c r="P76" s="36"/>
      <c r="Q76" s="72"/>
    </row>
    <row r="77" spans="1:17" ht="26.25" hidden="1" x14ac:dyDescent="0.25">
      <c r="A77" s="22">
        <v>5060</v>
      </c>
      <c r="B77" s="23">
        <v>731200</v>
      </c>
      <c r="C77" s="9" t="s">
        <v>83</v>
      </c>
      <c r="D77" s="9"/>
      <c r="E77" s="36"/>
      <c r="F77" s="36"/>
      <c r="G77" s="37">
        <f t="shared" si="10"/>
        <v>0</v>
      </c>
      <c r="H77" s="37"/>
      <c r="I77" s="36"/>
      <c r="J77" s="36"/>
      <c r="K77" s="36"/>
      <c r="L77" s="36"/>
      <c r="M77" s="36"/>
      <c r="N77" s="36"/>
      <c r="O77" s="36"/>
      <c r="P77" s="36"/>
      <c r="Q77" s="72"/>
    </row>
    <row r="78" spans="1:17" ht="51.75" hidden="1" x14ac:dyDescent="0.25">
      <c r="A78" s="484">
        <v>5061</v>
      </c>
      <c r="B78" s="476">
        <v>732000</v>
      </c>
      <c r="C78" s="18" t="s">
        <v>84</v>
      </c>
      <c r="D78" s="18"/>
      <c r="E78" s="19">
        <f>E79+E80+E81+E82</f>
        <v>0</v>
      </c>
      <c r="F78" s="19"/>
      <c r="G78" s="19">
        <f t="shared" si="10"/>
        <v>0</v>
      </c>
      <c r="H78" s="19"/>
      <c r="I78" s="19">
        <f t="shared" ref="I78:Q78" si="18">I79+I80+I81+I82</f>
        <v>0</v>
      </c>
      <c r="J78" s="19">
        <f t="shared" si="18"/>
        <v>0</v>
      </c>
      <c r="K78" s="19"/>
      <c r="L78" s="19">
        <f t="shared" si="18"/>
        <v>0</v>
      </c>
      <c r="M78" s="19"/>
      <c r="N78" s="19">
        <f t="shared" si="18"/>
        <v>0</v>
      </c>
      <c r="O78" s="19">
        <f t="shared" si="18"/>
        <v>0</v>
      </c>
      <c r="P78" s="19"/>
      <c r="Q78" s="67">
        <f t="shared" si="18"/>
        <v>0</v>
      </c>
    </row>
    <row r="79" spans="1:17" ht="26.25" hidden="1" x14ac:dyDescent="0.25">
      <c r="A79" s="22">
        <v>5062</v>
      </c>
      <c r="B79" s="23">
        <v>732100</v>
      </c>
      <c r="C79" s="9" t="s">
        <v>85</v>
      </c>
      <c r="D79" s="9"/>
      <c r="E79" s="36"/>
      <c r="F79" s="36"/>
      <c r="G79" s="37">
        <f t="shared" si="10"/>
        <v>0</v>
      </c>
      <c r="H79" s="37"/>
      <c r="I79" s="36"/>
      <c r="J79" s="36"/>
      <c r="K79" s="36"/>
      <c r="L79" s="36"/>
      <c r="M79" s="36"/>
      <c r="N79" s="36"/>
      <c r="O79" s="36"/>
      <c r="P79" s="36"/>
      <c r="Q79" s="72"/>
    </row>
    <row r="80" spans="1:17" ht="26.25" hidden="1" x14ac:dyDescent="0.25">
      <c r="A80" s="22">
        <v>5063</v>
      </c>
      <c r="B80" s="23">
        <v>732200</v>
      </c>
      <c r="C80" s="9" t="s">
        <v>86</v>
      </c>
      <c r="D80" s="9"/>
      <c r="E80" s="36"/>
      <c r="F80" s="36"/>
      <c r="G80" s="37">
        <f t="shared" si="10"/>
        <v>0</v>
      </c>
      <c r="H80" s="37"/>
      <c r="I80" s="36"/>
      <c r="J80" s="36"/>
      <c r="K80" s="36"/>
      <c r="L80" s="36"/>
      <c r="M80" s="36"/>
      <c r="N80" s="36"/>
      <c r="O80" s="36"/>
      <c r="P80" s="36"/>
      <c r="Q80" s="72"/>
    </row>
    <row r="81" spans="1:17" hidden="1" x14ac:dyDescent="0.25">
      <c r="A81" s="22">
        <v>5064</v>
      </c>
      <c r="B81" s="23">
        <v>732300</v>
      </c>
      <c r="C81" s="9" t="s">
        <v>87</v>
      </c>
      <c r="D81" s="9"/>
      <c r="E81" s="36"/>
      <c r="F81" s="36"/>
      <c r="G81" s="37">
        <f t="shared" si="10"/>
        <v>0</v>
      </c>
      <c r="H81" s="37"/>
      <c r="I81" s="36"/>
      <c r="J81" s="36"/>
      <c r="K81" s="36"/>
      <c r="L81" s="36"/>
      <c r="M81" s="36"/>
      <c r="N81" s="36"/>
      <c r="O81" s="36"/>
      <c r="P81" s="36"/>
      <c r="Q81" s="72"/>
    </row>
    <row r="82" spans="1:17" hidden="1" x14ac:dyDescent="0.25">
      <c r="A82" s="22">
        <v>5065</v>
      </c>
      <c r="B82" s="23">
        <v>732400</v>
      </c>
      <c r="C82" s="9" t="s">
        <v>88</v>
      </c>
      <c r="D82" s="9"/>
      <c r="E82" s="36"/>
      <c r="F82" s="36"/>
      <c r="G82" s="37">
        <f t="shared" si="10"/>
        <v>0</v>
      </c>
      <c r="H82" s="37"/>
      <c r="I82" s="36"/>
      <c r="J82" s="36"/>
      <c r="K82" s="36"/>
      <c r="L82" s="36"/>
      <c r="M82" s="36"/>
      <c r="N82" s="36"/>
      <c r="O82" s="36"/>
      <c r="P82" s="36"/>
      <c r="Q82" s="72"/>
    </row>
    <row r="83" spans="1:17" ht="26.25" hidden="1" x14ac:dyDescent="0.25">
      <c r="A83" s="484">
        <v>5066</v>
      </c>
      <c r="B83" s="476">
        <v>733000</v>
      </c>
      <c r="C83" s="18" t="s">
        <v>89</v>
      </c>
      <c r="D83" s="18"/>
      <c r="E83" s="19">
        <f>E84+E85</f>
        <v>0</v>
      </c>
      <c r="F83" s="19"/>
      <c r="G83" s="19">
        <f t="shared" si="10"/>
        <v>0</v>
      </c>
      <c r="H83" s="19"/>
      <c r="I83" s="19">
        <f t="shared" ref="I83:Q83" si="19">I84+I85</f>
        <v>0</v>
      </c>
      <c r="J83" s="19">
        <f t="shared" si="19"/>
        <v>0</v>
      </c>
      <c r="K83" s="19"/>
      <c r="L83" s="19">
        <f t="shared" si="19"/>
        <v>0</v>
      </c>
      <c r="M83" s="19"/>
      <c r="N83" s="19">
        <f t="shared" si="19"/>
        <v>0</v>
      </c>
      <c r="O83" s="19">
        <f t="shared" si="19"/>
        <v>0</v>
      </c>
      <c r="P83" s="19"/>
      <c r="Q83" s="67">
        <f t="shared" si="19"/>
        <v>0</v>
      </c>
    </row>
    <row r="84" spans="1:17" ht="26.25" hidden="1" x14ac:dyDescent="0.25">
      <c r="A84" s="22">
        <v>5067</v>
      </c>
      <c r="B84" s="23">
        <v>733100</v>
      </c>
      <c r="C84" s="9" t="s">
        <v>90</v>
      </c>
      <c r="D84" s="9"/>
      <c r="E84" s="36"/>
      <c r="F84" s="36"/>
      <c r="G84" s="37">
        <f t="shared" ref="G84:G119" si="20">SUM(I84:Q84)</f>
        <v>0</v>
      </c>
      <c r="H84" s="37"/>
      <c r="I84" s="36"/>
      <c r="J84" s="36"/>
      <c r="K84" s="36"/>
      <c r="L84" s="36"/>
      <c r="M84" s="36"/>
      <c r="N84" s="36"/>
      <c r="O84" s="36"/>
      <c r="P84" s="36"/>
      <c r="Q84" s="72"/>
    </row>
    <row r="85" spans="1:17" ht="26.25" hidden="1" x14ac:dyDescent="0.25">
      <c r="A85" s="22">
        <v>5068</v>
      </c>
      <c r="B85" s="23">
        <v>733200</v>
      </c>
      <c r="C85" s="9" t="s">
        <v>91</v>
      </c>
      <c r="D85" s="9"/>
      <c r="E85" s="36"/>
      <c r="F85" s="36"/>
      <c r="G85" s="37">
        <f t="shared" si="20"/>
        <v>0</v>
      </c>
      <c r="H85" s="37"/>
      <c r="I85" s="36"/>
      <c r="J85" s="36"/>
      <c r="K85" s="36"/>
      <c r="L85" s="36"/>
      <c r="M85" s="36"/>
      <c r="N85" s="36"/>
      <c r="O85" s="36"/>
      <c r="P85" s="36"/>
      <c r="Q85" s="72"/>
    </row>
    <row r="86" spans="1:17" ht="26.25" x14ac:dyDescent="0.25">
      <c r="A86" s="484">
        <v>5069</v>
      </c>
      <c r="B86" s="476">
        <v>740000</v>
      </c>
      <c r="C86" s="18" t="s">
        <v>92</v>
      </c>
      <c r="D86" s="18"/>
      <c r="E86" s="19">
        <f>E87+E94+E99+E110+E113</f>
        <v>19095</v>
      </c>
      <c r="F86" s="19">
        <f>F87+F94+F99+F110+F113+F120</f>
        <v>14931</v>
      </c>
      <c r="G86" s="19">
        <f t="shared" ref="G86:Q86" si="21">G87+G94+G99+G110+G113</f>
        <v>14780</v>
      </c>
      <c r="H86" s="19">
        <f>H87+H94+H99+H110+H113</f>
        <v>1200</v>
      </c>
      <c r="I86" s="19">
        <f t="shared" si="21"/>
        <v>1165</v>
      </c>
      <c r="J86" s="19">
        <f t="shared" si="21"/>
        <v>0</v>
      </c>
      <c r="K86" s="19">
        <f t="shared" si="21"/>
        <v>0</v>
      </c>
      <c r="L86" s="19">
        <f t="shared" si="21"/>
        <v>0</v>
      </c>
      <c r="M86" s="19">
        <v>1131</v>
      </c>
      <c r="N86" s="19">
        <f t="shared" si="21"/>
        <v>1130</v>
      </c>
      <c r="O86" s="19">
        <f t="shared" si="21"/>
        <v>0</v>
      </c>
      <c r="P86" s="19">
        <f>P87+P94+P99+P110+P113+P120</f>
        <v>12600</v>
      </c>
      <c r="Q86" s="67">
        <f t="shared" si="21"/>
        <v>12485</v>
      </c>
    </row>
    <row r="87" spans="1:17" ht="26.25" x14ac:dyDescent="0.25">
      <c r="A87" s="484">
        <v>5070</v>
      </c>
      <c r="B87" s="476">
        <v>741000</v>
      </c>
      <c r="C87" s="18" t="s">
        <v>93</v>
      </c>
      <c r="D87" s="18"/>
      <c r="E87" s="19">
        <f>SUM(E88:E93)</f>
        <v>1130</v>
      </c>
      <c r="F87" s="19">
        <f t="shared" ref="F87:Q87" si="22">SUM(F88:F93)</f>
        <v>1131</v>
      </c>
      <c r="G87" s="19">
        <f>SUM(G88:G93)</f>
        <v>1130</v>
      </c>
      <c r="H87" s="19">
        <f t="shared" si="22"/>
        <v>0</v>
      </c>
      <c r="I87" s="19">
        <f t="shared" si="22"/>
        <v>0</v>
      </c>
      <c r="J87" s="19">
        <f t="shared" si="22"/>
        <v>0</v>
      </c>
      <c r="K87" s="19">
        <f t="shared" si="22"/>
        <v>0</v>
      </c>
      <c r="L87" s="19">
        <f t="shared" si="22"/>
        <v>0</v>
      </c>
      <c r="M87" s="19">
        <f t="shared" si="22"/>
        <v>1131</v>
      </c>
      <c r="N87" s="19">
        <f t="shared" si="22"/>
        <v>1130</v>
      </c>
      <c r="O87" s="19">
        <f t="shared" si="22"/>
        <v>0</v>
      </c>
      <c r="P87" s="19">
        <f t="shared" si="22"/>
        <v>0</v>
      </c>
      <c r="Q87" s="67">
        <f t="shared" si="22"/>
        <v>0</v>
      </c>
    </row>
    <row r="88" spans="1:17" hidden="1" x14ac:dyDescent="0.25">
      <c r="A88" s="22">
        <v>5071</v>
      </c>
      <c r="B88" s="23">
        <v>741100</v>
      </c>
      <c r="C88" s="9" t="s">
        <v>94</v>
      </c>
      <c r="D88" s="9"/>
      <c r="E88" s="36"/>
      <c r="F88" s="36"/>
      <c r="G88" s="37">
        <f t="shared" si="20"/>
        <v>0</v>
      </c>
      <c r="H88" s="37"/>
      <c r="I88" s="36"/>
      <c r="J88" s="36"/>
      <c r="K88" s="36"/>
      <c r="L88" s="36"/>
      <c r="M88" s="36"/>
      <c r="N88" s="36"/>
      <c r="O88" s="36"/>
      <c r="P88" s="36"/>
      <c r="Q88" s="72"/>
    </row>
    <row r="89" spans="1:17" hidden="1" x14ac:dyDescent="0.25">
      <c r="A89" s="22">
        <v>5072</v>
      </c>
      <c r="B89" s="23">
        <v>741200</v>
      </c>
      <c r="C89" s="9" t="s">
        <v>95</v>
      </c>
      <c r="D89" s="9"/>
      <c r="E89" s="36"/>
      <c r="F89" s="36"/>
      <c r="G89" s="37">
        <f t="shared" si="20"/>
        <v>0</v>
      </c>
      <c r="H89" s="37"/>
      <c r="I89" s="36"/>
      <c r="J89" s="36"/>
      <c r="K89" s="36"/>
      <c r="L89" s="36"/>
      <c r="M89" s="36"/>
      <c r="N89" s="36"/>
      <c r="O89" s="36"/>
      <c r="P89" s="36"/>
      <c r="Q89" s="72"/>
    </row>
    <row r="90" spans="1:17" ht="26.25" hidden="1" x14ac:dyDescent="0.25">
      <c r="A90" s="22">
        <v>5073</v>
      </c>
      <c r="B90" s="23">
        <v>741300</v>
      </c>
      <c r="C90" s="9" t="s">
        <v>96</v>
      </c>
      <c r="D90" s="9"/>
      <c r="E90" s="36"/>
      <c r="F90" s="36"/>
      <c r="G90" s="37">
        <f t="shared" si="20"/>
        <v>0</v>
      </c>
      <c r="H90" s="37"/>
      <c r="I90" s="36"/>
      <c r="J90" s="36"/>
      <c r="K90" s="36"/>
      <c r="L90" s="36"/>
      <c r="M90" s="36"/>
      <c r="N90" s="36"/>
      <c r="O90" s="36"/>
      <c r="P90" s="36"/>
      <c r="Q90" s="72"/>
    </row>
    <row r="91" spans="1:17" ht="26.25" x14ac:dyDescent="0.25">
      <c r="A91" s="22">
        <v>5074</v>
      </c>
      <c r="B91" s="23">
        <v>741400</v>
      </c>
      <c r="C91" s="9" t="s">
        <v>97</v>
      </c>
      <c r="D91" s="9"/>
      <c r="E91" s="20">
        <v>1130</v>
      </c>
      <c r="F91" s="38">
        <f>H91+K91+M91+P91</f>
        <v>1131</v>
      </c>
      <c r="G91" s="37">
        <f>SUM(I91:Q91)-K91-M91-P91</f>
        <v>1130</v>
      </c>
      <c r="H91" s="37"/>
      <c r="I91" s="38"/>
      <c r="J91" s="38"/>
      <c r="K91" s="38"/>
      <c r="L91" s="38"/>
      <c r="M91" s="38">
        <v>1131</v>
      </c>
      <c r="N91" s="38">
        <v>1130</v>
      </c>
      <c r="O91" s="38"/>
      <c r="P91" s="38"/>
      <c r="Q91" s="73"/>
    </row>
    <row r="92" spans="1:17" hidden="1" x14ac:dyDescent="0.25">
      <c r="A92" s="22">
        <v>5075</v>
      </c>
      <c r="B92" s="23">
        <v>741500</v>
      </c>
      <c r="C92" s="9" t="s">
        <v>98</v>
      </c>
      <c r="D92" s="9"/>
      <c r="E92" s="36"/>
      <c r="F92" s="20">
        <f t="shared" ref="F92:F138" si="23">H92+K92+M92+P92</f>
        <v>0</v>
      </c>
      <c r="G92" s="37">
        <f t="shared" si="20"/>
        <v>0</v>
      </c>
      <c r="H92" s="37"/>
      <c r="I92" s="36"/>
      <c r="J92" s="36"/>
      <c r="K92" s="36"/>
      <c r="L92" s="36"/>
      <c r="M92" s="36"/>
      <c r="N92" s="36"/>
      <c r="O92" s="36"/>
      <c r="P92" s="36"/>
      <c r="Q92" s="72"/>
    </row>
    <row r="93" spans="1:17" ht="26.25" hidden="1" x14ac:dyDescent="0.25">
      <c r="A93" s="22">
        <v>5076</v>
      </c>
      <c r="B93" s="23">
        <v>741600</v>
      </c>
      <c r="C93" s="9" t="s">
        <v>99</v>
      </c>
      <c r="D93" s="9"/>
      <c r="E93" s="36"/>
      <c r="F93" s="20">
        <f t="shared" si="23"/>
        <v>0</v>
      </c>
      <c r="G93" s="37">
        <f t="shared" si="20"/>
        <v>0</v>
      </c>
      <c r="H93" s="37"/>
      <c r="I93" s="36"/>
      <c r="J93" s="36"/>
      <c r="K93" s="36"/>
      <c r="L93" s="36"/>
      <c r="M93" s="36"/>
      <c r="N93" s="36"/>
      <c r="O93" s="36"/>
      <c r="P93" s="36"/>
      <c r="Q93" s="72"/>
    </row>
    <row r="94" spans="1:17" ht="39" x14ac:dyDescent="0.25">
      <c r="A94" s="484">
        <v>5077</v>
      </c>
      <c r="B94" s="476">
        <v>742000</v>
      </c>
      <c r="C94" s="18" t="s">
        <v>100</v>
      </c>
      <c r="D94" s="18"/>
      <c r="E94" s="19">
        <f>SUM(E95:E98)</f>
        <v>13865</v>
      </c>
      <c r="F94" s="20">
        <f>SUM(F95:F98)</f>
        <v>13700</v>
      </c>
      <c r="G94" s="19">
        <f t="shared" ref="G94:Q94" si="24">SUM(G95:G98)</f>
        <v>13236</v>
      </c>
      <c r="H94" s="19">
        <f t="shared" si="24"/>
        <v>1200</v>
      </c>
      <c r="I94" s="19">
        <f t="shared" si="24"/>
        <v>1165</v>
      </c>
      <c r="J94" s="19">
        <f t="shared" si="24"/>
        <v>0</v>
      </c>
      <c r="K94" s="19">
        <f t="shared" si="24"/>
        <v>0</v>
      </c>
      <c r="L94" s="19">
        <f t="shared" si="24"/>
        <v>0</v>
      </c>
      <c r="M94" s="19">
        <f t="shared" si="24"/>
        <v>0</v>
      </c>
      <c r="N94" s="19">
        <f t="shared" si="24"/>
        <v>0</v>
      </c>
      <c r="O94" s="19">
        <f t="shared" si="24"/>
        <v>0</v>
      </c>
      <c r="P94" s="19">
        <f t="shared" si="24"/>
        <v>12500</v>
      </c>
      <c r="Q94" s="67">
        <f t="shared" si="24"/>
        <v>12071</v>
      </c>
    </row>
    <row r="95" spans="1:17" ht="26.25" x14ac:dyDescent="0.25">
      <c r="A95" s="22">
        <v>5078</v>
      </c>
      <c r="B95" s="23">
        <v>742100</v>
      </c>
      <c r="C95" s="9" t="s">
        <v>508</v>
      </c>
      <c r="D95" s="9"/>
      <c r="E95" s="36">
        <v>5000</v>
      </c>
      <c r="F95" s="38">
        <f t="shared" si="23"/>
        <v>5000</v>
      </c>
      <c r="G95" s="37">
        <f>SUM(I95:Q95)-K95-M95-P95</f>
        <v>4891</v>
      </c>
      <c r="H95" s="37"/>
      <c r="I95" s="36"/>
      <c r="J95" s="36"/>
      <c r="K95" s="36"/>
      <c r="L95" s="36"/>
      <c r="M95" s="36"/>
      <c r="N95" s="36"/>
      <c r="O95" s="36"/>
      <c r="P95" s="36">
        <v>5000</v>
      </c>
      <c r="Q95" s="72">
        <v>4891</v>
      </c>
    </row>
    <row r="96" spans="1:17" hidden="1" x14ac:dyDescent="0.25">
      <c r="A96" s="22">
        <v>5079</v>
      </c>
      <c r="B96" s="23">
        <v>742200</v>
      </c>
      <c r="C96" s="9" t="s">
        <v>102</v>
      </c>
      <c r="D96" s="9"/>
      <c r="E96" s="36"/>
      <c r="F96" s="20">
        <f t="shared" si="23"/>
        <v>0</v>
      </c>
      <c r="G96" s="37">
        <f t="shared" ref="G96" si="25">SUM(I96:Q96)-H96-K96-M96-P96</f>
        <v>0</v>
      </c>
      <c r="H96" s="37"/>
      <c r="I96" s="36"/>
      <c r="J96" s="36"/>
      <c r="K96" s="36"/>
      <c r="L96" s="36"/>
      <c r="M96" s="36"/>
      <c r="N96" s="36"/>
      <c r="O96" s="36"/>
      <c r="P96" s="36"/>
      <c r="Q96" s="72"/>
    </row>
    <row r="97" spans="1:17" ht="39" x14ac:dyDescent="0.25">
      <c r="A97" s="22">
        <v>5080</v>
      </c>
      <c r="B97" s="23">
        <v>742300</v>
      </c>
      <c r="C97" s="9" t="s">
        <v>103</v>
      </c>
      <c r="D97" s="9"/>
      <c r="E97" s="36">
        <v>8865</v>
      </c>
      <c r="F97" s="38">
        <f t="shared" si="23"/>
        <v>8700</v>
      </c>
      <c r="G97" s="37">
        <f>SUM(I97:Q97)-K97-M97-P97</f>
        <v>8345</v>
      </c>
      <c r="H97" s="37">
        <v>1200</v>
      </c>
      <c r="I97" s="36">
        <v>1165</v>
      </c>
      <c r="J97" s="36"/>
      <c r="K97" s="36"/>
      <c r="L97" s="36"/>
      <c r="M97" s="36"/>
      <c r="N97" s="36"/>
      <c r="O97" s="36"/>
      <c r="P97" s="36">
        <v>7500</v>
      </c>
      <c r="Q97" s="72">
        <v>7180</v>
      </c>
    </row>
    <row r="98" spans="1:17" ht="26.25" hidden="1" x14ac:dyDescent="0.25">
      <c r="A98" s="22">
        <v>5081</v>
      </c>
      <c r="B98" s="23">
        <v>742400</v>
      </c>
      <c r="C98" s="9" t="s">
        <v>104</v>
      </c>
      <c r="D98" s="9"/>
      <c r="E98" s="36"/>
      <c r="F98" s="38">
        <f t="shared" si="23"/>
        <v>0</v>
      </c>
      <c r="G98" s="37">
        <f t="shared" si="20"/>
        <v>0</v>
      </c>
      <c r="H98" s="37"/>
      <c r="I98" s="36"/>
      <c r="J98" s="36"/>
      <c r="K98" s="36"/>
      <c r="L98" s="36"/>
      <c r="M98" s="36"/>
      <c r="N98" s="36"/>
      <c r="O98" s="36"/>
      <c r="P98" s="36"/>
      <c r="Q98" s="72"/>
    </row>
    <row r="99" spans="1:17" ht="39" hidden="1" x14ac:dyDescent="0.25">
      <c r="A99" s="484">
        <v>5082</v>
      </c>
      <c r="B99" s="476">
        <v>743000</v>
      </c>
      <c r="C99" s="18" t="s">
        <v>105</v>
      </c>
      <c r="D99" s="18"/>
      <c r="E99" s="19">
        <f>SUM(E104:E109)</f>
        <v>0</v>
      </c>
      <c r="F99" s="38">
        <f t="shared" si="23"/>
        <v>0</v>
      </c>
      <c r="G99" s="19">
        <f t="shared" si="20"/>
        <v>0</v>
      </c>
      <c r="H99" s="19"/>
      <c r="I99" s="19">
        <f t="shared" ref="I99:Q99" si="26">SUM(I104:I109)</f>
        <v>0</v>
      </c>
      <c r="J99" s="19">
        <f t="shared" si="26"/>
        <v>0</v>
      </c>
      <c r="K99" s="19"/>
      <c r="L99" s="19">
        <f t="shared" si="26"/>
        <v>0</v>
      </c>
      <c r="M99" s="19"/>
      <c r="N99" s="19">
        <f t="shared" si="26"/>
        <v>0</v>
      </c>
      <c r="O99" s="19">
        <f t="shared" si="26"/>
        <v>0</v>
      </c>
      <c r="P99" s="19"/>
      <c r="Q99" s="67">
        <f t="shared" si="26"/>
        <v>0</v>
      </c>
    </row>
    <row r="100" spans="1:17" hidden="1" x14ac:dyDescent="0.25">
      <c r="A100" s="546" t="s">
        <v>0</v>
      </c>
      <c r="B100" s="543" t="s">
        <v>1</v>
      </c>
      <c r="C100" s="542" t="s">
        <v>2</v>
      </c>
      <c r="D100" s="474"/>
      <c r="E100" s="544" t="s">
        <v>3</v>
      </c>
      <c r="F100" s="38">
        <f t="shared" si="23"/>
        <v>0</v>
      </c>
      <c r="G100" s="544" t="s">
        <v>4</v>
      </c>
      <c r="H100" s="544"/>
      <c r="I100" s="544"/>
      <c r="J100" s="544"/>
      <c r="K100" s="544"/>
      <c r="L100" s="544"/>
      <c r="M100" s="544"/>
      <c r="N100" s="544"/>
      <c r="O100" s="544"/>
      <c r="P100" s="544"/>
      <c r="Q100" s="547"/>
    </row>
    <row r="101" spans="1:17" hidden="1" x14ac:dyDescent="0.25">
      <c r="A101" s="546"/>
      <c r="B101" s="543"/>
      <c r="C101" s="542"/>
      <c r="D101" s="474"/>
      <c r="E101" s="544"/>
      <c r="F101" s="38">
        <f t="shared" si="23"/>
        <v>0</v>
      </c>
      <c r="G101" s="548" t="s">
        <v>5</v>
      </c>
      <c r="H101" s="479"/>
      <c r="I101" s="544" t="s">
        <v>6</v>
      </c>
      <c r="J101" s="544"/>
      <c r="K101" s="544"/>
      <c r="L101" s="544"/>
      <c r="M101" s="544"/>
      <c r="N101" s="544"/>
      <c r="O101" s="544" t="s">
        <v>7</v>
      </c>
      <c r="P101" s="476"/>
      <c r="Q101" s="547" t="s">
        <v>8</v>
      </c>
    </row>
    <row r="102" spans="1:17" ht="39" hidden="1" x14ac:dyDescent="0.25">
      <c r="A102" s="546"/>
      <c r="B102" s="543"/>
      <c r="C102" s="542"/>
      <c r="D102" s="474"/>
      <c r="E102" s="544"/>
      <c r="F102" s="38">
        <f t="shared" si="23"/>
        <v>0</v>
      </c>
      <c r="G102" s="548"/>
      <c r="H102" s="479"/>
      <c r="I102" s="476" t="s">
        <v>9</v>
      </c>
      <c r="J102" s="476" t="s">
        <v>10</v>
      </c>
      <c r="K102" s="476"/>
      <c r="L102" s="476" t="s">
        <v>11</v>
      </c>
      <c r="M102" s="476"/>
      <c r="N102" s="476" t="s">
        <v>12</v>
      </c>
      <c r="O102" s="544"/>
      <c r="P102" s="476"/>
      <c r="Q102" s="547"/>
    </row>
    <row r="103" spans="1:17" ht="26.25" hidden="1" x14ac:dyDescent="0.25">
      <c r="A103" s="31" t="s">
        <v>18</v>
      </c>
      <c r="B103" s="475" t="s">
        <v>19</v>
      </c>
      <c r="C103" s="475" t="s">
        <v>20</v>
      </c>
      <c r="D103" s="475"/>
      <c r="E103" s="33" t="s">
        <v>21</v>
      </c>
      <c r="F103" s="38">
        <f t="shared" si="23"/>
        <v>0</v>
      </c>
      <c r="G103" s="33" t="s">
        <v>22</v>
      </c>
      <c r="H103" s="33"/>
      <c r="I103" s="33" t="s">
        <v>23</v>
      </c>
      <c r="J103" s="33" t="s">
        <v>24</v>
      </c>
      <c r="K103" s="33"/>
      <c r="L103" s="33" t="s">
        <v>25</v>
      </c>
      <c r="M103" s="33"/>
      <c r="N103" s="33" t="s">
        <v>26</v>
      </c>
      <c r="O103" s="33" t="s">
        <v>27</v>
      </c>
      <c r="P103" s="33"/>
      <c r="Q103" s="70" t="s">
        <v>28</v>
      </c>
    </row>
    <row r="104" spans="1:17" ht="26.25" hidden="1" x14ac:dyDescent="0.25">
      <c r="A104" s="22">
        <v>5083</v>
      </c>
      <c r="B104" s="23">
        <v>743100</v>
      </c>
      <c r="C104" s="9" t="s">
        <v>106</v>
      </c>
      <c r="D104" s="9"/>
      <c r="E104" s="36"/>
      <c r="F104" s="38">
        <f t="shared" si="23"/>
        <v>0</v>
      </c>
      <c r="G104" s="37">
        <f t="shared" si="20"/>
        <v>0</v>
      </c>
      <c r="H104" s="37"/>
      <c r="I104" s="36"/>
      <c r="J104" s="36"/>
      <c r="K104" s="36"/>
      <c r="L104" s="36"/>
      <c r="M104" s="36"/>
      <c r="N104" s="36"/>
      <c r="O104" s="36"/>
      <c r="P104" s="36"/>
      <c r="Q104" s="72"/>
    </row>
    <row r="105" spans="1:17" ht="26.25" hidden="1" x14ac:dyDescent="0.25">
      <c r="A105" s="22">
        <v>5084</v>
      </c>
      <c r="B105" s="23">
        <v>743200</v>
      </c>
      <c r="C105" s="9" t="s">
        <v>107</v>
      </c>
      <c r="D105" s="9"/>
      <c r="E105" s="36"/>
      <c r="F105" s="38">
        <f t="shared" si="23"/>
        <v>0</v>
      </c>
      <c r="G105" s="37">
        <f t="shared" si="20"/>
        <v>0</v>
      </c>
      <c r="H105" s="37"/>
      <c r="I105" s="36"/>
      <c r="J105" s="36"/>
      <c r="K105" s="36"/>
      <c r="L105" s="36"/>
      <c r="M105" s="36"/>
      <c r="N105" s="36"/>
      <c r="O105" s="36"/>
      <c r="P105" s="36"/>
      <c r="Q105" s="72"/>
    </row>
    <row r="106" spans="1:17" ht="26.25" hidden="1" x14ac:dyDescent="0.25">
      <c r="A106" s="22">
        <v>5085</v>
      </c>
      <c r="B106" s="23">
        <v>743300</v>
      </c>
      <c r="C106" s="9" t="s">
        <v>108</v>
      </c>
      <c r="D106" s="9"/>
      <c r="E106" s="36"/>
      <c r="F106" s="38">
        <f t="shared" si="23"/>
        <v>0</v>
      </c>
      <c r="G106" s="37">
        <f t="shared" si="20"/>
        <v>0</v>
      </c>
      <c r="H106" s="37"/>
      <c r="I106" s="36"/>
      <c r="J106" s="36"/>
      <c r="K106" s="36"/>
      <c r="L106" s="36"/>
      <c r="M106" s="36"/>
      <c r="N106" s="36"/>
      <c r="O106" s="36"/>
      <c r="P106" s="36"/>
      <c r="Q106" s="72"/>
    </row>
    <row r="107" spans="1:17" hidden="1" x14ac:dyDescent="0.25">
      <c r="A107" s="22">
        <v>5086</v>
      </c>
      <c r="B107" s="23">
        <v>743400</v>
      </c>
      <c r="C107" s="9" t="s">
        <v>109</v>
      </c>
      <c r="D107" s="9"/>
      <c r="E107" s="36"/>
      <c r="F107" s="38">
        <f t="shared" si="23"/>
        <v>0</v>
      </c>
      <c r="G107" s="37">
        <f t="shared" si="20"/>
        <v>0</v>
      </c>
      <c r="H107" s="37"/>
      <c r="I107" s="36"/>
      <c r="J107" s="36"/>
      <c r="K107" s="36"/>
      <c r="L107" s="36"/>
      <c r="M107" s="36"/>
      <c r="N107" s="36"/>
      <c r="O107" s="36"/>
      <c r="P107" s="36"/>
      <c r="Q107" s="72"/>
    </row>
    <row r="108" spans="1:17" ht="26.25" hidden="1" x14ac:dyDescent="0.25">
      <c r="A108" s="22">
        <v>5087</v>
      </c>
      <c r="B108" s="23">
        <v>743500</v>
      </c>
      <c r="C108" s="9" t="s">
        <v>110</v>
      </c>
      <c r="D108" s="9"/>
      <c r="E108" s="36"/>
      <c r="F108" s="38">
        <f t="shared" si="23"/>
        <v>0</v>
      </c>
      <c r="G108" s="37">
        <f t="shared" si="20"/>
        <v>0</v>
      </c>
      <c r="H108" s="37"/>
      <c r="I108" s="36"/>
      <c r="J108" s="36"/>
      <c r="K108" s="36"/>
      <c r="L108" s="36"/>
      <c r="M108" s="36"/>
      <c r="N108" s="36"/>
      <c r="O108" s="36"/>
      <c r="P108" s="36"/>
      <c r="Q108" s="72"/>
    </row>
    <row r="109" spans="1:17" ht="39" hidden="1" x14ac:dyDescent="0.25">
      <c r="A109" s="22">
        <v>5088</v>
      </c>
      <c r="B109" s="23">
        <v>743900</v>
      </c>
      <c r="C109" s="9" t="s">
        <v>111</v>
      </c>
      <c r="D109" s="9"/>
      <c r="E109" s="36"/>
      <c r="F109" s="38">
        <f t="shared" si="23"/>
        <v>0</v>
      </c>
      <c r="G109" s="37">
        <f t="shared" si="20"/>
        <v>0</v>
      </c>
      <c r="H109" s="37"/>
      <c r="I109" s="36"/>
      <c r="J109" s="36"/>
      <c r="K109" s="36"/>
      <c r="L109" s="36"/>
      <c r="M109" s="36"/>
      <c r="N109" s="36"/>
      <c r="O109" s="36"/>
      <c r="P109" s="36"/>
      <c r="Q109" s="72"/>
    </row>
    <row r="110" spans="1:17" ht="39" hidden="1" x14ac:dyDescent="0.25">
      <c r="A110" s="484">
        <v>5089</v>
      </c>
      <c r="B110" s="476">
        <v>744000</v>
      </c>
      <c r="C110" s="18" t="s">
        <v>112</v>
      </c>
      <c r="D110" s="18"/>
      <c r="E110" s="19">
        <f>E111+E112</f>
        <v>4100</v>
      </c>
      <c r="F110" s="38">
        <f t="shared" si="23"/>
        <v>0</v>
      </c>
      <c r="G110" s="19">
        <f t="shared" ref="G110:Q110" si="27">G111+G112</f>
        <v>414</v>
      </c>
      <c r="H110" s="19">
        <f t="shared" si="27"/>
        <v>0</v>
      </c>
      <c r="I110" s="19">
        <f t="shared" si="27"/>
        <v>0</v>
      </c>
      <c r="J110" s="19">
        <f t="shared" si="27"/>
        <v>0</v>
      </c>
      <c r="K110" s="19">
        <f t="shared" si="27"/>
        <v>0</v>
      </c>
      <c r="L110" s="19">
        <f t="shared" si="27"/>
        <v>0</v>
      </c>
      <c r="M110" s="19">
        <f t="shared" si="27"/>
        <v>0</v>
      </c>
      <c r="N110" s="19">
        <f t="shared" si="27"/>
        <v>0</v>
      </c>
      <c r="O110" s="19">
        <f t="shared" si="27"/>
        <v>0</v>
      </c>
      <c r="P110" s="19">
        <f t="shared" si="27"/>
        <v>0</v>
      </c>
      <c r="Q110" s="67">
        <f t="shared" si="27"/>
        <v>414</v>
      </c>
    </row>
    <row r="111" spans="1:17" ht="26.25" hidden="1" x14ac:dyDescent="0.25">
      <c r="A111" s="22">
        <v>5090</v>
      </c>
      <c r="B111" s="23">
        <v>744100</v>
      </c>
      <c r="C111" s="9" t="s">
        <v>113</v>
      </c>
      <c r="D111" s="9"/>
      <c r="E111" s="36">
        <v>4100</v>
      </c>
      <c r="F111" s="38">
        <f t="shared" si="23"/>
        <v>0</v>
      </c>
      <c r="G111" s="37">
        <f t="shared" si="20"/>
        <v>414</v>
      </c>
      <c r="H111" s="37"/>
      <c r="I111" s="36"/>
      <c r="J111" s="36"/>
      <c r="K111" s="36"/>
      <c r="L111" s="36"/>
      <c r="M111" s="36"/>
      <c r="N111" s="36"/>
      <c r="O111" s="36"/>
      <c r="P111" s="36"/>
      <c r="Q111" s="72">
        <v>414</v>
      </c>
    </row>
    <row r="112" spans="1:17" ht="39" hidden="1" x14ac:dyDescent="0.25">
      <c r="A112" s="22">
        <v>5091</v>
      </c>
      <c r="B112" s="23">
        <v>744200</v>
      </c>
      <c r="C112" s="9" t="s">
        <v>114</v>
      </c>
      <c r="D112" s="9"/>
      <c r="E112" s="36"/>
      <c r="F112" s="38">
        <f t="shared" si="23"/>
        <v>0</v>
      </c>
      <c r="G112" s="37">
        <f t="shared" si="20"/>
        <v>0</v>
      </c>
      <c r="H112" s="37"/>
      <c r="I112" s="36"/>
      <c r="J112" s="36"/>
      <c r="K112" s="36"/>
      <c r="L112" s="36"/>
      <c r="M112" s="36"/>
      <c r="N112" s="36"/>
      <c r="O112" s="36"/>
      <c r="P112" s="36"/>
      <c r="Q112" s="72"/>
    </row>
    <row r="113" spans="1:22" ht="26.25" hidden="1" x14ac:dyDescent="0.25">
      <c r="A113" s="484">
        <v>5092</v>
      </c>
      <c r="B113" s="476">
        <v>745000</v>
      </c>
      <c r="C113" s="18" t="s">
        <v>115</v>
      </c>
      <c r="D113" s="18"/>
      <c r="E113" s="19">
        <f>E114</f>
        <v>0</v>
      </c>
      <c r="F113" s="38">
        <f t="shared" si="23"/>
        <v>0</v>
      </c>
      <c r="G113" s="19">
        <f t="shared" si="20"/>
        <v>0</v>
      </c>
      <c r="H113" s="19"/>
      <c r="I113" s="19">
        <f t="shared" ref="I113:Q113" si="28">I114</f>
        <v>0</v>
      </c>
      <c r="J113" s="19">
        <f t="shared" si="28"/>
        <v>0</v>
      </c>
      <c r="K113" s="19"/>
      <c r="L113" s="19">
        <f t="shared" si="28"/>
        <v>0</v>
      </c>
      <c r="M113" s="19"/>
      <c r="N113" s="19">
        <f t="shared" si="28"/>
        <v>0</v>
      </c>
      <c r="O113" s="19">
        <f t="shared" si="28"/>
        <v>0</v>
      </c>
      <c r="P113" s="19"/>
      <c r="Q113" s="67">
        <f t="shared" si="28"/>
        <v>0</v>
      </c>
    </row>
    <row r="114" spans="1:22" hidden="1" x14ac:dyDescent="0.25">
      <c r="A114" s="22">
        <v>5093</v>
      </c>
      <c r="B114" s="23">
        <v>745100</v>
      </c>
      <c r="C114" s="9" t="s">
        <v>116</v>
      </c>
      <c r="D114" s="9"/>
      <c r="E114" s="36"/>
      <c r="F114" s="38">
        <f t="shared" si="23"/>
        <v>0</v>
      </c>
      <c r="G114" s="37">
        <f t="shared" si="20"/>
        <v>0</v>
      </c>
      <c r="H114" s="37"/>
      <c r="I114" s="36"/>
      <c r="J114" s="36"/>
      <c r="K114" s="36"/>
      <c r="L114" s="36"/>
      <c r="M114" s="36"/>
      <c r="N114" s="36"/>
      <c r="O114" s="36"/>
      <c r="P114" s="36"/>
      <c r="Q114" s="72"/>
    </row>
    <row r="115" spans="1:22" ht="39" hidden="1" x14ac:dyDescent="0.25">
      <c r="A115" s="484">
        <v>5094</v>
      </c>
      <c r="B115" s="476">
        <v>770000</v>
      </c>
      <c r="C115" s="18" t="s">
        <v>117</v>
      </c>
      <c r="D115" s="18"/>
      <c r="E115" s="19">
        <f>E116+E118</f>
        <v>0</v>
      </c>
      <c r="F115" s="38">
        <f t="shared" si="23"/>
        <v>0</v>
      </c>
      <c r="G115" s="19">
        <f t="shared" si="20"/>
        <v>0</v>
      </c>
      <c r="H115" s="19"/>
      <c r="I115" s="19">
        <f t="shared" ref="I115:Q115" si="29">I116+I118</f>
        <v>0</v>
      </c>
      <c r="J115" s="19">
        <f t="shared" si="29"/>
        <v>0</v>
      </c>
      <c r="K115" s="19"/>
      <c r="L115" s="19">
        <f t="shared" si="29"/>
        <v>0</v>
      </c>
      <c r="M115" s="19"/>
      <c r="N115" s="19">
        <f t="shared" si="29"/>
        <v>0</v>
      </c>
      <c r="O115" s="19">
        <f t="shared" si="29"/>
        <v>0</v>
      </c>
      <c r="P115" s="19"/>
      <c r="Q115" s="67">
        <f t="shared" si="29"/>
        <v>0</v>
      </c>
    </row>
    <row r="116" spans="1:22" ht="39" hidden="1" x14ac:dyDescent="0.25">
      <c r="A116" s="484">
        <v>5095</v>
      </c>
      <c r="B116" s="476">
        <v>771000</v>
      </c>
      <c r="C116" s="18" t="s">
        <v>118</v>
      </c>
      <c r="D116" s="18"/>
      <c r="E116" s="19">
        <f>E117</f>
        <v>0</v>
      </c>
      <c r="F116" s="38">
        <f t="shared" si="23"/>
        <v>0</v>
      </c>
      <c r="G116" s="19">
        <f t="shared" si="20"/>
        <v>0</v>
      </c>
      <c r="H116" s="19"/>
      <c r="I116" s="19">
        <f t="shared" ref="I116:Q116" si="30">I117</f>
        <v>0</v>
      </c>
      <c r="J116" s="19">
        <f t="shared" si="30"/>
        <v>0</v>
      </c>
      <c r="K116" s="19"/>
      <c r="L116" s="19">
        <f t="shared" si="30"/>
        <v>0</v>
      </c>
      <c r="M116" s="19"/>
      <c r="N116" s="19">
        <f t="shared" si="30"/>
        <v>0</v>
      </c>
      <c r="O116" s="19">
        <f t="shared" si="30"/>
        <v>0</v>
      </c>
      <c r="P116" s="19"/>
      <c r="Q116" s="67">
        <f t="shared" si="30"/>
        <v>0</v>
      </c>
    </row>
    <row r="117" spans="1:22" ht="26.25" hidden="1" x14ac:dyDescent="0.25">
      <c r="A117" s="22">
        <v>5096</v>
      </c>
      <c r="B117" s="23">
        <v>771100</v>
      </c>
      <c r="C117" s="9" t="s">
        <v>119</v>
      </c>
      <c r="D117" s="9"/>
      <c r="E117" s="36"/>
      <c r="F117" s="38">
        <f t="shared" si="23"/>
        <v>0</v>
      </c>
      <c r="G117" s="37">
        <f t="shared" si="20"/>
        <v>0</v>
      </c>
      <c r="H117" s="37"/>
      <c r="I117" s="36"/>
      <c r="J117" s="36"/>
      <c r="K117" s="36"/>
      <c r="L117" s="36"/>
      <c r="M117" s="36"/>
      <c r="N117" s="36"/>
      <c r="O117" s="36"/>
      <c r="P117" s="36"/>
      <c r="Q117" s="72"/>
    </row>
    <row r="118" spans="1:22" ht="51.75" hidden="1" x14ac:dyDescent="0.25">
      <c r="A118" s="484">
        <v>5097</v>
      </c>
      <c r="B118" s="476">
        <v>772000</v>
      </c>
      <c r="C118" s="18" t="s">
        <v>120</v>
      </c>
      <c r="D118" s="18"/>
      <c r="E118" s="19">
        <f>E119</f>
        <v>0</v>
      </c>
      <c r="F118" s="38">
        <f t="shared" si="23"/>
        <v>0</v>
      </c>
      <c r="G118" s="19">
        <f t="shared" si="20"/>
        <v>0</v>
      </c>
      <c r="H118" s="19"/>
      <c r="I118" s="19">
        <f t="shared" ref="I118:Q118" si="31">I119</f>
        <v>0</v>
      </c>
      <c r="J118" s="19">
        <f t="shared" si="31"/>
        <v>0</v>
      </c>
      <c r="K118" s="19"/>
      <c r="L118" s="19">
        <f t="shared" si="31"/>
        <v>0</v>
      </c>
      <c r="M118" s="19"/>
      <c r="N118" s="19">
        <f t="shared" si="31"/>
        <v>0</v>
      </c>
      <c r="O118" s="19">
        <f t="shared" si="31"/>
        <v>0</v>
      </c>
      <c r="P118" s="19"/>
      <c r="Q118" s="67">
        <f t="shared" si="31"/>
        <v>0</v>
      </c>
    </row>
    <row r="119" spans="1:22" ht="39" hidden="1" x14ac:dyDescent="0.25">
      <c r="A119" s="22">
        <v>5098</v>
      </c>
      <c r="B119" s="23">
        <v>772100</v>
      </c>
      <c r="C119" s="9" t="s">
        <v>121</v>
      </c>
      <c r="D119" s="9"/>
      <c r="E119" s="36"/>
      <c r="F119" s="38">
        <f t="shared" si="23"/>
        <v>0</v>
      </c>
      <c r="G119" s="37">
        <f t="shared" si="20"/>
        <v>0</v>
      </c>
      <c r="H119" s="37"/>
      <c r="I119" s="36"/>
      <c r="J119" s="36"/>
      <c r="K119" s="36"/>
      <c r="L119" s="36"/>
      <c r="M119" s="36"/>
      <c r="N119" s="36"/>
      <c r="O119" s="36"/>
      <c r="P119" s="36"/>
      <c r="Q119" s="72"/>
    </row>
    <row r="120" spans="1:22" ht="39" x14ac:dyDescent="0.25">
      <c r="A120" s="484">
        <v>5089</v>
      </c>
      <c r="B120" s="476">
        <v>744000</v>
      </c>
      <c r="C120" s="18" t="s">
        <v>112</v>
      </c>
      <c r="D120" s="18"/>
      <c r="E120" s="19">
        <f>E121+E122</f>
        <v>1447862</v>
      </c>
      <c r="F120" s="48">
        <f t="shared" si="23"/>
        <v>100</v>
      </c>
      <c r="G120" s="19">
        <f t="shared" ref="G120:L120" si="32">G121+G122</f>
        <v>2872600</v>
      </c>
      <c r="H120" s="19">
        <f t="shared" si="32"/>
        <v>0</v>
      </c>
      <c r="I120" s="19">
        <f t="shared" si="32"/>
        <v>0</v>
      </c>
      <c r="J120" s="19">
        <f t="shared" si="32"/>
        <v>0</v>
      </c>
      <c r="K120" s="19">
        <f t="shared" si="32"/>
        <v>0</v>
      </c>
      <c r="L120" s="19">
        <f t="shared" si="32"/>
        <v>0</v>
      </c>
      <c r="M120" s="19"/>
      <c r="P120" s="19">
        <f>P121</f>
        <v>100</v>
      </c>
    </row>
    <row r="121" spans="1:22" ht="26.25" x14ac:dyDescent="0.25">
      <c r="A121" s="22">
        <v>5090</v>
      </c>
      <c r="B121" s="23">
        <v>744100</v>
      </c>
      <c r="C121" s="9" t="s">
        <v>113</v>
      </c>
      <c r="D121" s="9"/>
      <c r="E121" s="36">
        <v>4100</v>
      </c>
      <c r="F121" s="38">
        <f t="shared" si="23"/>
        <v>100</v>
      </c>
      <c r="G121" s="36"/>
      <c r="H121" s="36"/>
      <c r="I121" s="36"/>
      <c r="J121" s="36"/>
      <c r="K121" s="36"/>
      <c r="L121" s="36"/>
      <c r="M121" s="36"/>
      <c r="P121" s="352">
        <v>100</v>
      </c>
    </row>
    <row r="122" spans="1:22" ht="39" x14ac:dyDescent="0.25">
      <c r="A122" s="484">
        <v>5099</v>
      </c>
      <c r="B122" s="476">
        <v>780000</v>
      </c>
      <c r="C122" s="18" t="s">
        <v>122</v>
      </c>
      <c r="D122" s="18"/>
      <c r="E122" s="19">
        <f>E123</f>
        <v>1443762</v>
      </c>
      <c r="F122" s="20">
        <f t="shared" si="23"/>
        <v>1475538</v>
      </c>
      <c r="G122" s="19">
        <f t="shared" ref="G122:Q122" si="33">G123</f>
        <v>2872600</v>
      </c>
      <c r="H122" s="19">
        <f t="shared" si="33"/>
        <v>0</v>
      </c>
      <c r="I122" s="19">
        <f t="shared" si="33"/>
        <v>0</v>
      </c>
      <c r="J122" s="19">
        <f t="shared" si="33"/>
        <v>0</v>
      </c>
      <c r="K122" s="19">
        <f t="shared" si="33"/>
        <v>0</v>
      </c>
      <c r="L122" s="19">
        <f t="shared" si="33"/>
        <v>0</v>
      </c>
      <c r="M122" s="19">
        <f t="shared" si="33"/>
        <v>1475538</v>
      </c>
      <c r="N122" s="19">
        <f t="shared" si="33"/>
        <v>1397062</v>
      </c>
      <c r="O122" s="19">
        <f t="shared" si="33"/>
        <v>0</v>
      </c>
      <c r="P122" s="19">
        <f t="shared" si="33"/>
        <v>0</v>
      </c>
      <c r="Q122" s="67">
        <f t="shared" si="33"/>
        <v>0</v>
      </c>
    </row>
    <row r="123" spans="1:22" ht="39" x14ac:dyDescent="0.25">
      <c r="A123" s="484">
        <v>5100</v>
      </c>
      <c r="B123" s="476">
        <v>781000</v>
      </c>
      <c r="C123" s="18" t="s">
        <v>123</v>
      </c>
      <c r="D123" s="18"/>
      <c r="E123" s="19">
        <f>E124+E125</f>
        <v>1443762</v>
      </c>
      <c r="F123" s="20">
        <f t="shared" si="23"/>
        <v>1475538</v>
      </c>
      <c r="G123" s="19">
        <f t="shared" ref="G123:Q123" si="34">G124+G125</f>
        <v>2872600</v>
      </c>
      <c r="H123" s="19">
        <f t="shared" si="34"/>
        <v>0</v>
      </c>
      <c r="I123" s="19">
        <f t="shared" si="34"/>
        <v>0</v>
      </c>
      <c r="J123" s="19">
        <f t="shared" si="34"/>
        <v>0</v>
      </c>
      <c r="K123" s="19">
        <f t="shared" si="34"/>
        <v>0</v>
      </c>
      <c r="L123" s="19">
        <f t="shared" si="34"/>
        <v>0</v>
      </c>
      <c r="M123" s="19">
        <f t="shared" si="34"/>
        <v>1475538</v>
      </c>
      <c r="N123" s="19">
        <f t="shared" si="34"/>
        <v>1397062</v>
      </c>
      <c r="O123" s="19">
        <f t="shared" si="34"/>
        <v>0</v>
      </c>
      <c r="P123" s="19">
        <f t="shared" si="34"/>
        <v>0</v>
      </c>
      <c r="Q123" s="67">
        <f t="shared" si="34"/>
        <v>0</v>
      </c>
    </row>
    <row r="124" spans="1:22" ht="28.5" x14ac:dyDescent="0.4">
      <c r="A124" s="22">
        <v>5101</v>
      </c>
      <c r="B124" s="23">
        <v>781100</v>
      </c>
      <c r="C124" s="9" t="s">
        <v>124</v>
      </c>
      <c r="D124" s="9"/>
      <c r="E124" s="36">
        <v>1443762</v>
      </c>
      <c r="F124" s="20">
        <f t="shared" si="23"/>
        <v>1475538</v>
      </c>
      <c r="G124" s="37">
        <f>SUM(I124:Q124)</f>
        <v>2872600</v>
      </c>
      <c r="H124" s="37"/>
      <c r="I124" s="36"/>
      <c r="J124" s="36"/>
      <c r="K124" s="36"/>
      <c r="L124" s="36"/>
      <c r="M124" s="36">
        <f>1377997+1583+12500+4800+200+7710+600+37400+315+8072+399+274+18289+2813+2586</f>
        <v>1475538</v>
      </c>
      <c r="N124" s="36">
        <v>1397062</v>
      </c>
      <c r="O124" s="36"/>
      <c r="P124" s="36"/>
      <c r="Q124" s="72"/>
      <c r="V124" s="388" t="s">
        <v>538</v>
      </c>
    </row>
    <row r="125" spans="1:22" ht="26.25" hidden="1" x14ac:dyDescent="0.25">
      <c r="A125" s="22">
        <v>5102</v>
      </c>
      <c r="B125" s="23">
        <v>781300</v>
      </c>
      <c r="C125" s="9" t="s">
        <v>125</v>
      </c>
      <c r="D125" s="9"/>
      <c r="E125" s="36"/>
      <c r="F125" s="20">
        <f t="shared" si="23"/>
        <v>0</v>
      </c>
      <c r="G125" s="37">
        <f t="shared" ref="G125:G161" si="35">SUM(I125:Q125)</f>
        <v>0</v>
      </c>
      <c r="H125" s="37"/>
      <c r="I125" s="36"/>
      <c r="J125" s="36"/>
      <c r="K125" s="36"/>
      <c r="L125" s="36"/>
      <c r="M125" s="36"/>
      <c r="N125" s="36"/>
      <c r="O125" s="36"/>
      <c r="P125" s="36"/>
      <c r="Q125" s="72"/>
    </row>
    <row r="126" spans="1:22" x14ac:dyDescent="0.25">
      <c r="A126" s="484">
        <v>5103</v>
      </c>
      <c r="B126" s="476">
        <v>790000</v>
      </c>
      <c r="C126" s="18" t="s">
        <v>126</v>
      </c>
      <c r="D126" s="18"/>
      <c r="E126" s="19">
        <f>E127</f>
        <v>37481</v>
      </c>
      <c r="F126" s="20">
        <f t="shared" si="23"/>
        <v>31727</v>
      </c>
      <c r="G126" s="19">
        <f t="shared" ref="G126:Q126" si="36">G127</f>
        <v>18078</v>
      </c>
      <c r="H126" s="19">
        <f>H127</f>
        <v>23280</v>
      </c>
      <c r="I126" s="19">
        <f t="shared" si="36"/>
        <v>17573</v>
      </c>
      <c r="J126" s="19">
        <f t="shared" si="36"/>
        <v>0</v>
      </c>
      <c r="K126" s="19">
        <f t="shared" si="36"/>
        <v>8447</v>
      </c>
      <c r="L126" s="19">
        <f t="shared" si="36"/>
        <v>505</v>
      </c>
      <c r="M126" s="19">
        <f t="shared" si="36"/>
        <v>0</v>
      </c>
      <c r="N126" s="19">
        <f t="shared" si="36"/>
        <v>0</v>
      </c>
      <c r="O126" s="19">
        <f t="shared" si="36"/>
        <v>0</v>
      </c>
      <c r="P126" s="19">
        <f t="shared" si="36"/>
        <v>0</v>
      </c>
      <c r="Q126" s="67">
        <f t="shared" si="36"/>
        <v>0</v>
      </c>
    </row>
    <row r="127" spans="1:22" x14ac:dyDescent="0.25">
      <c r="A127" s="484">
        <v>5104</v>
      </c>
      <c r="B127" s="476">
        <v>791000</v>
      </c>
      <c r="C127" s="18" t="s">
        <v>127</v>
      </c>
      <c r="D127" s="18"/>
      <c r="E127" s="19">
        <f>E132</f>
        <v>37481</v>
      </c>
      <c r="F127" s="20">
        <f t="shared" si="23"/>
        <v>31727</v>
      </c>
      <c r="G127" s="19">
        <f t="shared" ref="G127:Q127" si="37">G132</f>
        <v>18078</v>
      </c>
      <c r="H127" s="19">
        <f t="shared" si="37"/>
        <v>23280</v>
      </c>
      <c r="I127" s="19">
        <f t="shared" si="37"/>
        <v>17573</v>
      </c>
      <c r="J127" s="19">
        <f t="shared" si="37"/>
        <v>0</v>
      </c>
      <c r="K127" s="19">
        <f t="shared" si="37"/>
        <v>8447</v>
      </c>
      <c r="L127" s="19">
        <f t="shared" si="37"/>
        <v>505</v>
      </c>
      <c r="M127" s="19">
        <f t="shared" si="37"/>
        <v>0</v>
      </c>
      <c r="N127" s="19">
        <f t="shared" si="37"/>
        <v>0</v>
      </c>
      <c r="O127" s="19">
        <f t="shared" si="37"/>
        <v>0</v>
      </c>
      <c r="P127" s="19">
        <f t="shared" si="37"/>
        <v>0</v>
      </c>
      <c r="Q127" s="67">
        <f t="shared" si="37"/>
        <v>0</v>
      </c>
    </row>
    <row r="128" spans="1:22" hidden="1" x14ac:dyDescent="0.25">
      <c r="A128" s="546" t="s">
        <v>0</v>
      </c>
      <c r="B128" s="543" t="s">
        <v>1</v>
      </c>
      <c r="C128" s="542" t="s">
        <v>2</v>
      </c>
      <c r="D128" s="474"/>
      <c r="E128" s="544" t="s">
        <v>3</v>
      </c>
      <c r="F128" s="20">
        <f t="shared" si="23"/>
        <v>0</v>
      </c>
      <c r="G128" s="544" t="s">
        <v>4</v>
      </c>
      <c r="H128" s="544"/>
      <c r="I128" s="544"/>
      <c r="J128" s="544"/>
      <c r="K128" s="544"/>
      <c r="L128" s="544"/>
      <c r="M128" s="544"/>
      <c r="N128" s="544"/>
      <c r="O128" s="544"/>
      <c r="P128" s="544"/>
      <c r="Q128" s="547"/>
    </row>
    <row r="129" spans="1:22" hidden="1" x14ac:dyDescent="0.25">
      <c r="A129" s="546"/>
      <c r="B129" s="543"/>
      <c r="C129" s="542"/>
      <c r="D129" s="474"/>
      <c r="E129" s="544"/>
      <c r="F129" s="20">
        <f t="shared" si="23"/>
        <v>0</v>
      </c>
      <c r="G129" s="548" t="s">
        <v>5</v>
      </c>
      <c r="H129" s="479"/>
      <c r="I129" s="544" t="s">
        <v>6</v>
      </c>
      <c r="J129" s="544"/>
      <c r="K129" s="544"/>
      <c r="L129" s="544"/>
      <c r="M129" s="544"/>
      <c r="N129" s="544"/>
      <c r="O129" s="544" t="s">
        <v>7</v>
      </c>
      <c r="P129" s="476"/>
      <c r="Q129" s="547" t="s">
        <v>8</v>
      </c>
    </row>
    <row r="130" spans="1:22" ht="39" hidden="1" x14ac:dyDescent="0.25">
      <c r="A130" s="546"/>
      <c r="B130" s="543"/>
      <c r="C130" s="542"/>
      <c r="D130" s="474"/>
      <c r="E130" s="544"/>
      <c r="F130" s="20">
        <f t="shared" si="23"/>
        <v>0</v>
      </c>
      <c r="G130" s="548"/>
      <c r="H130" s="479"/>
      <c r="I130" s="476" t="s">
        <v>9</v>
      </c>
      <c r="J130" s="476" t="s">
        <v>10</v>
      </c>
      <c r="K130" s="476"/>
      <c r="L130" s="476" t="s">
        <v>11</v>
      </c>
      <c r="M130" s="476"/>
      <c r="N130" s="476" t="s">
        <v>12</v>
      </c>
      <c r="O130" s="544"/>
      <c r="P130" s="476"/>
      <c r="Q130" s="547"/>
    </row>
    <row r="131" spans="1:22" ht="26.25" hidden="1" x14ac:dyDescent="0.25">
      <c r="A131" s="31" t="s">
        <v>18</v>
      </c>
      <c r="B131" s="475" t="s">
        <v>19</v>
      </c>
      <c r="C131" s="475" t="s">
        <v>20</v>
      </c>
      <c r="D131" s="475"/>
      <c r="E131" s="33" t="s">
        <v>21</v>
      </c>
      <c r="F131" s="20">
        <f t="shared" si="23"/>
        <v>0</v>
      </c>
      <c r="G131" s="33" t="s">
        <v>22</v>
      </c>
      <c r="H131" s="33"/>
      <c r="I131" s="33" t="s">
        <v>23</v>
      </c>
      <c r="J131" s="33" t="s">
        <v>24</v>
      </c>
      <c r="K131" s="33"/>
      <c r="L131" s="33" t="s">
        <v>25</v>
      </c>
      <c r="M131" s="33"/>
      <c r="N131" s="33" t="s">
        <v>26</v>
      </c>
      <c r="O131" s="33" t="s">
        <v>27</v>
      </c>
      <c r="P131" s="33"/>
      <c r="Q131" s="70" t="s">
        <v>28</v>
      </c>
    </row>
    <row r="132" spans="1:22" ht="26.25" x14ac:dyDescent="0.4">
      <c r="A132" s="22">
        <v>5105</v>
      </c>
      <c r="B132" s="23">
        <v>791100</v>
      </c>
      <c r="C132" s="9" t="s">
        <v>128</v>
      </c>
      <c r="D132" s="9"/>
      <c r="E132" s="36">
        <v>37481</v>
      </c>
      <c r="F132" s="38">
        <f t="shared" si="23"/>
        <v>31727</v>
      </c>
      <c r="G132" s="389">
        <f>SUM(I132:Q132)-K132-M132-P132</f>
        <v>18078</v>
      </c>
      <c r="H132" s="389">
        <f>20000+42-42+3280</f>
        <v>23280</v>
      </c>
      <c r="I132" s="36">
        <v>17573</v>
      </c>
      <c r="J132" s="36"/>
      <c r="K132" s="36">
        <f>1000+7447</f>
        <v>8447</v>
      </c>
      <c r="L132" s="36">
        <v>505</v>
      </c>
      <c r="M132" s="36"/>
      <c r="N132" s="36"/>
      <c r="O132" s="36"/>
      <c r="P132" s="36"/>
      <c r="Q132" s="72"/>
      <c r="V132" s="388" t="s">
        <v>538</v>
      </c>
    </row>
    <row r="133" spans="1:22" ht="39" x14ac:dyDescent="0.25">
      <c r="A133" s="484">
        <v>5106</v>
      </c>
      <c r="B133" s="476">
        <v>800000</v>
      </c>
      <c r="C133" s="18" t="s">
        <v>129</v>
      </c>
      <c r="D133" s="18"/>
      <c r="E133" s="19">
        <f>E134+E141+E148+E151</f>
        <v>200</v>
      </c>
      <c r="F133" s="20">
        <f t="shared" si="23"/>
        <v>255</v>
      </c>
      <c r="G133" s="19">
        <f t="shared" ref="G133:Q133" si="38">G134+G141+G148+G151</f>
        <v>184</v>
      </c>
      <c r="H133" s="19">
        <f t="shared" si="38"/>
        <v>0</v>
      </c>
      <c r="I133" s="19">
        <f t="shared" si="38"/>
        <v>0</v>
      </c>
      <c r="J133" s="19">
        <f t="shared" si="38"/>
        <v>0</v>
      </c>
      <c r="K133" s="19">
        <f t="shared" si="38"/>
        <v>0</v>
      </c>
      <c r="L133" s="19">
        <f t="shared" si="38"/>
        <v>0</v>
      </c>
      <c r="M133" s="19">
        <f t="shared" si="38"/>
        <v>0</v>
      </c>
      <c r="N133" s="19">
        <f t="shared" si="38"/>
        <v>0</v>
      </c>
      <c r="O133" s="19">
        <f t="shared" si="38"/>
        <v>0</v>
      </c>
      <c r="P133" s="19">
        <f t="shared" si="38"/>
        <v>255</v>
      </c>
      <c r="Q133" s="67">
        <f t="shared" si="38"/>
        <v>184</v>
      </c>
    </row>
    <row r="134" spans="1:22" ht="39" x14ac:dyDescent="0.25">
      <c r="A134" s="484">
        <v>5107</v>
      </c>
      <c r="B134" s="476">
        <v>810000</v>
      </c>
      <c r="C134" s="18" t="s">
        <v>130</v>
      </c>
      <c r="D134" s="18"/>
      <c r="E134" s="19">
        <f>E135+E137+E139</f>
        <v>200</v>
      </c>
      <c r="F134" s="20">
        <f t="shared" si="23"/>
        <v>255</v>
      </c>
      <c r="G134" s="19">
        <f t="shared" ref="G134:Q134" si="39">G135+G137+G139</f>
        <v>184</v>
      </c>
      <c r="H134" s="19">
        <f t="shared" si="39"/>
        <v>0</v>
      </c>
      <c r="I134" s="19">
        <f t="shared" si="39"/>
        <v>0</v>
      </c>
      <c r="J134" s="19">
        <f t="shared" si="39"/>
        <v>0</v>
      </c>
      <c r="K134" s="19">
        <f t="shared" si="39"/>
        <v>0</v>
      </c>
      <c r="L134" s="19">
        <f t="shared" si="39"/>
        <v>0</v>
      </c>
      <c r="M134" s="19">
        <f t="shared" si="39"/>
        <v>0</v>
      </c>
      <c r="N134" s="19">
        <f t="shared" si="39"/>
        <v>0</v>
      </c>
      <c r="O134" s="19">
        <f t="shared" si="39"/>
        <v>0</v>
      </c>
      <c r="P134" s="19">
        <f t="shared" si="39"/>
        <v>255</v>
      </c>
      <c r="Q134" s="67">
        <f t="shared" si="39"/>
        <v>184</v>
      </c>
    </row>
    <row r="135" spans="1:22" ht="26.25" hidden="1" x14ac:dyDescent="0.25">
      <c r="A135" s="484">
        <v>5108</v>
      </c>
      <c r="B135" s="476">
        <v>811000</v>
      </c>
      <c r="C135" s="18" t="s">
        <v>131</v>
      </c>
      <c r="D135" s="18"/>
      <c r="E135" s="19">
        <f>E136</f>
        <v>0</v>
      </c>
      <c r="F135" s="20">
        <f t="shared" si="23"/>
        <v>0</v>
      </c>
      <c r="G135" s="19">
        <f t="shared" si="35"/>
        <v>0</v>
      </c>
      <c r="H135" s="19"/>
      <c r="I135" s="19">
        <f t="shared" ref="I135:Q135" si="40">I136</f>
        <v>0</v>
      </c>
      <c r="J135" s="19">
        <f t="shared" si="40"/>
        <v>0</v>
      </c>
      <c r="K135" s="19"/>
      <c r="L135" s="19">
        <f t="shared" si="40"/>
        <v>0</v>
      </c>
      <c r="M135" s="19"/>
      <c r="N135" s="19">
        <f t="shared" si="40"/>
        <v>0</v>
      </c>
      <c r="O135" s="19">
        <f t="shared" si="40"/>
        <v>0</v>
      </c>
      <c r="P135" s="19"/>
      <c r="Q135" s="67">
        <f t="shared" si="40"/>
        <v>0</v>
      </c>
    </row>
    <row r="136" spans="1:22" ht="26.25" hidden="1" x14ac:dyDescent="0.25">
      <c r="A136" s="22">
        <v>5109</v>
      </c>
      <c r="B136" s="23">
        <v>811100</v>
      </c>
      <c r="C136" s="9" t="s">
        <v>132</v>
      </c>
      <c r="D136" s="9"/>
      <c r="E136" s="36"/>
      <c r="F136" s="20">
        <f t="shared" si="23"/>
        <v>0</v>
      </c>
      <c r="G136" s="37">
        <f t="shared" si="35"/>
        <v>0</v>
      </c>
      <c r="H136" s="37"/>
      <c r="I136" s="36"/>
      <c r="J136" s="36"/>
      <c r="K136" s="36"/>
      <c r="L136" s="36"/>
      <c r="M136" s="36"/>
      <c r="N136" s="36"/>
      <c r="O136" s="36"/>
      <c r="P136" s="36"/>
      <c r="Q136" s="72"/>
    </row>
    <row r="137" spans="1:22" ht="26.25" x14ac:dyDescent="0.25">
      <c r="A137" s="484">
        <v>5110</v>
      </c>
      <c r="B137" s="476">
        <v>812000</v>
      </c>
      <c r="C137" s="18" t="s">
        <v>133</v>
      </c>
      <c r="D137" s="18"/>
      <c r="E137" s="19">
        <f>E138</f>
        <v>200</v>
      </c>
      <c r="F137" s="20">
        <f t="shared" si="23"/>
        <v>255</v>
      </c>
      <c r="G137" s="19">
        <f t="shared" ref="G137:Q137" si="41">G138</f>
        <v>184</v>
      </c>
      <c r="H137" s="19">
        <f t="shared" si="41"/>
        <v>0</v>
      </c>
      <c r="I137" s="19">
        <f t="shared" si="41"/>
        <v>0</v>
      </c>
      <c r="J137" s="19">
        <f t="shared" si="41"/>
        <v>0</v>
      </c>
      <c r="K137" s="19">
        <f t="shared" si="41"/>
        <v>0</v>
      </c>
      <c r="L137" s="19">
        <f t="shared" si="41"/>
        <v>0</v>
      </c>
      <c r="M137" s="19">
        <f t="shared" si="41"/>
        <v>0</v>
      </c>
      <c r="N137" s="19">
        <f t="shared" si="41"/>
        <v>0</v>
      </c>
      <c r="O137" s="19">
        <f t="shared" si="41"/>
        <v>0</v>
      </c>
      <c r="P137" s="19">
        <f t="shared" si="41"/>
        <v>255</v>
      </c>
      <c r="Q137" s="67">
        <f t="shared" si="41"/>
        <v>184</v>
      </c>
    </row>
    <row r="138" spans="1:22" ht="26.25" x14ac:dyDescent="0.25">
      <c r="A138" s="22">
        <v>5111</v>
      </c>
      <c r="B138" s="23">
        <v>812100</v>
      </c>
      <c r="C138" s="9" t="s">
        <v>134</v>
      </c>
      <c r="D138" s="9"/>
      <c r="E138" s="36">
        <v>200</v>
      </c>
      <c r="F138" s="38">
        <f t="shared" si="23"/>
        <v>255</v>
      </c>
      <c r="G138" s="37">
        <f>SUM(I138:Q138)-K138-M138-P138</f>
        <v>184</v>
      </c>
      <c r="H138" s="37"/>
      <c r="I138" s="36"/>
      <c r="J138" s="36"/>
      <c r="K138" s="36"/>
      <c r="L138" s="36"/>
      <c r="M138" s="36"/>
      <c r="N138" s="36"/>
      <c r="O138" s="36"/>
      <c r="P138" s="36">
        <f>200+55</f>
        <v>255</v>
      </c>
      <c r="Q138" s="72">
        <v>184</v>
      </c>
    </row>
    <row r="139" spans="1:22" ht="39" hidden="1" x14ac:dyDescent="0.25">
      <c r="A139" s="484">
        <v>5112</v>
      </c>
      <c r="B139" s="476">
        <v>813000</v>
      </c>
      <c r="C139" s="18" t="s">
        <v>135</v>
      </c>
      <c r="D139" s="18"/>
      <c r="E139" s="19">
        <f>E140</f>
        <v>0</v>
      </c>
      <c r="F139" s="19"/>
      <c r="G139" s="19">
        <f t="shared" si="35"/>
        <v>0</v>
      </c>
      <c r="H139" s="19"/>
      <c r="I139" s="19">
        <f t="shared" ref="I139:Q139" si="42">I140</f>
        <v>0</v>
      </c>
      <c r="J139" s="19">
        <f t="shared" si="42"/>
        <v>0</v>
      </c>
      <c r="K139" s="19"/>
      <c r="L139" s="19">
        <f t="shared" si="42"/>
        <v>0</v>
      </c>
      <c r="M139" s="19"/>
      <c r="N139" s="19">
        <f t="shared" si="42"/>
        <v>0</v>
      </c>
      <c r="O139" s="19">
        <f t="shared" si="42"/>
        <v>0</v>
      </c>
      <c r="P139" s="19"/>
      <c r="Q139" s="67">
        <f t="shared" si="42"/>
        <v>0</v>
      </c>
    </row>
    <row r="140" spans="1:22" ht="26.25" hidden="1" x14ac:dyDescent="0.25">
      <c r="A140" s="22">
        <v>5113</v>
      </c>
      <c r="B140" s="23">
        <v>813100</v>
      </c>
      <c r="C140" s="9" t="s">
        <v>136</v>
      </c>
      <c r="D140" s="9"/>
      <c r="E140" s="36"/>
      <c r="F140" s="36"/>
      <c r="G140" s="37">
        <f t="shared" si="35"/>
        <v>0</v>
      </c>
      <c r="H140" s="37"/>
      <c r="I140" s="36"/>
      <c r="J140" s="36"/>
      <c r="K140" s="36"/>
      <c r="L140" s="36"/>
      <c r="M140" s="36"/>
      <c r="N140" s="36"/>
      <c r="O140" s="36"/>
      <c r="P140" s="36"/>
      <c r="Q140" s="72"/>
    </row>
    <row r="141" spans="1:22" ht="26.25" hidden="1" x14ac:dyDescent="0.25">
      <c r="A141" s="484">
        <v>5114</v>
      </c>
      <c r="B141" s="476">
        <v>820000</v>
      </c>
      <c r="C141" s="18" t="s">
        <v>137</v>
      </c>
      <c r="D141" s="18"/>
      <c r="E141" s="19">
        <f>E142+E144+E146</f>
        <v>0</v>
      </c>
      <c r="F141" s="19"/>
      <c r="G141" s="19">
        <f t="shared" si="35"/>
        <v>0</v>
      </c>
      <c r="H141" s="19"/>
      <c r="I141" s="19">
        <f t="shared" ref="I141:Q141" si="43">I142+I144+I146</f>
        <v>0</v>
      </c>
      <c r="J141" s="19">
        <f t="shared" si="43"/>
        <v>0</v>
      </c>
      <c r="K141" s="19"/>
      <c r="L141" s="19">
        <f t="shared" si="43"/>
        <v>0</v>
      </c>
      <c r="M141" s="19"/>
      <c r="N141" s="19">
        <f t="shared" si="43"/>
        <v>0</v>
      </c>
      <c r="O141" s="19">
        <f t="shared" si="43"/>
        <v>0</v>
      </c>
      <c r="P141" s="19"/>
      <c r="Q141" s="67">
        <f t="shared" si="43"/>
        <v>0</v>
      </c>
    </row>
    <row r="142" spans="1:22" ht="26.25" hidden="1" x14ac:dyDescent="0.25">
      <c r="A142" s="484">
        <v>5115</v>
      </c>
      <c r="B142" s="476">
        <v>821000</v>
      </c>
      <c r="C142" s="18" t="s">
        <v>138</v>
      </c>
      <c r="D142" s="18"/>
      <c r="E142" s="19">
        <f>E143</f>
        <v>0</v>
      </c>
      <c r="F142" s="19"/>
      <c r="G142" s="19">
        <f t="shared" si="35"/>
        <v>0</v>
      </c>
      <c r="H142" s="19"/>
      <c r="I142" s="19">
        <f t="shared" ref="I142:Q142" si="44">I143</f>
        <v>0</v>
      </c>
      <c r="J142" s="19">
        <f t="shared" si="44"/>
        <v>0</v>
      </c>
      <c r="K142" s="19"/>
      <c r="L142" s="19">
        <f t="shared" si="44"/>
        <v>0</v>
      </c>
      <c r="M142" s="19"/>
      <c r="N142" s="19">
        <f t="shared" si="44"/>
        <v>0</v>
      </c>
      <c r="O142" s="19">
        <f t="shared" si="44"/>
        <v>0</v>
      </c>
      <c r="P142" s="19"/>
      <c r="Q142" s="67">
        <f t="shared" si="44"/>
        <v>0</v>
      </c>
    </row>
    <row r="143" spans="1:22" ht="26.25" hidden="1" x14ac:dyDescent="0.25">
      <c r="A143" s="22">
        <v>5116</v>
      </c>
      <c r="B143" s="23">
        <v>821100</v>
      </c>
      <c r="C143" s="9" t="s">
        <v>139</v>
      </c>
      <c r="D143" s="9"/>
      <c r="E143" s="36"/>
      <c r="F143" s="36"/>
      <c r="G143" s="37">
        <f t="shared" si="35"/>
        <v>0</v>
      </c>
      <c r="H143" s="37"/>
      <c r="I143" s="36"/>
      <c r="J143" s="36"/>
      <c r="K143" s="36"/>
      <c r="L143" s="36"/>
      <c r="M143" s="36"/>
      <c r="N143" s="36"/>
      <c r="O143" s="36"/>
      <c r="P143" s="36"/>
      <c r="Q143" s="72"/>
    </row>
    <row r="144" spans="1:22" ht="39" hidden="1" x14ac:dyDescent="0.25">
      <c r="A144" s="484">
        <v>5117</v>
      </c>
      <c r="B144" s="476">
        <v>822000</v>
      </c>
      <c r="C144" s="18" t="s">
        <v>140</v>
      </c>
      <c r="D144" s="18"/>
      <c r="E144" s="19">
        <f>E145</f>
        <v>0</v>
      </c>
      <c r="F144" s="19"/>
      <c r="G144" s="19">
        <f t="shared" si="35"/>
        <v>0</v>
      </c>
      <c r="H144" s="19"/>
      <c r="I144" s="19">
        <f t="shared" ref="I144:Q144" si="45">I145</f>
        <v>0</v>
      </c>
      <c r="J144" s="19">
        <f t="shared" si="45"/>
        <v>0</v>
      </c>
      <c r="K144" s="19"/>
      <c r="L144" s="19">
        <f t="shared" si="45"/>
        <v>0</v>
      </c>
      <c r="M144" s="19"/>
      <c r="N144" s="19">
        <f t="shared" si="45"/>
        <v>0</v>
      </c>
      <c r="O144" s="19">
        <f t="shared" si="45"/>
        <v>0</v>
      </c>
      <c r="P144" s="19"/>
      <c r="Q144" s="67">
        <f t="shared" si="45"/>
        <v>0</v>
      </c>
    </row>
    <row r="145" spans="1:17" ht="26.25" hidden="1" x14ac:dyDescent="0.25">
      <c r="A145" s="22">
        <v>5118</v>
      </c>
      <c r="B145" s="23">
        <v>822100</v>
      </c>
      <c r="C145" s="9" t="s">
        <v>141</v>
      </c>
      <c r="D145" s="9"/>
      <c r="E145" s="36"/>
      <c r="F145" s="36"/>
      <c r="G145" s="37">
        <f t="shared" si="35"/>
        <v>0</v>
      </c>
      <c r="H145" s="37"/>
      <c r="I145" s="36"/>
      <c r="J145" s="36"/>
      <c r="K145" s="36"/>
      <c r="L145" s="36"/>
      <c r="M145" s="36"/>
      <c r="N145" s="36"/>
      <c r="O145" s="36"/>
      <c r="P145" s="36"/>
      <c r="Q145" s="72"/>
    </row>
    <row r="146" spans="1:17" ht="39" hidden="1" x14ac:dyDescent="0.25">
      <c r="A146" s="484">
        <v>5119</v>
      </c>
      <c r="B146" s="476">
        <v>823000</v>
      </c>
      <c r="C146" s="18" t="s">
        <v>142</v>
      </c>
      <c r="D146" s="18"/>
      <c r="E146" s="19">
        <f>E147</f>
        <v>0</v>
      </c>
      <c r="F146" s="19"/>
      <c r="G146" s="19">
        <f t="shared" si="35"/>
        <v>0</v>
      </c>
      <c r="H146" s="19"/>
      <c r="I146" s="19">
        <f t="shared" ref="I146:Q146" si="46">I147</f>
        <v>0</v>
      </c>
      <c r="J146" s="19">
        <f t="shared" si="46"/>
        <v>0</v>
      </c>
      <c r="K146" s="19"/>
      <c r="L146" s="19">
        <f t="shared" si="46"/>
        <v>0</v>
      </c>
      <c r="M146" s="19"/>
      <c r="N146" s="19">
        <f t="shared" si="46"/>
        <v>0</v>
      </c>
      <c r="O146" s="19">
        <f t="shared" si="46"/>
        <v>0</v>
      </c>
      <c r="P146" s="19"/>
      <c r="Q146" s="67">
        <f t="shared" si="46"/>
        <v>0</v>
      </c>
    </row>
    <row r="147" spans="1:17" ht="26.25" hidden="1" x14ac:dyDescent="0.25">
      <c r="A147" s="22">
        <v>5120</v>
      </c>
      <c r="B147" s="23">
        <v>823100</v>
      </c>
      <c r="C147" s="9" t="s">
        <v>143</v>
      </c>
      <c r="D147" s="9"/>
      <c r="E147" s="36"/>
      <c r="F147" s="36"/>
      <c r="G147" s="37">
        <f t="shared" si="35"/>
        <v>0</v>
      </c>
      <c r="H147" s="37"/>
      <c r="I147" s="36"/>
      <c r="J147" s="36"/>
      <c r="K147" s="36"/>
      <c r="L147" s="36"/>
      <c r="M147" s="36"/>
      <c r="N147" s="36"/>
      <c r="O147" s="36"/>
      <c r="P147" s="36"/>
      <c r="Q147" s="72"/>
    </row>
    <row r="148" spans="1:17" ht="26.25" hidden="1" x14ac:dyDescent="0.25">
      <c r="A148" s="484">
        <v>5121</v>
      </c>
      <c r="B148" s="476">
        <v>830000</v>
      </c>
      <c r="C148" s="18" t="s">
        <v>144</v>
      </c>
      <c r="D148" s="18"/>
      <c r="E148" s="19">
        <f>E149</f>
        <v>0</v>
      </c>
      <c r="F148" s="19"/>
      <c r="G148" s="19">
        <f t="shared" si="35"/>
        <v>0</v>
      </c>
      <c r="H148" s="19"/>
      <c r="I148" s="19">
        <f t="shared" ref="I148:Q149" si="47">I149</f>
        <v>0</v>
      </c>
      <c r="J148" s="19">
        <f t="shared" si="47"/>
        <v>0</v>
      </c>
      <c r="K148" s="19"/>
      <c r="L148" s="19">
        <f t="shared" si="47"/>
        <v>0</v>
      </c>
      <c r="M148" s="19"/>
      <c r="N148" s="19">
        <f t="shared" si="47"/>
        <v>0</v>
      </c>
      <c r="O148" s="19">
        <f t="shared" si="47"/>
        <v>0</v>
      </c>
      <c r="P148" s="19"/>
      <c r="Q148" s="67">
        <f t="shared" si="47"/>
        <v>0</v>
      </c>
    </row>
    <row r="149" spans="1:17" ht="26.25" hidden="1" x14ac:dyDescent="0.25">
      <c r="A149" s="484">
        <v>5122</v>
      </c>
      <c r="B149" s="476">
        <v>831000</v>
      </c>
      <c r="C149" s="18" t="s">
        <v>145</v>
      </c>
      <c r="D149" s="18"/>
      <c r="E149" s="19">
        <f>E150</f>
        <v>0</v>
      </c>
      <c r="F149" s="19"/>
      <c r="G149" s="19">
        <f t="shared" si="35"/>
        <v>0</v>
      </c>
      <c r="H149" s="19"/>
      <c r="I149" s="19">
        <f t="shared" si="47"/>
        <v>0</v>
      </c>
      <c r="J149" s="19">
        <f t="shared" si="47"/>
        <v>0</v>
      </c>
      <c r="K149" s="19"/>
      <c r="L149" s="19">
        <f t="shared" si="47"/>
        <v>0</v>
      </c>
      <c r="M149" s="19"/>
      <c r="N149" s="19">
        <f t="shared" si="47"/>
        <v>0</v>
      </c>
      <c r="O149" s="19">
        <f t="shared" si="47"/>
        <v>0</v>
      </c>
      <c r="P149" s="19"/>
      <c r="Q149" s="67">
        <f t="shared" si="47"/>
        <v>0</v>
      </c>
    </row>
    <row r="150" spans="1:17" ht="26.25" hidden="1" x14ac:dyDescent="0.25">
      <c r="A150" s="22">
        <v>5123</v>
      </c>
      <c r="B150" s="23">
        <v>831100</v>
      </c>
      <c r="C150" s="9" t="s">
        <v>146</v>
      </c>
      <c r="D150" s="9"/>
      <c r="E150" s="36"/>
      <c r="F150" s="36"/>
      <c r="G150" s="37">
        <f t="shared" si="35"/>
        <v>0</v>
      </c>
      <c r="H150" s="37"/>
      <c r="I150" s="36"/>
      <c r="J150" s="36"/>
      <c r="K150" s="36"/>
      <c r="L150" s="36"/>
      <c r="M150" s="36"/>
      <c r="N150" s="36"/>
      <c r="O150" s="36"/>
      <c r="P150" s="36"/>
      <c r="Q150" s="72"/>
    </row>
    <row r="151" spans="1:17" ht="39" hidden="1" x14ac:dyDescent="0.25">
      <c r="A151" s="484">
        <v>5124</v>
      </c>
      <c r="B151" s="476">
        <v>840000</v>
      </c>
      <c r="C151" s="18" t="s">
        <v>147</v>
      </c>
      <c r="D151" s="18"/>
      <c r="E151" s="19">
        <f>E152+E154+E160</f>
        <v>0</v>
      </c>
      <c r="F151" s="19"/>
      <c r="G151" s="19">
        <f t="shared" si="35"/>
        <v>0</v>
      </c>
      <c r="H151" s="19"/>
      <c r="I151" s="19">
        <f t="shared" ref="I151:Q151" si="48">I152+I154+I160</f>
        <v>0</v>
      </c>
      <c r="J151" s="19">
        <f t="shared" si="48"/>
        <v>0</v>
      </c>
      <c r="K151" s="19"/>
      <c r="L151" s="19">
        <f t="shared" si="48"/>
        <v>0</v>
      </c>
      <c r="M151" s="19"/>
      <c r="N151" s="19">
        <f t="shared" si="48"/>
        <v>0</v>
      </c>
      <c r="O151" s="19">
        <f t="shared" si="48"/>
        <v>0</v>
      </c>
      <c r="P151" s="19"/>
      <c r="Q151" s="67">
        <f t="shared" si="48"/>
        <v>0</v>
      </c>
    </row>
    <row r="152" spans="1:17" ht="26.25" hidden="1" x14ac:dyDescent="0.25">
      <c r="A152" s="484">
        <v>5125</v>
      </c>
      <c r="B152" s="476">
        <v>841000</v>
      </c>
      <c r="C152" s="18" t="s">
        <v>148</v>
      </c>
      <c r="D152" s="18"/>
      <c r="E152" s="19">
        <f>E153</f>
        <v>0</v>
      </c>
      <c r="F152" s="19"/>
      <c r="G152" s="19">
        <f t="shared" si="35"/>
        <v>0</v>
      </c>
      <c r="H152" s="19"/>
      <c r="I152" s="19">
        <f t="shared" ref="I152:Q152" si="49">I153</f>
        <v>0</v>
      </c>
      <c r="J152" s="19">
        <f t="shared" si="49"/>
        <v>0</v>
      </c>
      <c r="K152" s="19"/>
      <c r="L152" s="19">
        <f t="shared" si="49"/>
        <v>0</v>
      </c>
      <c r="M152" s="19"/>
      <c r="N152" s="19">
        <f t="shared" si="49"/>
        <v>0</v>
      </c>
      <c r="O152" s="19">
        <f t="shared" si="49"/>
        <v>0</v>
      </c>
      <c r="P152" s="19"/>
      <c r="Q152" s="67">
        <f t="shared" si="49"/>
        <v>0</v>
      </c>
    </row>
    <row r="153" spans="1:17" hidden="1" x14ac:dyDescent="0.25">
      <c r="A153" s="22">
        <v>5126</v>
      </c>
      <c r="B153" s="23">
        <v>841100</v>
      </c>
      <c r="C153" s="9" t="s">
        <v>149</v>
      </c>
      <c r="D153" s="9"/>
      <c r="E153" s="36"/>
      <c r="F153" s="36"/>
      <c r="G153" s="37">
        <f t="shared" si="35"/>
        <v>0</v>
      </c>
      <c r="H153" s="37"/>
      <c r="I153" s="36"/>
      <c r="J153" s="36"/>
      <c r="K153" s="36"/>
      <c r="L153" s="36"/>
      <c r="M153" s="36"/>
      <c r="N153" s="36"/>
      <c r="O153" s="36"/>
      <c r="P153" s="36"/>
      <c r="Q153" s="72"/>
    </row>
    <row r="154" spans="1:17" ht="26.25" hidden="1" x14ac:dyDescent="0.25">
      <c r="A154" s="484">
        <v>5127</v>
      </c>
      <c r="B154" s="476">
        <v>842000</v>
      </c>
      <c r="C154" s="18" t="s">
        <v>150</v>
      </c>
      <c r="D154" s="18"/>
      <c r="E154" s="19">
        <f>E159</f>
        <v>0</v>
      </c>
      <c r="F154" s="19"/>
      <c r="G154" s="19">
        <f t="shared" si="35"/>
        <v>0</v>
      </c>
      <c r="H154" s="19"/>
      <c r="I154" s="19">
        <f t="shared" ref="I154:Q154" si="50">I159</f>
        <v>0</v>
      </c>
      <c r="J154" s="19">
        <f t="shared" si="50"/>
        <v>0</v>
      </c>
      <c r="K154" s="19"/>
      <c r="L154" s="19">
        <f t="shared" si="50"/>
        <v>0</v>
      </c>
      <c r="M154" s="19"/>
      <c r="N154" s="19">
        <f t="shared" si="50"/>
        <v>0</v>
      </c>
      <c r="O154" s="19">
        <f t="shared" si="50"/>
        <v>0</v>
      </c>
      <c r="P154" s="19"/>
      <c r="Q154" s="67">
        <f t="shared" si="50"/>
        <v>0</v>
      </c>
    </row>
    <row r="155" spans="1:17" hidden="1" x14ac:dyDescent="0.25">
      <c r="A155" s="546" t="s">
        <v>0</v>
      </c>
      <c r="B155" s="543" t="s">
        <v>1</v>
      </c>
      <c r="C155" s="542" t="s">
        <v>2</v>
      </c>
      <c r="D155" s="474"/>
      <c r="E155" s="544" t="s">
        <v>3</v>
      </c>
      <c r="F155" s="476"/>
      <c r="G155" s="544" t="s">
        <v>4</v>
      </c>
      <c r="H155" s="544"/>
      <c r="I155" s="544"/>
      <c r="J155" s="544"/>
      <c r="K155" s="544"/>
      <c r="L155" s="544"/>
      <c r="M155" s="544"/>
      <c r="N155" s="544"/>
      <c r="O155" s="544"/>
      <c r="P155" s="544"/>
      <c r="Q155" s="547"/>
    </row>
    <row r="156" spans="1:17" hidden="1" x14ac:dyDescent="0.25">
      <c r="A156" s="546"/>
      <c r="B156" s="543"/>
      <c r="C156" s="542"/>
      <c r="D156" s="474"/>
      <c r="E156" s="544"/>
      <c r="F156" s="476"/>
      <c r="G156" s="548" t="s">
        <v>5</v>
      </c>
      <c r="H156" s="479"/>
      <c r="I156" s="544" t="s">
        <v>6</v>
      </c>
      <c r="J156" s="544"/>
      <c r="K156" s="544"/>
      <c r="L156" s="544"/>
      <c r="M156" s="544"/>
      <c r="N156" s="544"/>
      <c r="O156" s="544" t="s">
        <v>7</v>
      </c>
      <c r="P156" s="476"/>
      <c r="Q156" s="547" t="s">
        <v>8</v>
      </c>
    </row>
    <row r="157" spans="1:17" ht="39" hidden="1" x14ac:dyDescent="0.25">
      <c r="A157" s="546"/>
      <c r="B157" s="543"/>
      <c r="C157" s="542"/>
      <c r="D157" s="474"/>
      <c r="E157" s="544"/>
      <c r="F157" s="476"/>
      <c r="G157" s="548"/>
      <c r="H157" s="479"/>
      <c r="I157" s="476" t="s">
        <v>9</v>
      </c>
      <c r="J157" s="476" t="s">
        <v>10</v>
      </c>
      <c r="K157" s="476"/>
      <c r="L157" s="476" t="s">
        <v>11</v>
      </c>
      <c r="M157" s="476"/>
      <c r="N157" s="476" t="s">
        <v>12</v>
      </c>
      <c r="O157" s="544"/>
      <c r="P157" s="476"/>
      <c r="Q157" s="547"/>
    </row>
    <row r="158" spans="1:17" ht="26.25" hidden="1" x14ac:dyDescent="0.25">
      <c r="A158" s="31" t="s">
        <v>18</v>
      </c>
      <c r="B158" s="475" t="s">
        <v>19</v>
      </c>
      <c r="C158" s="475" t="s">
        <v>20</v>
      </c>
      <c r="D158" s="475"/>
      <c r="E158" s="33" t="s">
        <v>21</v>
      </c>
      <c r="F158" s="33"/>
      <c r="G158" s="33" t="s">
        <v>22</v>
      </c>
      <c r="H158" s="33"/>
      <c r="I158" s="33" t="s">
        <v>23</v>
      </c>
      <c r="J158" s="33" t="s">
        <v>24</v>
      </c>
      <c r="K158" s="33"/>
      <c r="L158" s="33" t="s">
        <v>25</v>
      </c>
      <c r="M158" s="33"/>
      <c r="N158" s="33" t="s">
        <v>26</v>
      </c>
      <c r="O158" s="33" t="s">
        <v>27</v>
      </c>
      <c r="P158" s="33"/>
      <c r="Q158" s="70" t="s">
        <v>28</v>
      </c>
    </row>
    <row r="159" spans="1:17" ht="26.25" hidden="1" x14ac:dyDescent="0.25">
      <c r="A159" s="22">
        <v>5128</v>
      </c>
      <c r="B159" s="23">
        <v>842100</v>
      </c>
      <c r="C159" s="9" t="s">
        <v>151</v>
      </c>
      <c r="D159" s="9"/>
      <c r="E159" s="36"/>
      <c r="F159" s="36"/>
      <c r="G159" s="37">
        <f t="shared" si="35"/>
        <v>0</v>
      </c>
      <c r="H159" s="37"/>
      <c r="I159" s="36"/>
      <c r="J159" s="36"/>
      <c r="K159" s="36"/>
      <c r="L159" s="36"/>
      <c r="M159" s="36"/>
      <c r="N159" s="36"/>
      <c r="O159" s="36"/>
      <c r="P159" s="36"/>
      <c r="Q159" s="72"/>
    </row>
    <row r="160" spans="1:17" ht="26.25" hidden="1" x14ac:dyDescent="0.25">
      <c r="A160" s="484">
        <v>5129</v>
      </c>
      <c r="B160" s="476">
        <v>843000</v>
      </c>
      <c r="C160" s="18" t="s">
        <v>152</v>
      </c>
      <c r="D160" s="18"/>
      <c r="E160" s="19">
        <f>E161</f>
        <v>0</v>
      </c>
      <c r="F160" s="19"/>
      <c r="G160" s="19">
        <f t="shared" si="35"/>
        <v>0</v>
      </c>
      <c r="H160" s="19"/>
      <c r="I160" s="19">
        <f t="shared" ref="I160:Q160" si="51">I161</f>
        <v>0</v>
      </c>
      <c r="J160" s="19">
        <f t="shared" si="51"/>
        <v>0</v>
      </c>
      <c r="K160" s="19"/>
      <c r="L160" s="19">
        <f t="shared" si="51"/>
        <v>0</v>
      </c>
      <c r="M160" s="19"/>
      <c r="N160" s="19">
        <f t="shared" si="51"/>
        <v>0</v>
      </c>
      <c r="O160" s="19">
        <f t="shared" si="51"/>
        <v>0</v>
      </c>
      <c r="P160" s="19"/>
      <c r="Q160" s="67">
        <f t="shared" si="51"/>
        <v>0</v>
      </c>
    </row>
    <row r="161" spans="1:17" hidden="1" x14ac:dyDescent="0.25">
      <c r="A161" s="22">
        <v>5130</v>
      </c>
      <c r="B161" s="23">
        <v>843100</v>
      </c>
      <c r="C161" s="9" t="s">
        <v>153</v>
      </c>
      <c r="D161" s="9"/>
      <c r="E161" s="36"/>
      <c r="F161" s="36"/>
      <c r="G161" s="37">
        <f t="shared" si="35"/>
        <v>0</v>
      </c>
      <c r="H161" s="37"/>
      <c r="I161" s="36"/>
      <c r="J161" s="36"/>
      <c r="K161" s="36"/>
      <c r="L161" s="36"/>
      <c r="M161" s="36"/>
      <c r="N161" s="36"/>
      <c r="O161" s="36"/>
      <c r="P161" s="36"/>
      <c r="Q161" s="72"/>
    </row>
    <row r="162" spans="1:17" ht="51.75" hidden="1" x14ac:dyDescent="0.25">
      <c r="A162" s="484">
        <v>5131</v>
      </c>
      <c r="B162" s="476">
        <v>900000</v>
      </c>
      <c r="C162" s="18" t="s">
        <v>154</v>
      </c>
      <c r="D162" s="18"/>
      <c r="E162" s="19">
        <f>E163+E186</f>
        <v>0</v>
      </c>
      <c r="F162" s="19"/>
      <c r="G162" s="19">
        <f t="shared" ref="G162:G197" si="52">SUM(I162:Q162)</f>
        <v>0</v>
      </c>
      <c r="H162" s="19"/>
      <c r="I162" s="19">
        <f t="shared" ref="I162:Q162" si="53">I163+I186</f>
        <v>0</v>
      </c>
      <c r="J162" s="19">
        <f t="shared" si="53"/>
        <v>0</v>
      </c>
      <c r="K162" s="19"/>
      <c r="L162" s="19">
        <f t="shared" si="53"/>
        <v>0</v>
      </c>
      <c r="M162" s="19"/>
      <c r="N162" s="19">
        <f t="shared" si="53"/>
        <v>0</v>
      </c>
      <c r="O162" s="19">
        <f t="shared" si="53"/>
        <v>0</v>
      </c>
      <c r="P162" s="19"/>
      <c r="Q162" s="67">
        <f t="shared" si="53"/>
        <v>0</v>
      </c>
    </row>
    <row r="163" spans="1:17" ht="26.25" hidden="1" x14ac:dyDescent="0.25">
      <c r="A163" s="484">
        <v>5132</v>
      </c>
      <c r="B163" s="476">
        <v>910000</v>
      </c>
      <c r="C163" s="18" t="s">
        <v>155</v>
      </c>
      <c r="D163" s="18"/>
      <c r="E163" s="19">
        <f>E164+E174</f>
        <v>0</v>
      </c>
      <c r="F163" s="19"/>
      <c r="G163" s="19">
        <f t="shared" si="52"/>
        <v>0</v>
      </c>
      <c r="H163" s="19"/>
      <c r="I163" s="19">
        <f t="shared" ref="I163:Q163" si="54">I164+I174</f>
        <v>0</v>
      </c>
      <c r="J163" s="19">
        <f t="shared" si="54"/>
        <v>0</v>
      </c>
      <c r="K163" s="19"/>
      <c r="L163" s="19">
        <f t="shared" si="54"/>
        <v>0</v>
      </c>
      <c r="M163" s="19"/>
      <c r="N163" s="19">
        <f t="shared" si="54"/>
        <v>0</v>
      </c>
      <c r="O163" s="19">
        <f t="shared" si="54"/>
        <v>0</v>
      </c>
      <c r="P163" s="19"/>
      <c r="Q163" s="67">
        <f t="shared" si="54"/>
        <v>0</v>
      </c>
    </row>
    <row r="164" spans="1:17" ht="39" hidden="1" x14ac:dyDescent="0.25">
      <c r="A164" s="484">
        <v>5133</v>
      </c>
      <c r="B164" s="476">
        <v>911000</v>
      </c>
      <c r="C164" s="18" t="s">
        <v>156</v>
      </c>
      <c r="D164" s="18"/>
      <c r="E164" s="19">
        <f>SUM(E165:E173)</f>
        <v>0</v>
      </c>
      <c r="F164" s="19"/>
      <c r="G164" s="19">
        <f t="shared" si="52"/>
        <v>0</v>
      </c>
      <c r="H164" s="19"/>
      <c r="I164" s="19">
        <f t="shared" ref="I164:Q164" si="55">SUM(I165:I173)</f>
        <v>0</v>
      </c>
      <c r="J164" s="19">
        <f t="shared" si="55"/>
        <v>0</v>
      </c>
      <c r="K164" s="19"/>
      <c r="L164" s="19">
        <f t="shared" si="55"/>
        <v>0</v>
      </c>
      <c r="M164" s="19"/>
      <c r="N164" s="19">
        <f t="shared" si="55"/>
        <v>0</v>
      </c>
      <c r="O164" s="19">
        <f t="shared" si="55"/>
        <v>0</v>
      </c>
      <c r="P164" s="19"/>
      <c r="Q164" s="67">
        <f t="shared" si="55"/>
        <v>0</v>
      </c>
    </row>
    <row r="165" spans="1:17" ht="39" hidden="1" x14ac:dyDescent="0.25">
      <c r="A165" s="22">
        <v>5134</v>
      </c>
      <c r="B165" s="23">
        <v>911100</v>
      </c>
      <c r="C165" s="9" t="s">
        <v>157</v>
      </c>
      <c r="D165" s="9"/>
      <c r="E165" s="36"/>
      <c r="F165" s="36"/>
      <c r="G165" s="37">
        <f t="shared" si="52"/>
        <v>0</v>
      </c>
      <c r="H165" s="37"/>
      <c r="I165" s="36"/>
      <c r="J165" s="36"/>
      <c r="K165" s="36"/>
      <c r="L165" s="36"/>
      <c r="M165" s="36"/>
      <c r="N165" s="36"/>
      <c r="O165" s="36"/>
      <c r="P165" s="36"/>
      <c r="Q165" s="72"/>
    </row>
    <row r="166" spans="1:17" ht="26.25" hidden="1" x14ac:dyDescent="0.25">
      <c r="A166" s="22">
        <v>5135</v>
      </c>
      <c r="B166" s="23">
        <v>911200</v>
      </c>
      <c r="C166" s="9" t="s">
        <v>158</v>
      </c>
      <c r="D166" s="9"/>
      <c r="E166" s="36"/>
      <c r="F166" s="36"/>
      <c r="G166" s="37">
        <f t="shared" si="52"/>
        <v>0</v>
      </c>
      <c r="H166" s="37"/>
      <c r="I166" s="36"/>
      <c r="J166" s="36"/>
      <c r="K166" s="36"/>
      <c r="L166" s="36"/>
      <c r="M166" s="36"/>
      <c r="N166" s="36"/>
      <c r="O166" s="36"/>
      <c r="P166" s="36"/>
      <c r="Q166" s="72"/>
    </row>
    <row r="167" spans="1:17" ht="39" hidden="1" x14ac:dyDescent="0.25">
      <c r="A167" s="22">
        <v>5136</v>
      </c>
      <c r="B167" s="23">
        <v>911300</v>
      </c>
      <c r="C167" s="9" t="s">
        <v>159</v>
      </c>
      <c r="D167" s="9"/>
      <c r="E167" s="36"/>
      <c r="F167" s="36"/>
      <c r="G167" s="37">
        <f t="shared" si="52"/>
        <v>0</v>
      </c>
      <c r="H167" s="37"/>
      <c r="I167" s="36"/>
      <c r="J167" s="36"/>
      <c r="K167" s="36"/>
      <c r="L167" s="36"/>
      <c r="M167" s="36"/>
      <c r="N167" s="36"/>
      <c r="O167" s="36"/>
      <c r="P167" s="36"/>
      <c r="Q167" s="72"/>
    </row>
    <row r="168" spans="1:17" ht="26.25" hidden="1" x14ac:dyDescent="0.25">
      <c r="A168" s="22">
        <v>5137</v>
      </c>
      <c r="B168" s="23">
        <v>911400</v>
      </c>
      <c r="C168" s="9" t="s">
        <v>160</v>
      </c>
      <c r="D168" s="9"/>
      <c r="E168" s="36"/>
      <c r="F168" s="36"/>
      <c r="G168" s="37">
        <f t="shared" si="52"/>
        <v>0</v>
      </c>
      <c r="H168" s="37"/>
      <c r="I168" s="36"/>
      <c r="J168" s="36"/>
      <c r="K168" s="36"/>
      <c r="L168" s="36"/>
      <c r="M168" s="36"/>
      <c r="N168" s="36"/>
      <c r="O168" s="36"/>
      <c r="P168" s="36"/>
      <c r="Q168" s="72"/>
    </row>
    <row r="169" spans="1:17" ht="26.25" hidden="1" x14ac:dyDescent="0.25">
      <c r="A169" s="22">
        <v>5138</v>
      </c>
      <c r="B169" s="23">
        <v>911500</v>
      </c>
      <c r="C169" s="9" t="s">
        <v>161</v>
      </c>
      <c r="D169" s="9"/>
      <c r="E169" s="36"/>
      <c r="F169" s="36"/>
      <c r="G169" s="37">
        <f t="shared" si="52"/>
        <v>0</v>
      </c>
      <c r="H169" s="37"/>
      <c r="I169" s="36"/>
      <c r="J169" s="36"/>
      <c r="K169" s="36"/>
      <c r="L169" s="36"/>
      <c r="M169" s="36"/>
      <c r="N169" s="36"/>
      <c r="O169" s="36"/>
      <c r="P169" s="36"/>
      <c r="Q169" s="72"/>
    </row>
    <row r="170" spans="1:17" ht="26.25" hidden="1" x14ac:dyDescent="0.25">
      <c r="A170" s="22">
        <v>5139</v>
      </c>
      <c r="B170" s="23">
        <v>911600</v>
      </c>
      <c r="C170" s="9" t="s">
        <v>162</v>
      </c>
      <c r="D170" s="9"/>
      <c r="E170" s="36"/>
      <c r="F170" s="36"/>
      <c r="G170" s="37">
        <f t="shared" si="52"/>
        <v>0</v>
      </c>
      <c r="H170" s="37"/>
      <c r="I170" s="36"/>
      <c r="J170" s="36"/>
      <c r="K170" s="36"/>
      <c r="L170" s="36"/>
      <c r="M170" s="36"/>
      <c r="N170" s="36"/>
      <c r="O170" s="36"/>
      <c r="P170" s="36"/>
      <c r="Q170" s="72"/>
    </row>
    <row r="171" spans="1:17" ht="26.25" hidden="1" x14ac:dyDescent="0.25">
      <c r="A171" s="22">
        <v>5140</v>
      </c>
      <c r="B171" s="23">
        <v>911700</v>
      </c>
      <c r="C171" s="9" t="s">
        <v>163</v>
      </c>
      <c r="D171" s="9"/>
      <c r="E171" s="36"/>
      <c r="F171" s="36"/>
      <c r="G171" s="37">
        <f t="shared" si="52"/>
        <v>0</v>
      </c>
      <c r="H171" s="37"/>
      <c r="I171" s="36"/>
      <c r="J171" s="36"/>
      <c r="K171" s="36"/>
      <c r="L171" s="36"/>
      <c r="M171" s="36"/>
      <c r="N171" s="36"/>
      <c r="O171" s="36"/>
      <c r="P171" s="36"/>
      <c r="Q171" s="72"/>
    </row>
    <row r="172" spans="1:17" hidden="1" x14ac:dyDescent="0.25">
      <c r="A172" s="22">
        <v>5141</v>
      </c>
      <c r="B172" s="23">
        <v>911800</v>
      </c>
      <c r="C172" s="9" t="s">
        <v>164</v>
      </c>
      <c r="D172" s="9"/>
      <c r="E172" s="36"/>
      <c r="F172" s="36"/>
      <c r="G172" s="37">
        <f t="shared" si="52"/>
        <v>0</v>
      </c>
      <c r="H172" s="37"/>
      <c r="I172" s="36"/>
      <c r="J172" s="36"/>
      <c r="K172" s="36"/>
      <c r="L172" s="36"/>
      <c r="M172" s="36"/>
      <c r="N172" s="36"/>
      <c r="O172" s="36"/>
      <c r="P172" s="36"/>
      <c r="Q172" s="72"/>
    </row>
    <row r="173" spans="1:17" hidden="1" x14ac:dyDescent="0.25">
      <c r="A173" s="22">
        <v>5142</v>
      </c>
      <c r="B173" s="23">
        <v>911900</v>
      </c>
      <c r="C173" s="9" t="s">
        <v>165</v>
      </c>
      <c r="D173" s="9"/>
      <c r="E173" s="36"/>
      <c r="F173" s="36"/>
      <c r="G173" s="37">
        <f t="shared" si="52"/>
        <v>0</v>
      </c>
      <c r="H173" s="37"/>
      <c r="I173" s="36"/>
      <c r="J173" s="36"/>
      <c r="K173" s="36"/>
      <c r="L173" s="36"/>
      <c r="M173" s="36"/>
      <c r="N173" s="36"/>
      <c r="O173" s="36"/>
      <c r="P173" s="36"/>
      <c r="Q173" s="72"/>
    </row>
    <row r="174" spans="1:17" ht="39" hidden="1" x14ac:dyDescent="0.25">
      <c r="A174" s="484">
        <v>5143</v>
      </c>
      <c r="B174" s="476">
        <v>912000</v>
      </c>
      <c r="C174" s="18" t="s">
        <v>166</v>
      </c>
      <c r="D174" s="18"/>
      <c r="E174" s="19">
        <f>SUM(E175:E185)</f>
        <v>0</v>
      </c>
      <c r="F174" s="19"/>
      <c r="G174" s="19">
        <f t="shared" si="52"/>
        <v>0</v>
      </c>
      <c r="H174" s="19"/>
      <c r="I174" s="19">
        <f t="shared" ref="I174:Q174" si="56">SUM(I175:I185)</f>
        <v>0</v>
      </c>
      <c r="J174" s="19">
        <f t="shared" si="56"/>
        <v>0</v>
      </c>
      <c r="K174" s="19"/>
      <c r="L174" s="19">
        <f t="shared" si="56"/>
        <v>0</v>
      </c>
      <c r="M174" s="19"/>
      <c r="N174" s="19">
        <f t="shared" si="56"/>
        <v>0</v>
      </c>
      <c r="O174" s="19">
        <f t="shared" si="56"/>
        <v>0</v>
      </c>
      <c r="P174" s="19"/>
      <c r="Q174" s="67">
        <f t="shared" si="56"/>
        <v>0</v>
      </c>
    </row>
    <row r="175" spans="1:17" ht="51.75" hidden="1" x14ac:dyDescent="0.25">
      <c r="A175" s="22">
        <v>5144</v>
      </c>
      <c r="B175" s="23">
        <v>912100</v>
      </c>
      <c r="C175" s="9" t="s">
        <v>167</v>
      </c>
      <c r="D175" s="9"/>
      <c r="E175" s="36"/>
      <c r="F175" s="36"/>
      <c r="G175" s="37">
        <f t="shared" si="52"/>
        <v>0</v>
      </c>
      <c r="H175" s="37"/>
      <c r="I175" s="36"/>
      <c r="J175" s="36"/>
      <c r="K175" s="36"/>
      <c r="L175" s="36"/>
      <c r="M175" s="36"/>
      <c r="N175" s="36"/>
      <c r="O175" s="36"/>
      <c r="P175" s="36"/>
      <c r="Q175" s="72"/>
    </row>
    <row r="176" spans="1:17" ht="26.25" hidden="1" x14ac:dyDescent="0.25">
      <c r="A176" s="22">
        <v>5145</v>
      </c>
      <c r="B176" s="23">
        <v>912200</v>
      </c>
      <c r="C176" s="9" t="s">
        <v>168</v>
      </c>
      <c r="D176" s="9"/>
      <c r="E176" s="36"/>
      <c r="F176" s="36"/>
      <c r="G176" s="37">
        <f t="shared" si="52"/>
        <v>0</v>
      </c>
      <c r="H176" s="37"/>
      <c r="I176" s="36"/>
      <c r="J176" s="36"/>
      <c r="K176" s="36"/>
      <c r="L176" s="36"/>
      <c r="M176" s="36"/>
      <c r="N176" s="36"/>
      <c r="O176" s="36"/>
      <c r="P176" s="36"/>
      <c r="Q176" s="72"/>
    </row>
    <row r="177" spans="1:17" ht="26.25" hidden="1" x14ac:dyDescent="0.25">
      <c r="A177" s="22">
        <v>5146</v>
      </c>
      <c r="B177" s="23">
        <v>912300</v>
      </c>
      <c r="C177" s="9" t="s">
        <v>169</v>
      </c>
      <c r="D177" s="9"/>
      <c r="E177" s="36"/>
      <c r="F177" s="36"/>
      <c r="G177" s="37">
        <f t="shared" si="52"/>
        <v>0</v>
      </c>
      <c r="H177" s="37"/>
      <c r="I177" s="36"/>
      <c r="J177" s="36"/>
      <c r="K177" s="36"/>
      <c r="L177" s="36"/>
      <c r="M177" s="36"/>
      <c r="N177" s="36"/>
      <c r="O177" s="36"/>
      <c r="P177" s="36"/>
      <c r="Q177" s="72"/>
    </row>
    <row r="178" spans="1:17" ht="26.25" hidden="1" x14ac:dyDescent="0.25">
      <c r="A178" s="22">
        <v>5147</v>
      </c>
      <c r="B178" s="23">
        <v>912400</v>
      </c>
      <c r="C178" s="9" t="s">
        <v>170</v>
      </c>
      <c r="D178" s="9"/>
      <c r="E178" s="36"/>
      <c r="F178" s="36"/>
      <c r="G178" s="37">
        <f t="shared" si="52"/>
        <v>0</v>
      </c>
      <c r="H178" s="37"/>
      <c r="I178" s="36"/>
      <c r="J178" s="36"/>
      <c r="K178" s="36"/>
      <c r="L178" s="36"/>
      <c r="M178" s="36"/>
      <c r="N178" s="36"/>
      <c r="O178" s="36"/>
      <c r="P178" s="36"/>
      <c r="Q178" s="72"/>
    </row>
    <row r="179" spans="1:17" ht="26.25" hidden="1" x14ac:dyDescent="0.25">
      <c r="A179" s="22">
        <v>5148</v>
      </c>
      <c r="B179" s="23">
        <v>912500</v>
      </c>
      <c r="C179" s="9" t="s">
        <v>171</v>
      </c>
      <c r="D179" s="9"/>
      <c r="E179" s="36"/>
      <c r="F179" s="36"/>
      <c r="G179" s="37">
        <f t="shared" si="52"/>
        <v>0</v>
      </c>
      <c r="H179" s="37"/>
      <c r="I179" s="36"/>
      <c r="J179" s="36"/>
      <c r="K179" s="36"/>
      <c r="L179" s="36"/>
      <c r="M179" s="36"/>
      <c r="N179" s="36"/>
      <c r="O179" s="36"/>
      <c r="P179" s="36"/>
      <c r="Q179" s="72"/>
    </row>
    <row r="180" spans="1:17" ht="26.25" hidden="1" x14ac:dyDescent="0.25">
      <c r="A180" s="22">
        <v>5149</v>
      </c>
      <c r="B180" s="23">
        <v>912600</v>
      </c>
      <c r="C180" s="9" t="s">
        <v>172</v>
      </c>
      <c r="D180" s="9"/>
      <c r="E180" s="36"/>
      <c r="F180" s="36"/>
      <c r="G180" s="37">
        <f t="shared" si="52"/>
        <v>0</v>
      </c>
      <c r="H180" s="37"/>
      <c r="I180" s="36"/>
      <c r="J180" s="36"/>
      <c r="K180" s="36"/>
      <c r="L180" s="36"/>
      <c r="M180" s="36"/>
      <c r="N180" s="36"/>
      <c r="O180" s="36"/>
      <c r="P180" s="36"/>
      <c r="Q180" s="72"/>
    </row>
    <row r="181" spans="1:17" hidden="1" x14ac:dyDescent="0.25">
      <c r="A181" s="546" t="s">
        <v>0</v>
      </c>
      <c r="B181" s="543" t="s">
        <v>1</v>
      </c>
      <c r="C181" s="542" t="s">
        <v>2</v>
      </c>
      <c r="D181" s="474"/>
      <c r="E181" s="544" t="s">
        <v>3</v>
      </c>
      <c r="F181" s="476"/>
      <c r="G181" s="544" t="s">
        <v>4</v>
      </c>
      <c r="H181" s="544"/>
      <c r="I181" s="544"/>
      <c r="J181" s="544"/>
      <c r="K181" s="544"/>
      <c r="L181" s="544"/>
      <c r="M181" s="544"/>
      <c r="N181" s="544"/>
      <c r="O181" s="544"/>
      <c r="P181" s="544"/>
      <c r="Q181" s="547"/>
    </row>
    <row r="182" spans="1:17" hidden="1" x14ac:dyDescent="0.25">
      <c r="A182" s="546"/>
      <c r="B182" s="543"/>
      <c r="C182" s="542"/>
      <c r="D182" s="474"/>
      <c r="E182" s="544"/>
      <c r="F182" s="476"/>
      <c r="G182" s="548" t="s">
        <v>5</v>
      </c>
      <c r="H182" s="479"/>
      <c r="I182" s="544" t="s">
        <v>6</v>
      </c>
      <c r="J182" s="544"/>
      <c r="K182" s="544"/>
      <c r="L182" s="544"/>
      <c r="M182" s="544"/>
      <c r="N182" s="544"/>
      <c r="O182" s="544" t="s">
        <v>7</v>
      </c>
      <c r="P182" s="476"/>
      <c r="Q182" s="547" t="s">
        <v>8</v>
      </c>
    </row>
    <row r="183" spans="1:17" ht="39" hidden="1" x14ac:dyDescent="0.25">
      <c r="A183" s="546"/>
      <c r="B183" s="543"/>
      <c r="C183" s="542"/>
      <c r="D183" s="474"/>
      <c r="E183" s="544"/>
      <c r="F183" s="476"/>
      <c r="G183" s="548"/>
      <c r="H183" s="479"/>
      <c r="I183" s="476" t="s">
        <v>9</v>
      </c>
      <c r="J183" s="476" t="s">
        <v>10</v>
      </c>
      <c r="K183" s="476"/>
      <c r="L183" s="476" t="s">
        <v>11</v>
      </c>
      <c r="M183" s="476"/>
      <c r="N183" s="476" t="s">
        <v>12</v>
      </c>
      <c r="O183" s="544"/>
      <c r="P183" s="476"/>
      <c r="Q183" s="547"/>
    </row>
    <row r="184" spans="1:17" ht="26.25" hidden="1" x14ac:dyDescent="0.25">
      <c r="A184" s="31" t="s">
        <v>18</v>
      </c>
      <c r="B184" s="475" t="s">
        <v>19</v>
      </c>
      <c r="C184" s="475" t="s">
        <v>20</v>
      </c>
      <c r="D184" s="475"/>
      <c r="E184" s="33" t="s">
        <v>21</v>
      </c>
      <c r="F184" s="33"/>
      <c r="G184" s="33" t="s">
        <v>22</v>
      </c>
      <c r="H184" s="33"/>
      <c r="I184" s="33" t="s">
        <v>23</v>
      </c>
      <c r="J184" s="33" t="s">
        <v>24</v>
      </c>
      <c r="K184" s="33"/>
      <c r="L184" s="33" t="s">
        <v>25</v>
      </c>
      <c r="M184" s="33"/>
      <c r="N184" s="33" t="s">
        <v>26</v>
      </c>
      <c r="O184" s="33" t="s">
        <v>27</v>
      </c>
      <c r="P184" s="33"/>
      <c r="Q184" s="70" t="s">
        <v>28</v>
      </c>
    </row>
    <row r="185" spans="1:17" hidden="1" x14ac:dyDescent="0.25">
      <c r="A185" s="22">
        <v>5150</v>
      </c>
      <c r="B185" s="23">
        <v>912900</v>
      </c>
      <c r="C185" s="9" t="s">
        <v>173</v>
      </c>
      <c r="D185" s="9"/>
      <c r="E185" s="36"/>
      <c r="F185" s="36"/>
      <c r="G185" s="37">
        <f t="shared" si="52"/>
        <v>0</v>
      </c>
      <c r="H185" s="37"/>
      <c r="I185" s="36"/>
      <c r="J185" s="36"/>
      <c r="K185" s="36"/>
      <c r="L185" s="36"/>
      <c r="M185" s="36"/>
      <c r="N185" s="36"/>
      <c r="O185" s="36"/>
      <c r="P185" s="36"/>
      <c r="Q185" s="72"/>
    </row>
    <row r="186" spans="1:17" ht="39" hidden="1" x14ac:dyDescent="0.25">
      <c r="A186" s="484">
        <v>5151</v>
      </c>
      <c r="B186" s="476">
        <v>920000</v>
      </c>
      <c r="C186" s="18" t="s">
        <v>174</v>
      </c>
      <c r="D186" s="18"/>
      <c r="E186" s="19">
        <f>E187+E197</f>
        <v>0</v>
      </c>
      <c r="F186" s="19"/>
      <c r="G186" s="19">
        <f t="shared" si="52"/>
        <v>0</v>
      </c>
      <c r="H186" s="19"/>
      <c r="I186" s="19">
        <f t="shared" ref="I186:Q186" si="57">I187+I197</f>
        <v>0</v>
      </c>
      <c r="J186" s="19">
        <f t="shared" si="57"/>
        <v>0</v>
      </c>
      <c r="K186" s="19"/>
      <c r="L186" s="19">
        <f t="shared" si="57"/>
        <v>0</v>
      </c>
      <c r="M186" s="19"/>
      <c r="N186" s="19">
        <f t="shared" si="57"/>
        <v>0</v>
      </c>
      <c r="O186" s="19">
        <f t="shared" si="57"/>
        <v>0</v>
      </c>
      <c r="P186" s="19"/>
      <c r="Q186" s="67">
        <f t="shared" si="57"/>
        <v>0</v>
      </c>
    </row>
    <row r="187" spans="1:17" ht="39" hidden="1" x14ac:dyDescent="0.25">
      <c r="A187" s="484">
        <v>5152</v>
      </c>
      <c r="B187" s="476">
        <v>921000</v>
      </c>
      <c r="C187" s="18" t="s">
        <v>175</v>
      </c>
      <c r="D187" s="18"/>
      <c r="E187" s="19">
        <f>SUM(E188:E196)</f>
        <v>0</v>
      </c>
      <c r="F187" s="19"/>
      <c r="G187" s="19">
        <f t="shared" si="52"/>
        <v>0</v>
      </c>
      <c r="H187" s="19"/>
      <c r="I187" s="19">
        <f t="shared" ref="I187:Q187" si="58">SUM(I188:I196)</f>
        <v>0</v>
      </c>
      <c r="J187" s="19">
        <f t="shared" si="58"/>
        <v>0</v>
      </c>
      <c r="K187" s="19"/>
      <c r="L187" s="19">
        <f t="shared" si="58"/>
        <v>0</v>
      </c>
      <c r="M187" s="19"/>
      <c r="N187" s="19">
        <f t="shared" si="58"/>
        <v>0</v>
      </c>
      <c r="O187" s="19">
        <f t="shared" si="58"/>
        <v>0</v>
      </c>
      <c r="P187" s="19"/>
      <c r="Q187" s="67">
        <f t="shared" si="58"/>
        <v>0</v>
      </c>
    </row>
    <row r="188" spans="1:17" ht="39" hidden="1" x14ac:dyDescent="0.25">
      <c r="A188" s="22">
        <v>5153</v>
      </c>
      <c r="B188" s="23">
        <v>921100</v>
      </c>
      <c r="C188" s="9" t="s">
        <v>176</v>
      </c>
      <c r="D188" s="9"/>
      <c r="E188" s="36"/>
      <c r="F188" s="36"/>
      <c r="G188" s="37">
        <f t="shared" si="52"/>
        <v>0</v>
      </c>
      <c r="H188" s="37"/>
      <c r="I188" s="36"/>
      <c r="J188" s="36"/>
      <c r="K188" s="36"/>
      <c r="L188" s="36"/>
      <c r="M188" s="36"/>
      <c r="N188" s="36"/>
      <c r="O188" s="36"/>
      <c r="P188" s="36"/>
      <c r="Q188" s="72"/>
    </row>
    <row r="189" spans="1:17" ht="26.25" hidden="1" x14ac:dyDescent="0.25">
      <c r="A189" s="22">
        <v>5154</v>
      </c>
      <c r="B189" s="23">
        <v>921200</v>
      </c>
      <c r="C189" s="9" t="s">
        <v>177</v>
      </c>
      <c r="D189" s="9"/>
      <c r="E189" s="36"/>
      <c r="F189" s="36"/>
      <c r="G189" s="37">
        <f t="shared" si="52"/>
        <v>0</v>
      </c>
      <c r="H189" s="37"/>
      <c r="I189" s="36"/>
      <c r="J189" s="36"/>
      <c r="K189" s="36"/>
      <c r="L189" s="36"/>
      <c r="M189" s="36"/>
      <c r="N189" s="36"/>
      <c r="O189" s="36"/>
      <c r="P189" s="36"/>
      <c r="Q189" s="72"/>
    </row>
    <row r="190" spans="1:17" ht="39" hidden="1" x14ac:dyDescent="0.25">
      <c r="A190" s="22">
        <v>5155</v>
      </c>
      <c r="B190" s="23">
        <v>921300</v>
      </c>
      <c r="C190" s="9" t="s">
        <v>178</v>
      </c>
      <c r="D190" s="9"/>
      <c r="E190" s="36"/>
      <c r="F190" s="36"/>
      <c r="G190" s="37">
        <f t="shared" si="52"/>
        <v>0</v>
      </c>
      <c r="H190" s="37"/>
      <c r="I190" s="36"/>
      <c r="J190" s="36"/>
      <c r="K190" s="36"/>
      <c r="L190" s="36"/>
      <c r="M190" s="36"/>
      <c r="N190" s="36"/>
      <c r="O190" s="36"/>
      <c r="P190" s="36"/>
      <c r="Q190" s="72"/>
    </row>
    <row r="191" spans="1:17" ht="26.25" hidden="1" x14ac:dyDescent="0.25">
      <c r="A191" s="22">
        <v>5156</v>
      </c>
      <c r="B191" s="23">
        <v>921400</v>
      </c>
      <c r="C191" s="9" t="s">
        <v>179</v>
      </c>
      <c r="D191" s="9"/>
      <c r="E191" s="36"/>
      <c r="F191" s="36"/>
      <c r="G191" s="37">
        <f t="shared" si="52"/>
        <v>0</v>
      </c>
      <c r="H191" s="37"/>
      <c r="I191" s="36"/>
      <c r="J191" s="36"/>
      <c r="K191" s="36"/>
      <c r="L191" s="36"/>
      <c r="M191" s="36"/>
      <c r="N191" s="36"/>
      <c r="O191" s="36"/>
      <c r="P191" s="36"/>
      <c r="Q191" s="72"/>
    </row>
    <row r="192" spans="1:17" ht="39" hidden="1" x14ac:dyDescent="0.25">
      <c r="A192" s="22">
        <v>5157</v>
      </c>
      <c r="B192" s="23">
        <v>921500</v>
      </c>
      <c r="C192" s="9" t="s">
        <v>180</v>
      </c>
      <c r="D192" s="9"/>
      <c r="E192" s="36"/>
      <c r="F192" s="36"/>
      <c r="G192" s="37">
        <f t="shared" si="52"/>
        <v>0</v>
      </c>
      <c r="H192" s="37"/>
      <c r="I192" s="36"/>
      <c r="J192" s="36"/>
      <c r="K192" s="36"/>
      <c r="L192" s="36"/>
      <c r="M192" s="36"/>
      <c r="N192" s="36"/>
      <c r="O192" s="36"/>
      <c r="P192" s="36"/>
      <c r="Q192" s="72"/>
    </row>
    <row r="193" spans="1:17" ht="39" hidden="1" x14ac:dyDescent="0.25">
      <c r="A193" s="22">
        <v>5158</v>
      </c>
      <c r="B193" s="23">
        <v>921600</v>
      </c>
      <c r="C193" s="9" t="s">
        <v>181</v>
      </c>
      <c r="D193" s="9"/>
      <c r="E193" s="36"/>
      <c r="F193" s="36"/>
      <c r="G193" s="37">
        <f t="shared" si="52"/>
        <v>0</v>
      </c>
      <c r="H193" s="37"/>
      <c r="I193" s="36"/>
      <c r="J193" s="36"/>
      <c r="K193" s="36"/>
      <c r="L193" s="36"/>
      <c r="M193" s="36"/>
      <c r="N193" s="36"/>
      <c r="O193" s="36"/>
      <c r="P193" s="36"/>
      <c r="Q193" s="72"/>
    </row>
    <row r="194" spans="1:17" ht="39" hidden="1" x14ac:dyDescent="0.25">
      <c r="A194" s="22">
        <v>5159</v>
      </c>
      <c r="B194" s="23">
        <v>921700</v>
      </c>
      <c r="C194" s="9" t="s">
        <v>182</v>
      </c>
      <c r="D194" s="9"/>
      <c r="E194" s="36"/>
      <c r="F194" s="36"/>
      <c r="G194" s="37">
        <f t="shared" si="52"/>
        <v>0</v>
      </c>
      <c r="H194" s="37"/>
      <c r="I194" s="36"/>
      <c r="J194" s="36"/>
      <c r="K194" s="36"/>
      <c r="L194" s="36"/>
      <c r="M194" s="36"/>
      <c r="N194" s="36"/>
      <c r="O194" s="36"/>
      <c r="P194" s="36"/>
      <c r="Q194" s="72"/>
    </row>
    <row r="195" spans="1:17" ht="39" hidden="1" x14ac:dyDescent="0.25">
      <c r="A195" s="22">
        <v>5160</v>
      </c>
      <c r="B195" s="23">
        <v>921800</v>
      </c>
      <c r="C195" s="9" t="s">
        <v>183</v>
      </c>
      <c r="D195" s="9"/>
      <c r="E195" s="36"/>
      <c r="F195" s="36"/>
      <c r="G195" s="37">
        <f t="shared" si="52"/>
        <v>0</v>
      </c>
      <c r="H195" s="37"/>
      <c r="I195" s="36"/>
      <c r="J195" s="36"/>
      <c r="K195" s="36"/>
      <c r="L195" s="36"/>
      <c r="M195" s="36"/>
      <c r="N195" s="36"/>
      <c r="O195" s="36"/>
      <c r="P195" s="36"/>
      <c r="Q195" s="72"/>
    </row>
    <row r="196" spans="1:17" ht="26.25" hidden="1" x14ac:dyDescent="0.25">
      <c r="A196" s="22">
        <v>5161</v>
      </c>
      <c r="B196" s="23">
        <v>921900</v>
      </c>
      <c r="C196" s="9" t="s">
        <v>184</v>
      </c>
      <c r="D196" s="9"/>
      <c r="E196" s="36"/>
      <c r="F196" s="36"/>
      <c r="G196" s="37">
        <f t="shared" si="52"/>
        <v>0</v>
      </c>
      <c r="H196" s="37"/>
      <c r="I196" s="36"/>
      <c r="J196" s="36"/>
      <c r="K196" s="36"/>
      <c r="L196" s="36"/>
      <c r="M196" s="36"/>
      <c r="N196" s="36"/>
      <c r="O196" s="36"/>
      <c r="P196" s="36"/>
      <c r="Q196" s="72"/>
    </row>
    <row r="197" spans="1:17" ht="39" hidden="1" x14ac:dyDescent="0.25">
      <c r="A197" s="484">
        <v>5162</v>
      </c>
      <c r="B197" s="476">
        <v>922000</v>
      </c>
      <c r="C197" s="18" t="s">
        <v>185</v>
      </c>
      <c r="D197" s="18"/>
      <c r="E197" s="19">
        <f>SUM(E198:E209)</f>
        <v>0</v>
      </c>
      <c r="F197" s="19"/>
      <c r="G197" s="19">
        <f t="shared" si="52"/>
        <v>0</v>
      </c>
      <c r="H197" s="19"/>
      <c r="I197" s="19">
        <f t="shared" ref="I197:Q197" si="59">SUM(I198:I209)</f>
        <v>0</v>
      </c>
      <c r="J197" s="19">
        <f t="shared" si="59"/>
        <v>0</v>
      </c>
      <c r="K197" s="19"/>
      <c r="L197" s="19">
        <f t="shared" si="59"/>
        <v>0</v>
      </c>
      <c r="M197" s="19"/>
      <c r="N197" s="19">
        <f t="shared" si="59"/>
        <v>0</v>
      </c>
      <c r="O197" s="19">
        <f t="shared" si="59"/>
        <v>0</v>
      </c>
      <c r="P197" s="19"/>
      <c r="Q197" s="67">
        <f t="shared" si="59"/>
        <v>0</v>
      </c>
    </row>
    <row r="198" spans="1:17" ht="39" hidden="1" x14ac:dyDescent="0.25">
      <c r="A198" s="22">
        <v>5163</v>
      </c>
      <c r="B198" s="23">
        <v>922100</v>
      </c>
      <c r="C198" s="9" t="s">
        <v>186</v>
      </c>
      <c r="D198" s="9"/>
      <c r="E198" s="36"/>
      <c r="F198" s="36"/>
      <c r="G198" s="37">
        <f t="shared" ref="G198:G209" si="60">SUM(I198:Q198)</f>
        <v>0</v>
      </c>
      <c r="H198" s="37"/>
      <c r="I198" s="36"/>
      <c r="J198" s="36"/>
      <c r="K198" s="36"/>
      <c r="L198" s="36"/>
      <c r="M198" s="36"/>
      <c r="N198" s="36"/>
      <c r="O198" s="36"/>
      <c r="P198" s="36"/>
      <c r="Q198" s="72"/>
    </row>
    <row r="199" spans="1:17" ht="26.25" hidden="1" x14ac:dyDescent="0.25">
      <c r="A199" s="22">
        <v>5164</v>
      </c>
      <c r="B199" s="23">
        <v>922200</v>
      </c>
      <c r="C199" s="9" t="s">
        <v>187</v>
      </c>
      <c r="D199" s="9"/>
      <c r="E199" s="36"/>
      <c r="F199" s="36"/>
      <c r="G199" s="37">
        <f t="shared" si="60"/>
        <v>0</v>
      </c>
      <c r="H199" s="37"/>
      <c r="I199" s="36"/>
      <c r="J199" s="36"/>
      <c r="K199" s="36"/>
      <c r="L199" s="36"/>
      <c r="M199" s="36"/>
      <c r="N199" s="36"/>
      <c r="O199" s="36"/>
      <c r="P199" s="36"/>
      <c r="Q199" s="72"/>
    </row>
    <row r="200" spans="1:17" ht="39" hidden="1" x14ac:dyDescent="0.25">
      <c r="A200" s="22">
        <v>5165</v>
      </c>
      <c r="B200" s="23">
        <v>922300</v>
      </c>
      <c r="C200" s="9" t="s">
        <v>188</v>
      </c>
      <c r="D200" s="9"/>
      <c r="E200" s="36"/>
      <c r="F200" s="36"/>
      <c r="G200" s="37">
        <f t="shared" si="60"/>
        <v>0</v>
      </c>
      <c r="H200" s="37"/>
      <c r="I200" s="36"/>
      <c r="J200" s="36"/>
      <c r="K200" s="36"/>
      <c r="L200" s="36"/>
      <c r="M200" s="36"/>
      <c r="N200" s="36"/>
      <c r="O200" s="36"/>
      <c r="P200" s="36"/>
      <c r="Q200" s="72"/>
    </row>
    <row r="201" spans="1:17" ht="39" hidden="1" x14ac:dyDescent="0.25">
      <c r="A201" s="22">
        <v>5166</v>
      </c>
      <c r="B201" s="23">
        <v>922400</v>
      </c>
      <c r="C201" s="9" t="s">
        <v>189</v>
      </c>
      <c r="D201" s="9"/>
      <c r="E201" s="36"/>
      <c r="F201" s="36"/>
      <c r="G201" s="37">
        <f t="shared" si="60"/>
        <v>0</v>
      </c>
      <c r="H201" s="37"/>
      <c r="I201" s="36"/>
      <c r="J201" s="36"/>
      <c r="K201" s="36"/>
      <c r="L201" s="36"/>
      <c r="M201" s="36"/>
      <c r="N201" s="36"/>
      <c r="O201" s="36"/>
      <c r="P201" s="36"/>
      <c r="Q201" s="72"/>
    </row>
    <row r="202" spans="1:17" ht="39" hidden="1" x14ac:dyDescent="0.25">
      <c r="A202" s="22">
        <v>5167</v>
      </c>
      <c r="B202" s="23">
        <v>922500</v>
      </c>
      <c r="C202" s="9" t="s">
        <v>190</v>
      </c>
      <c r="D202" s="9"/>
      <c r="E202" s="36"/>
      <c r="F202" s="36"/>
      <c r="G202" s="37">
        <f t="shared" si="60"/>
        <v>0</v>
      </c>
      <c r="H202" s="37"/>
      <c r="I202" s="36"/>
      <c r="J202" s="36"/>
      <c r="K202" s="36"/>
      <c r="L202" s="36"/>
      <c r="M202" s="36"/>
      <c r="N202" s="36"/>
      <c r="O202" s="36"/>
      <c r="P202" s="36"/>
      <c r="Q202" s="72"/>
    </row>
    <row r="203" spans="1:17" hidden="1" x14ac:dyDescent="0.25">
      <c r="A203" s="546" t="s">
        <v>0</v>
      </c>
      <c r="B203" s="543" t="s">
        <v>1</v>
      </c>
      <c r="C203" s="542" t="s">
        <v>2</v>
      </c>
      <c r="D203" s="474"/>
      <c r="E203" s="544" t="s">
        <v>3</v>
      </c>
      <c r="F203" s="476"/>
      <c r="G203" s="544" t="s">
        <v>4</v>
      </c>
      <c r="H203" s="544"/>
      <c r="I203" s="544"/>
      <c r="J203" s="544"/>
      <c r="K203" s="544"/>
      <c r="L203" s="544"/>
      <c r="M203" s="544"/>
      <c r="N203" s="544"/>
      <c r="O203" s="544"/>
      <c r="P203" s="544"/>
      <c r="Q203" s="547"/>
    </row>
    <row r="204" spans="1:17" hidden="1" x14ac:dyDescent="0.25">
      <c r="A204" s="546"/>
      <c r="B204" s="543"/>
      <c r="C204" s="542"/>
      <c r="D204" s="474"/>
      <c r="E204" s="544"/>
      <c r="F204" s="476"/>
      <c r="G204" s="548" t="s">
        <v>5</v>
      </c>
      <c r="H204" s="479"/>
      <c r="I204" s="544" t="s">
        <v>6</v>
      </c>
      <c r="J204" s="544"/>
      <c r="K204" s="544"/>
      <c r="L204" s="544"/>
      <c r="M204" s="544"/>
      <c r="N204" s="544"/>
      <c r="O204" s="544" t="s">
        <v>7</v>
      </c>
      <c r="P204" s="476"/>
      <c r="Q204" s="547" t="s">
        <v>8</v>
      </c>
    </row>
    <row r="205" spans="1:17" ht="39" hidden="1" x14ac:dyDescent="0.25">
      <c r="A205" s="546"/>
      <c r="B205" s="543"/>
      <c r="C205" s="542"/>
      <c r="D205" s="474"/>
      <c r="E205" s="544"/>
      <c r="F205" s="476"/>
      <c r="G205" s="548"/>
      <c r="H205" s="479"/>
      <c r="I205" s="476" t="s">
        <v>9</v>
      </c>
      <c r="J205" s="476" t="s">
        <v>10</v>
      </c>
      <c r="K205" s="476"/>
      <c r="L205" s="476" t="s">
        <v>11</v>
      </c>
      <c r="M205" s="476"/>
      <c r="N205" s="476" t="s">
        <v>12</v>
      </c>
      <c r="O205" s="544"/>
      <c r="P205" s="476"/>
      <c r="Q205" s="547"/>
    </row>
    <row r="206" spans="1:17" ht="26.25" hidden="1" x14ac:dyDescent="0.25">
      <c r="A206" s="31" t="s">
        <v>18</v>
      </c>
      <c r="B206" s="475" t="s">
        <v>19</v>
      </c>
      <c r="C206" s="475" t="s">
        <v>20</v>
      </c>
      <c r="D206" s="475"/>
      <c r="E206" s="33" t="s">
        <v>21</v>
      </c>
      <c r="F206" s="33"/>
      <c r="G206" s="33" t="s">
        <v>22</v>
      </c>
      <c r="H206" s="33"/>
      <c r="I206" s="33" t="s">
        <v>23</v>
      </c>
      <c r="J206" s="33" t="s">
        <v>24</v>
      </c>
      <c r="K206" s="33"/>
      <c r="L206" s="33" t="s">
        <v>25</v>
      </c>
      <c r="M206" s="33"/>
      <c r="N206" s="33" t="s">
        <v>26</v>
      </c>
      <c r="O206" s="33" t="s">
        <v>27</v>
      </c>
      <c r="P206" s="33"/>
      <c r="Q206" s="70" t="s">
        <v>28</v>
      </c>
    </row>
    <row r="207" spans="1:17" ht="39" hidden="1" x14ac:dyDescent="0.25">
      <c r="A207" s="22">
        <v>5168</v>
      </c>
      <c r="B207" s="23">
        <v>922600</v>
      </c>
      <c r="C207" s="9" t="s">
        <v>191</v>
      </c>
      <c r="D207" s="9"/>
      <c r="E207" s="36"/>
      <c r="F207" s="36"/>
      <c r="G207" s="37">
        <f t="shared" si="60"/>
        <v>0</v>
      </c>
      <c r="H207" s="37"/>
      <c r="I207" s="36"/>
      <c r="J207" s="36"/>
      <c r="K207" s="36"/>
      <c r="L207" s="36"/>
      <c r="M207" s="36"/>
      <c r="N207" s="36"/>
      <c r="O207" s="36"/>
      <c r="P207" s="36"/>
      <c r="Q207" s="72"/>
    </row>
    <row r="208" spans="1:17" ht="26.25" hidden="1" x14ac:dyDescent="0.25">
      <c r="A208" s="22">
        <v>5169</v>
      </c>
      <c r="B208" s="23">
        <v>922700</v>
      </c>
      <c r="C208" s="9" t="s">
        <v>192</v>
      </c>
      <c r="D208" s="9"/>
      <c r="E208" s="36"/>
      <c r="F208" s="36"/>
      <c r="G208" s="37">
        <f t="shared" si="60"/>
        <v>0</v>
      </c>
      <c r="H208" s="37"/>
      <c r="I208" s="36"/>
      <c r="J208" s="36"/>
      <c r="K208" s="36"/>
      <c r="L208" s="36"/>
      <c r="M208" s="36"/>
      <c r="N208" s="36"/>
      <c r="O208" s="36"/>
      <c r="P208" s="36"/>
      <c r="Q208" s="72"/>
    </row>
    <row r="209" spans="1:18" ht="26.25" hidden="1" x14ac:dyDescent="0.25">
      <c r="A209" s="22">
        <v>5170</v>
      </c>
      <c r="B209" s="23">
        <v>922800</v>
      </c>
      <c r="C209" s="9" t="s">
        <v>193</v>
      </c>
      <c r="D209" s="9"/>
      <c r="E209" s="36"/>
      <c r="F209" s="36"/>
      <c r="G209" s="37">
        <f t="shared" si="60"/>
        <v>0</v>
      </c>
      <c r="H209" s="37"/>
      <c r="I209" s="36"/>
      <c r="J209" s="36"/>
      <c r="K209" s="36"/>
      <c r="L209" s="36"/>
      <c r="M209" s="36"/>
      <c r="N209" s="36"/>
      <c r="O209" s="36"/>
      <c r="P209" s="36"/>
      <c r="Q209" s="72"/>
    </row>
    <row r="210" spans="1:18" ht="27" thickBot="1" x14ac:dyDescent="0.3">
      <c r="A210" s="39">
        <v>5171</v>
      </c>
      <c r="B210" s="40"/>
      <c r="C210" s="41" t="s">
        <v>194</v>
      </c>
      <c r="D210" s="41"/>
      <c r="E210" s="42">
        <f>E6+E162</f>
        <v>1500538</v>
      </c>
      <c r="F210" s="42">
        <f t="shared" ref="F210:Q210" si="61">F6+F162</f>
        <v>1522451</v>
      </c>
      <c r="G210" s="42">
        <f t="shared" si="61"/>
        <v>2905642</v>
      </c>
      <c r="H210" s="42">
        <f t="shared" si="61"/>
        <v>24480</v>
      </c>
      <c r="I210" s="42">
        <f t="shared" si="61"/>
        <v>18738</v>
      </c>
      <c r="J210" s="42">
        <f t="shared" si="61"/>
        <v>0</v>
      </c>
      <c r="K210" s="42">
        <f t="shared" si="61"/>
        <v>8447</v>
      </c>
      <c r="L210" s="42">
        <f t="shared" si="61"/>
        <v>505</v>
      </c>
      <c r="M210" s="42">
        <f t="shared" si="61"/>
        <v>1476669</v>
      </c>
      <c r="N210" s="42">
        <f t="shared" si="61"/>
        <v>1398192</v>
      </c>
      <c r="O210" s="42">
        <f t="shared" si="61"/>
        <v>0</v>
      </c>
      <c r="P210" s="42">
        <f t="shared" si="61"/>
        <v>12855</v>
      </c>
      <c r="Q210" s="74">
        <f t="shared" si="61"/>
        <v>12669</v>
      </c>
    </row>
    <row r="211" spans="1:18" ht="25.5" customHeight="1" x14ac:dyDescent="0.25">
      <c r="A211" s="61"/>
      <c r="B211" s="62"/>
      <c r="C211" s="63"/>
      <c r="D211" s="63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</row>
    <row r="212" spans="1:18" ht="3" hidden="1" customHeight="1" x14ac:dyDescent="0.25">
      <c r="A212" s="43"/>
      <c r="B212" s="14"/>
      <c r="C212" s="14"/>
      <c r="D212" s="14"/>
      <c r="E212" s="14"/>
      <c r="F212" s="14"/>
      <c r="G212" s="14"/>
      <c r="H212" s="14"/>
      <c r="I212" s="14"/>
      <c r="J212" s="14"/>
      <c r="K212" s="14"/>
      <c r="L212" s="14"/>
      <c r="M212" s="14"/>
      <c r="N212" s="14"/>
      <c r="O212" s="14"/>
      <c r="P212" s="14"/>
      <c r="Q212" s="14"/>
    </row>
    <row r="213" spans="1:18" ht="19.5" customHeight="1" x14ac:dyDescent="0.25">
      <c r="A213" s="13" t="s">
        <v>195</v>
      </c>
      <c r="B213" s="14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4"/>
      <c r="P213" s="14"/>
      <c r="Q213" s="14"/>
    </row>
    <row r="214" spans="1:18" ht="3.75" hidden="1" customHeight="1" x14ac:dyDescent="0.25">
      <c r="A214" s="43"/>
      <c r="B214" s="14"/>
      <c r="C214" s="14"/>
      <c r="D214" s="14"/>
      <c r="E214" s="14"/>
      <c r="F214" s="14"/>
      <c r="G214" s="14"/>
      <c r="H214" s="14"/>
      <c r="I214" s="14"/>
      <c r="J214" s="14"/>
      <c r="K214" s="14"/>
      <c r="L214" s="14"/>
      <c r="M214" s="14"/>
      <c r="N214" s="14"/>
      <c r="O214" s="14" t="s">
        <v>196</v>
      </c>
      <c r="P214" s="14"/>
      <c r="Q214" s="14"/>
    </row>
    <row r="215" spans="1:18" ht="15" customHeight="1" x14ac:dyDescent="0.25">
      <c r="A215" s="544" t="s">
        <v>0</v>
      </c>
      <c r="B215" s="544" t="s">
        <v>1</v>
      </c>
      <c r="C215" s="544" t="s">
        <v>2</v>
      </c>
      <c r="D215" s="544"/>
      <c r="E215" s="544" t="s">
        <v>197</v>
      </c>
      <c r="F215" s="534" t="s">
        <v>512</v>
      </c>
      <c r="G215" s="535"/>
      <c r="H215" s="535"/>
      <c r="I215" s="535"/>
      <c r="J215" s="535"/>
      <c r="K215" s="535"/>
      <c r="L215" s="535"/>
      <c r="M215" s="535"/>
      <c r="N215" s="535"/>
      <c r="O215" s="535"/>
      <c r="P215" s="535"/>
      <c r="Q215" s="536"/>
    </row>
    <row r="216" spans="1:18" ht="15" customHeight="1" x14ac:dyDescent="0.25">
      <c r="A216" s="545"/>
      <c r="B216" s="545"/>
      <c r="C216" s="545"/>
      <c r="D216" s="544"/>
      <c r="E216" s="545"/>
      <c r="F216" s="544" t="s">
        <v>511</v>
      </c>
      <c r="G216" s="544" t="s">
        <v>199</v>
      </c>
      <c r="H216" s="534" t="s">
        <v>200</v>
      </c>
      <c r="I216" s="535"/>
      <c r="J216" s="535"/>
      <c r="K216" s="535"/>
      <c r="L216" s="535"/>
      <c r="M216" s="535"/>
      <c r="N216" s="536"/>
      <c r="O216" s="544" t="s">
        <v>7</v>
      </c>
      <c r="P216" s="544" t="s">
        <v>8</v>
      </c>
      <c r="Q216" s="544" t="s">
        <v>8</v>
      </c>
    </row>
    <row r="217" spans="1:18" ht="39" x14ac:dyDescent="0.25">
      <c r="A217" s="545"/>
      <c r="B217" s="545"/>
      <c r="C217" s="545"/>
      <c r="D217" s="544"/>
      <c r="E217" s="545"/>
      <c r="F217" s="545"/>
      <c r="G217" s="545"/>
      <c r="H217" s="476" t="s">
        <v>201</v>
      </c>
      <c r="I217" s="476" t="s">
        <v>201</v>
      </c>
      <c r="J217" s="476" t="s">
        <v>10</v>
      </c>
      <c r="K217" s="476" t="s">
        <v>11</v>
      </c>
      <c r="L217" s="476" t="s">
        <v>11</v>
      </c>
      <c r="M217" s="476" t="s">
        <v>12</v>
      </c>
      <c r="N217" s="476" t="s">
        <v>12</v>
      </c>
      <c r="O217" s="545"/>
      <c r="P217" s="545"/>
      <c r="Q217" s="545"/>
    </row>
    <row r="218" spans="1:18" x14ac:dyDescent="0.25">
      <c r="A218" s="476">
        <v>1</v>
      </c>
      <c r="B218" s="476">
        <v>2</v>
      </c>
      <c r="C218" s="476">
        <v>3</v>
      </c>
      <c r="D218" s="476"/>
      <c r="E218" s="476">
        <v>4</v>
      </c>
      <c r="F218" s="476">
        <v>4</v>
      </c>
      <c r="G218" s="476">
        <v>5</v>
      </c>
      <c r="H218" s="476">
        <v>5</v>
      </c>
      <c r="I218" s="476">
        <v>6</v>
      </c>
      <c r="J218" s="476">
        <v>7</v>
      </c>
      <c r="K218" s="476">
        <v>6</v>
      </c>
      <c r="L218" s="476">
        <v>8</v>
      </c>
      <c r="M218" s="476">
        <v>7</v>
      </c>
      <c r="N218" s="476">
        <v>9</v>
      </c>
      <c r="O218" s="476">
        <v>10</v>
      </c>
      <c r="P218" s="476">
        <v>8</v>
      </c>
      <c r="Q218" s="476">
        <v>11</v>
      </c>
    </row>
    <row r="219" spans="1:18" ht="39" x14ac:dyDescent="0.25">
      <c r="A219" s="480">
        <v>5172</v>
      </c>
      <c r="B219" s="476"/>
      <c r="C219" s="18" t="s">
        <v>202</v>
      </c>
      <c r="D219" s="18"/>
      <c r="E219" s="19">
        <f t="shared" ref="E219:Q219" si="62">E220+E434</f>
        <v>1500538</v>
      </c>
      <c r="F219" s="19">
        <f t="shared" si="62"/>
        <v>1527836</v>
      </c>
      <c r="G219" s="19">
        <f t="shared" si="62"/>
        <v>1428226</v>
      </c>
      <c r="H219" s="19">
        <f t="shared" si="62"/>
        <v>25518</v>
      </c>
      <c r="I219" s="19">
        <f t="shared" si="62"/>
        <v>17657</v>
      </c>
      <c r="J219" s="19">
        <f t="shared" si="62"/>
        <v>0</v>
      </c>
      <c r="K219" s="19">
        <f t="shared" si="62"/>
        <v>8447</v>
      </c>
      <c r="L219" s="19">
        <f t="shared" si="62"/>
        <v>1273</v>
      </c>
      <c r="M219" s="19">
        <f t="shared" si="62"/>
        <v>1476775</v>
      </c>
      <c r="N219" s="19">
        <f t="shared" si="62"/>
        <v>1398024</v>
      </c>
      <c r="O219" s="19">
        <f t="shared" si="62"/>
        <v>0</v>
      </c>
      <c r="P219" s="19">
        <f t="shared" si="62"/>
        <v>17096</v>
      </c>
      <c r="Q219" s="19">
        <f t="shared" si="62"/>
        <v>11162</v>
      </c>
      <c r="R219" s="44">
        <f>H219+K219+M219+P219</f>
        <v>1527836</v>
      </c>
    </row>
    <row r="220" spans="1:18" ht="39" x14ac:dyDescent="0.25">
      <c r="A220" s="480">
        <v>5173</v>
      </c>
      <c r="B220" s="476">
        <v>400000</v>
      </c>
      <c r="C220" s="18" t="s">
        <v>203</v>
      </c>
      <c r="D220" s="18"/>
      <c r="E220" s="19">
        <f>E221+E247+E314+E333+E361+E374+E394+E413</f>
        <v>1464986</v>
      </c>
      <c r="F220" s="19">
        <f>F221+F247+F333+F374+F413</f>
        <v>1500213</v>
      </c>
      <c r="G220" s="19">
        <f t="shared" ref="G220:Q220" si="63">G221+G247+G314+G333+G361+G374+G394+G413</f>
        <v>1411063</v>
      </c>
      <c r="H220" s="19">
        <f t="shared" si="63"/>
        <v>5518</v>
      </c>
      <c r="I220" s="19">
        <f t="shared" si="63"/>
        <v>2407</v>
      </c>
      <c r="J220" s="19">
        <f t="shared" si="63"/>
        <v>0</v>
      </c>
      <c r="K220" s="19">
        <f t="shared" si="63"/>
        <v>6429</v>
      </c>
      <c r="L220" s="19">
        <f t="shared" si="63"/>
        <v>1273</v>
      </c>
      <c r="M220" s="19">
        <f t="shared" si="63"/>
        <v>1476775</v>
      </c>
      <c r="N220" s="19">
        <f t="shared" si="63"/>
        <v>1398024</v>
      </c>
      <c r="O220" s="19">
        <f t="shared" si="63"/>
        <v>0</v>
      </c>
      <c r="P220" s="19">
        <f t="shared" si="63"/>
        <v>11491</v>
      </c>
      <c r="Q220" s="19">
        <f t="shared" si="63"/>
        <v>9349</v>
      </c>
      <c r="R220" s="44">
        <f>F220+F434</f>
        <v>1527836</v>
      </c>
    </row>
    <row r="221" spans="1:18" ht="39" x14ac:dyDescent="0.25">
      <c r="A221" s="480">
        <v>5174</v>
      </c>
      <c r="B221" s="476">
        <v>410000</v>
      </c>
      <c r="C221" s="18" t="s">
        <v>204</v>
      </c>
      <c r="D221" s="18"/>
      <c r="E221" s="19">
        <f>E222+E224+E228+E230+E239+E241+E243+E245</f>
        <v>1029655</v>
      </c>
      <c r="F221" s="19">
        <f t="shared" ref="F221:Q221" si="64">F222+F224+F228+F230+F239+F241+F243+F245</f>
        <v>1063773</v>
      </c>
      <c r="G221" s="19">
        <f t="shared" si="64"/>
        <v>1027665</v>
      </c>
      <c r="H221" s="19">
        <f t="shared" si="64"/>
        <v>0</v>
      </c>
      <c r="I221" s="19">
        <f t="shared" si="64"/>
        <v>0</v>
      </c>
      <c r="J221" s="19">
        <f t="shared" si="64"/>
        <v>0</v>
      </c>
      <c r="K221" s="19">
        <f t="shared" si="64"/>
        <v>0</v>
      </c>
      <c r="L221" s="19">
        <f t="shared" si="64"/>
        <v>0</v>
      </c>
      <c r="M221" s="19">
        <f t="shared" si="64"/>
        <v>1060568</v>
      </c>
      <c r="N221" s="19">
        <f t="shared" si="64"/>
        <v>1025065</v>
      </c>
      <c r="O221" s="19">
        <f t="shared" si="64"/>
        <v>0</v>
      </c>
      <c r="P221" s="19">
        <f t="shared" si="64"/>
        <v>3205</v>
      </c>
      <c r="Q221" s="19">
        <f t="shared" si="64"/>
        <v>2600</v>
      </c>
    </row>
    <row r="222" spans="1:18" ht="26.25" x14ac:dyDescent="0.25">
      <c r="A222" s="480">
        <v>5175</v>
      </c>
      <c r="B222" s="476">
        <v>411000</v>
      </c>
      <c r="C222" s="18" t="s">
        <v>205</v>
      </c>
      <c r="D222" s="18"/>
      <c r="E222" s="19">
        <f>E223</f>
        <v>851785</v>
      </c>
      <c r="F222" s="19">
        <f t="shared" ref="F222:Q222" si="65">F223</f>
        <v>875010</v>
      </c>
      <c r="G222" s="19">
        <f t="shared" si="65"/>
        <v>851785</v>
      </c>
      <c r="H222" s="19">
        <f t="shared" si="65"/>
        <v>0</v>
      </c>
      <c r="I222" s="19">
        <f t="shared" si="65"/>
        <v>0</v>
      </c>
      <c r="J222" s="19">
        <f t="shared" si="65"/>
        <v>0</v>
      </c>
      <c r="K222" s="19">
        <f t="shared" si="65"/>
        <v>0</v>
      </c>
      <c r="L222" s="19">
        <f t="shared" si="65"/>
        <v>0</v>
      </c>
      <c r="M222" s="19">
        <f t="shared" si="65"/>
        <v>872510</v>
      </c>
      <c r="N222" s="19">
        <f t="shared" si="65"/>
        <v>849796</v>
      </c>
      <c r="O222" s="19">
        <f t="shared" si="65"/>
        <v>0</v>
      </c>
      <c r="P222" s="19">
        <f t="shared" si="65"/>
        <v>2500</v>
      </c>
      <c r="Q222" s="19">
        <f t="shared" si="65"/>
        <v>1989</v>
      </c>
    </row>
    <row r="223" spans="1:18" ht="26.25" x14ac:dyDescent="0.25">
      <c r="A223" s="45">
        <v>5176</v>
      </c>
      <c r="B223" s="23">
        <v>411100</v>
      </c>
      <c r="C223" s="9" t="s">
        <v>206</v>
      </c>
      <c r="D223" s="9"/>
      <c r="E223" s="36">
        <f>851823-26-11-1</f>
        <v>851785</v>
      </c>
      <c r="F223" s="36">
        <f>H223+K223+M223+P223</f>
        <v>875010</v>
      </c>
      <c r="G223" s="37">
        <f>SUM(I223:Q223)-K223-M223-P223</f>
        <v>851785</v>
      </c>
      <c r="H223" s="37"/>
      <c r="I223" s="36"/>
      <c r="J223" s="36"/>
      <c r="K223" s="36"/>
      <c r="L223" s="36"/>
      <c r="M223" s="36">
        <v>872510</v>
      </c>
      <c r="N223" s="36">
        <f>851785-1989</f>
        <v>849796</v>
      </c>
      <c r="O223" s="36"/>
      <c r="P223" s="36">
        <v>2500</v>
      </c>
      <c r="Q223" s="36">
        <v>1989</v>
      </c>
      <c r="R223" s="44">
        <f>M223+P223</f>
        <v>875010</v>
      </c>
    </row>
    <row r="224" spans="1:18" ht="39" x14ac:dyDescent="0.25">
      <c r="A224" s="480">
        <v>5177</v>
      </c>
      <c r="B224" s="476">
        <v>412000</v>
      </c>
      <c r="C224" s="18" t="s">
        <v>207</v>
      </c>
      <c r="D224" s="18"/>
      <c r="E224" s="19">
        <f>SUM(E225:E227)</f>
        <v>141866</v>
      </c>
      <c r="F224" s="19">
        <f t="shared" ref="F224:Q224" si="66">SUM(F225:F227)</f>
        <v>141315</v>
      </c>
      <c r="G224" s="19">
        <f t="shared" si="66"/>
        <v>141866</v>
      </c>
      <c r="H224" s="19">
        <f t="shared" si="66"/>
        <v>0</v>
      </c>
      <c r="I224" s="19">
        <f t="shared" si="66"/>
        <v>0</v>
      </c>
      <c r="J224" s="19">
        <f t="shared" si="66"/>
        <v>0</v>
      </c>
      <c r="K224" s="19">
        <f t="shared" si="66"/>
        <v>0</v>
      </c>
      <c r="L224" s="19">
        <f t="shared" si="66"/>
        <v>0</v>
      </c>
      <c r="M224" s="19">
        <f t="shared" si="66"/>
        <v>140910</v>
      </c>
      <c r="N224" s="19">
        <f t="shared" si="66"/>
        <v>141535</v>
      </c>
      <c r="O224" s="19">
        <f t="shared" si="66"/>
        <v>0</v>
      </c>
      <c r="P224" s="19">
        <f t="shared" si="66"/>
        <v>405</v>
      </c>
      <c r="Q224" s="19">
        <f t="shared" si="66"/>
        <v>331</v>
      </c>
    </row>
    <row r="225" spans="1:22" ht="26.25" x14ac:dyDescent="0.25">
      <c r="A225" s="45">
        <v>5178</v>
      </c>
      <c r="B225" s="23">
        <v>412100</v>
      </c>
      <c r="C225" s="9" t="s">
        <v>208</v>
      </c>
      <c r="D225" s="9"/>
      <c r="E225" s="36">
        <f>97960+26</f>
        <v>97986</v>
      </c>
      <c r="F225" s="36">
        <f>H225+K225+M225+P225</f>
        <v>96251</v>
      </c>
      <c r="G225" s="37">
        <f>SUM(I225:Q225)-K225-M225-P225</f>
        <v>97986</v>
      </c>
      <c r="H225" s="37"/>
      <c r="I225" s="36"/>
      <c r="J225" s="36"/>
      <c r="K225" s="36"/>
      <c r="L225" s="36"/>
      <c r="M225" s="36">
        <v>95976</v>
      </c>
      <c r="N225" s="36">
        <f>97986-229</f>
        <v>97757</v>
      </c>
      <c r="O225" s="36"/>
      <c r="P225" s="36">
        <v>275</v>
      </c>
      <c r="Q225" s="36">
        <v>229</v>
      </c>
    </row>
    <row r="226" spans="1:22" ht="26.25" x14ac:dyDescent="0.25">
      <c r="A226" s="45">
        <v>5179</v>
      </c>
      <c r="B226" s="23">
        <v>412200</v>
      </c>
      <c r="C226" s="9" t="s">
        <v>209</v>
      </c>
      <c r="D226" s="9"/>
      <c r="E226" s="36">
        <f>43869+11</f>
        <v>43880</v>
      </c>
      <c r="F226" s="36">
        <f>H226+K226+M226+P226</f>
        <v>45064</v>
      </c>
      <c r="G226" s="37">
        <f>SUM(I226:Q226)-K226-M226-P226</f>
        <v>43880</v>
      </c>
      <c r="H226" s="37"/>
      <c r="I226" s="36"/>
      <c r="J226" s="36"/>
      <c r="K226" s="36"/>
      <c r="L226" s="36"/>
      <c r="M226" s="36">
        <v>44934</v>
      </c>
      <c r="N226" s="36">
        <f>43880-102</f>
        <v>43778</v>
      </c>
      <c r="O226" s="36"/>
      <c r="P226" s="36">
        <v>130</v>
      </c>
      <c r="Q226" s="36">
        <v>102</v>
      </c>
    </row>
    <row r="227" spans="1:22" hidden="1" x14ac:dyDescent="0.25">
      <c r="A227" s="45">
        <v>5180</v>
      </c>
      <c r="B227" s="23">
        <v>412300</v>
      </c>
      <c r="C227" s="9" t="s">
        <v>210</v>
      </c>
      <c r="D227" s="9"/>
      <c r="E227" s="36"/>
      <c r="F227" s="36"/>
      <c r="G227" s="37">
        <f t="shared" ref="G227:G288" si="67">SUM(I227:Q227)</f>
        <v>0</v>
      </c>
      <c r="H227" s="37"/>
      <c r="I227" s="36"/>
      <c r="J227" s="36"/>
      <c r="K227" s="36"/>
      <c r="L227" s="36"/>
      <c r="M227" s="36"/>
      <c r="N227" s="36"/>
      <c r="O227" s="36"/>
      <c r="P227" s="36"/>
      <c r="Q227" s="36"/>
    </row>
    <row r="228" spans="1:22" hidden="1" x14ac:dyDescent="0.25">
      <c r="A228" s="480">
        <v>5181</v>
      </c>
      <c r="B228" s="476">
        <v>413000</v>
      </c>
      <c r="C228" s="18" t="s">
        <v>211</v>
      </c>
      <c r="D228" s="18"/>
      <c r="E228" s="19">
        <f>E229</f>
        <v>0</v>
      </c>
      <c r="F228" s="19"/>
      <c r="G228" s="19">
        <f t="shared" si="67"/>
        <v>0</v>
      </c>
      <c r="H228" s="19"/>
      <c r="I228" s="19">
        <f t="shared" ref="I228:Q228" si="68">I229</f>
        <v>0</v>
      </c>
      <c r="J228" s="19">
        <f t="shared" si="68"/>
        <v>0</v>
      </c>
      <c r="K228" s="19"/>
      <c r="L228" s="19">
        <f t="shared" si="68"/>
        <v>0</v>
      </c>
      <c r="M228" s="19"/>
      <c r="N228" s="19">
        <f t="shared" si="68"/>
        <v>0</v>
      </c>
      <c r="O228" s="19">
        <f t="shared" si="68"/>
        <v>0</v>
      </c>
      <c r="P228" s="19"/>
      <c r="Q228" s="19">
        <f t="shared" si="68"/>
        <v>0</v>
      </c>
    </row>
    <row r="229" spans="1:22" hidden="1" x14ac:dyDescent="0.25">
      <c r="A229" s="45">
        <v>5182</v>
      </c>
      <c r="B229" s="23">
        <v>413100</v>
      </c>
      <c r="C229" s="9" t="s">
        <v>212</v>
      </c>
      <c r="D229" s="9"/>
      <c r="E229" s="36"/>
      <c r="F229" s="36"/>
      <c r="G229" s="37">
        <f t="shared" si="67"/>
        <v>0</v>
      </c>
      <c r="H229" s="37"/>
      <c r="I229" s="36"/>
      <c r="J229" s="36"/>
      <c r="K229" s="36"/>
      <c r="L229" s="36"/>
      <c r="M229" s="36"/>
      <c r="N229" s="36"/>
      <c r="O229" s="36"/>
      <c r="P229" s="36"/>
      <c r="Q229" s="36"/>
    </row>
    <row r="230" spans="1:22" ht="39" x14ac:dyDescent="0.25">
      <c r="A230" s="480">
        <v>5183</v>
      </c>
      <c r="B230" s="476">
        <v>414000</v>
      </c>
      <c r="C230" s="18" t="s">
        <v>213</v>
      </c>
      <c r="D230" s="18"/>
      <c r="E230" s="19">
        <f>SUM(E231:E238)</f>
        <v>6722</v>
      </c>
      <c r="F230" s="19">
        <f t="shared" ref="F230:Q230" si="69">SUM(F231:F238)</f>
        <v>13972</v>
      </c>
      <c r="G230" s="19">
        <f t="shared" si="69"/>
        <v>5239</v>
      </c>
      <c r="H230" s="19">
        <f t="shared" si="69"/>
        <v>0</v>
      </c>
      <c r="I230" s="19">
        <f t="shared" si="69"/>
        <v>0</v>
      </c>
      <c r="J230" s="19">
        <f t="shared" si="69"/>
        <v>0</v>
      </c>
      <c r="K230" s="19">
        <f t="shared" si="69"/>
        <v>0</v>
      </c>
      <c r="L230" s="19">
        <f t="shared" si="69"/>
        <v>0</v>
      </c>
      <c r="M230" s="19">
        <f t="shared" si="69"/>
        <v>13672</v>
      </c>
      <c r="N230" s="19">
        <f t="shared" si="69"/>
        <v>4959</v>
      </c>
      <c r="O230" s="19">
        <f t="shared" si="69"/>
        <v>0</v>
      </c>
      <c r="P230" s="19">
        <f t="shared" si="69"/>
        <v>300</v>
      </c>
      <c r="Q230" s="19">
        <f t="shared" si="69"/>
        <v>280</v>
      </c>
    </row>
    <row r="231" spans="1:22" ht="39" hidden="1" x14ac:dyDescent="0.25">
      <c r="A231" s="45">
        <v>5184</v>
      </c>
      <c r="B231" s="23">
        <v>414100</v>
      </c>
      <c r="C231" s="9" t="s">
        <v>214</v>
      </c>
      <c r="D231" s="9"/>
      <c r="E231" s="36"/>
      <c r="F231" s="36"/>
      <c r="G231" s="37">
        <f t="shared" si="67"/>
        <v>0</v>
      </c>
      <c r="H231" s="37"/>
      <c r="I231" s="36"/>
      <c r="J231" s="36"/>
      <c r="K231" s="36"/>
      <c r="L231" s="36"/>
      <c r="M231" s="36"/>
      <c r="N231" s="36"/>
      <c r="O231" s="36"/>
      <c r="P231" s="36"/>
      <c r="Q231" s="36"/>
    </row>
    <row r="232" spans="1:22" ht="26.25" hidden="1" x14ac:dyDescent="0.25">
      <c r="A232" s="45">
        <v>5185</v>
      </c>
      <c r="B232" s="23">
        <v>414200</v>
      </c>
      <c r="C232" s="9" t="s">
        <v>215</v>
      </c>
      <c r="D232" s="9"/>
      <c r="E232" s="36"/>
      <c r="F232" s="36"/>
      <c r="G232" s="37">
        <f t="shared" si="67"/>
        <v>0</v>
      </c>
      <c r="H232" s="37"/>
      <c r="I232" s="36"/>
      <c r="J232" s="36"/>
      <c r="K232" s="36"/>
      <c r="L232" s="36"/>
      <c r="M232" s="36"/>
      <c r="N232" s="36"/>
      <c r="O232" s="36"/>
      <c r="P232" s="36"/>
      <c r="Q232" s="36"/>
    </row>
    <row r="233" spans="1:22" x14ac:dyDescent="0.25">
      <c r="A233" s="45">
        <v>5186</v>
      </c>
      <c r="B233" s="23">
        <v>414300</v>
      </c>
      <c r="C233" s="9" t="s">
        <v>216</v>
      </c>
      <c r="D233" s="9"/>
      <c r="E233" s="36">
        <v>5351</v>
      </c>
      <c r="F233" s="36">
        <f>H233+K233+M233+P233</f>
        <v>5300</v>
      </c>
      <c r="G233" s="37">
        <f>SUM(I233:Q233)-K233-M233-P233</f>
        <v>3934</v>
      </c>
      <c r="H233" s="37"/>
      <c r="I233" s="36"/>
      <c r="J233" s="36"/>
      <c r="K233" s="36"/>
      <c r="L233" s="36"/>
      <c r="M233" s="36">
        <f>4800+200</f>
        <v>5000</v>
      </c>
      <c r="N233" s="36">
        <v>3654</v>
      </c>
      <c r="O233" s="36"/>
      <c r="P233" s="36">
        <v>300</v>
      </c>
      <c r="Q233" s="36">
        <v>280</v>
      </c>
    </row>
    <row r="234" spans="1:22" ht="15" hidden="1" customHeight="1" x14ac:dyDescent="0.25">
      <c r="A234" s="542" t="s">
        <v>0</v>
      </c>
      <c r="B234" s="543" t="s">
        <v>1</v>
      </c>
      <c r="C234" s="542" t="s">
        <v>2</v>
      </c>
      <c r="D234" s="474"/>
      <c r="E234" s="542" t="s">
        <v>217</v>
      </c>
      <c r="F234" s="474"/>
      <c r="G234" s="544" t="s">
        <v>198</v>
      </c>
      <c r="H234" s="544"/>
      <c r="I234" s="545"/>
      <c r="J234" s="545"/>
      <c r="K234" s="545"/>
      <c r="L234" s="545"/>
      <c r="M234" s="545"/>
      <c r="N234" s="545"/>
      <c r="O234" s="545"/>
      <c r="P234" s="545"/>
      <c r="Q234" s="545"/>
    </row>
    <row r="235" spans="1:22" ht="15" hidden="1" customHeight="1" x14ac:dyDescent="0.25">
      <c r="A235" s="542"/>
      <c r="B235" s="543"/>
      <c r="C235" s="542"/>
      <c r="D235" s="474"/>
      <c r="E235" s="542"/>
      <c r="F235" s="474"/>
      <c r="G235" s="544" t="s">
        <v>199</v>
      </c>
      <c r="H235" s="476"/>
      <c r="I235" s="544" t="s">
        <v>200</v>
      </c>
      <c r="J235" s="545"/>
      <c r="K235" s="545"/>
      <c r="L235" s="545"/>
      <c r="M235" s="545"/>
      <c r="N235" s="545"/>
      <c r="O235" s="544" t="s">
        <v>7</v>
      </c>
      <c r="P235" s="476"/>
      <c r="Q235" s="544" t="s">
        <v>8</v>
      </c>
    </row>
    <row r="236" spans="1:22" ht="39" hidden="1" customHeight="1" x14ac:dyDescent="0.25">
      <c r="A236" s="542"/>
      <c r="B236" s="543"/>
      <c r="C236" s="542"/>
      <c r="D236" s="474"/>
      <c r="E236" s="542"/>
      <c r="F236" s="474"/>
      <c r="G236" s="545"/>
      <c r="H236" s="477"/>
      <c r="I236" s="476" t="s">
        <v>201</v>
      </c>
      <c r="J236" s="476" t="s">
        <v>10</v>
      </c>
      <c r="K236" s="476"/>
      <c r="L236" s="476" t="s">
        <v>11</v>
      </c>
      <c r="M236" s="476"/>
      <c r="N236" s="476" t="s">
        <v>12</v>
      </c>
      <c r="O236" s="545"/>
      <c r="P236" s="477"/>
      <c r="Q236" s="545"/>
    </row>
    <row r="237" spans="1:22" ht="15" hidden="1" customHeight="1" x14ac:dyDescent="0.25">
      <c r="A237" s="475" t="s">
        <v>18</v>
      </c>
      <c r="B237" s="475" t="s">
        <v>19</v>
      </c>
      <c r="C237" s="475" t="s">
        <v>20</v>
      </c>
      <c r="D237" s="475"/>
      <c r="E237" s="475" t="s">
        <v>21</v>
      </c>
      <c r="F237" s="475"/>
      <c r="G237" s="475" t="s">
        <v>22</v>
      </c>
      <c r="H237" s="475"/>
      <c r="I237" s="475" t="s">
        <v>23</v>
      </c>
      <c r="J237" s="475" t="s">
        <v>24</v>
      </c>
      <c r="K237" s="475"/>
      <c r="L237" s="475" t="s">
        <v>25</v>
      </c>
      <c r="M237" s="475"/>
      <c r="N237" s="475" t="s">
        <v>26</v>
      </c>
      <c r="O237" s="475" t="s">
        <v>27</v>
      </c>
      <c r="P237" s="475"/>
      <c r="Q237" s="475" t="s">
        <v>28</v>
      </c>
    </row>
    <row r="238" spans="1:22" ht="54" x14ac:dyDescent="0.4">
      <c r="A238" s="45">
        <v>5187</v>
      </c>
      <c r="B238" s="23">
        <v>414400</v>
      </c>
      <c r="C238" s="9" t="s">
        <v>218</v>
      </c>
      <c r="D238" s="9"/>
      <c r="E238" s="36">
        <v>1371</v>
      </c>
      <c r="F238" s="36">
        <f>H238+K238+M238+P238</f>
        <v>8672</v>
      </c>
      <c r="G238" s="37">
        <f>SUM(I238:Q238)-K238-M238-P238</f>
        <v>1305</v>
      </c>
      <c r="H238" s="37"/>
      <c r="I238" s="36"/>
      <c r="J238" s="36"/>
      <c r="K238" s="36"/>
      <c r="L238" s="36"/>
      <c r="M238" s="36">
        <f>600+8072</f>
        <v>8672</v>
      </c>
      <c r="N238" s="36">
        <v>1305</v>
      </c>
      <c r="O238" s="36"/>
      <c r="P238" s="36"/>
      <c r="Q238" s="36"/>
      <c r="V238" s="388" t="s">
        <v>538</v>
      </c>
    </row>
    <row r="239" spans="1:22" ht="26.25" x14ac:dyDescent="0.25">
      <c r="A239" s="480">
        <v>5188</v>
      </c>
      <c r="B239" s="476">
        <v>415000</v>
      </c>
      <c r="C239" s="18" t="s">
        <v>219</v>
      </c>
      <c r="D239" s="18"/>
      <c r="E239" s="19">
        <f>E240</f>
        <v>19840</v>
      </c>
      <c r="F239" s="19">
        <f t="shared" ref="F239:Q239" si="70">F240</f>
        <v>20976</v>
      </c>
      <c r="G239" s="19">
        <f t="shared" si="70"/>
        <v>19632</v>
      </c>
      <c r="H239" s="19">
        <f t="shared" si="70"/>
        <v>0</v>
      </c>
      <c r="I239" s="19">
        <f t="shared" si="70"/>
        <v>0</v>
      </c>
      <c r="J239" s="19">
        <f t="shared" si="70"/>
        <v>0</v>
      </c>
      <c r="K239" s="19">
        <f t="shared" si="70"/>
        <v>0</v>
      </c>
      <c r="L239" s="19">
        <f t="shared" si="70"/>
        <v>0</v>
      </c>
      <c r="M239" s="19">
        <f t="shared" si="70"/>
        <v>20976</v>
      </c>
      <c r="N239" s="19">
        <f t="shared" si="70"/>
        <v>19632</v>
      </c>
      <c r="O239" s="19">
        <f t="shared" si="70"/>
        <v>0</v>
      </c>
      <c r="P239" s="19">
        <f t="shared" si="70"/>
        <v>0</v>
      </c>
      <c r="Q239" s="19">
        <f t="shared" si="70"/>
        <v>0</v>
      </c>
    </row>
    <row r="240" spans="1:22" x14ac:dyDescent="0.25">
      <c r="A240" s="45">
        <v>5189</v>
      </c>
      <c r="B240" s="23">
        <v>415100</v>
      </c>
      <c r="C240" s="9" t="s">
        <v>220</v>
      </c>
      <c r="D240" s="9"/>
      <c r="E240" s="36">
        <v>19840</v>
      </c>
      <c r="F240" s="36">
        <f>H240+K240+M240+P240</f>
        <v>20976</v>
      </c>
      <c r="G240" s="37">
        <f>SUM(I240:Q240)-K240-M240-P240</f>
        <v>19632</v>
      </c>
      <c r="H240" s="37"/>
      <c r="I240" s="36"/>
      <c r="J240" s="36"/>
      <c r="K240" s="36"/>
      <c r="L240" s="36"/>
      <c r="M240" s="36">
        <v>20976</v>
      </c>
      <c r="N240" s="36">
        <v>19632</v>
      </c>
      <c r="O240" s="36"/>
      <c r="P240" s="36"/>
      <c r="Q240" s="36"/>
    </row>
    <row r="241" spans="1:18" ht="39" x14ac:dyDescent="0.25">
      <c r="A241" s="480">
        <v>5190</v>
      </c>
      <c r="B241" s="476">
        <v>416000</v>
      </c>
      <c r="C241" s="18" t="s">
        <v>221</v>
      </c>
      <c r="D241" s="18"/>
      <c r="E241" s="19">
        <f>E242</f>
        <v>9442</v>
      </c>
      <c r="F241" s="19">
        <f t="shared" ref="F241:Q241" si="71">F242</f>
        <v>12500</v>
      </c>
      <c r="G241" s="19">
        <f t="shared" si="71"/>
        <v>9143</v>
      </c>
      <c r="H241" s="19">
        <f t="shared" si="71"/>
        <v>0</v>
      </c>
      <c r="I241" s="19">
        <f t="shared" si="71"/>
        <v>0</v>
      </c>
      <c r="J241" s="19">
        <f t="shared" si="71"/>
        <v>0</v>
      </c>
      <c r="K241" s="19">
        <f t="shared" si="71"/>
        <v>0</v>
      </c>
      <c r="L241" s="19">
        <f t="shared" si="71"/>
        <v>0</v>
      </c>
      <c r="M241" s="19">
        <f t="shared" si="71"/>
        <v>12500</v>
      </c>
      <c r="N241" s="19">
        <f t="shared" si="71"/>
        <v>9143</v>
      </c>
      <c r="O241" s="19">
        <f t="shared" si="71"/>
        <v>0</v>
      </c>
      <c r="P241" s="19">
        <f t="shared" si="71"/>
        <v>0</v>
      </c>
      <c r="Q241" s="19">
        <f t="shared" si="71"/>
        <v>0</v>
      </c>
    </row>
    <row r="242" spans="1:18" ht="26.25" x14ac:dyDescent="0.25">
      <c r="A242" s="45">
        <v>5191</v>
      </c>
      <c r="B242" s="23">
        <v>416100</v>
      </c>
      <c r="C242" s="9" t="s">
        <v>222</v>
      </c>
      <c r="D242" s="9"/>
      <c r="E242" s="36">
        <v>9442</v>
      </c>
      <c r="F242" s="36">
        <f>H242+K242+M242+P242</f>
        <v>12500</v>
      </c>
      <c r="G242" s="37">
        <f>SUM(I242:Q242)-K242-M242-P242</f>
        <v>9143</v>
      </c>
      <c r="H242" s="37"/>
      <c r="I242" s="36"/>
      <c r="J242" s="36"/>
      <c r="K242" s="36"/>
      <c r="L242" s="36"/>
      <c r="M242" s="36">
        <v>12500</v>
      </c>
      <c r="N242" s="36">
        <v>9143</v>
      </c>
      <c r="O242" s="36"/>
      <c r="P242" s="36"/>
      <c r="Q242" s="36"/>
    </row>
    <row r="243" spans="1:18" ht="26.25" hidden="1" x14ac:dyDescent="0.25">
      <c r="A243" s="480">
        <v>5192</v>
      </c>
      <c r="B243" s="476">
        <v>417000</v>
      </c>
      <c r="C243" s="18" t="s">
        <v>223</v>
      </c>
      <c r="D243" s="18"/>
      <c r="E243" s="19">
        <f>E244</f>
        <v>0</v>
      </c>
      <c r="F243" s="19"/>
      <c r="G243" s="19">
        <f t="shared" si="67"/>
        <v>0</v>
      </c>
      <c r="H243" s="19"/>
      <c r="I243" s="19">
        <f t="shared" ref="I243:Q243" si="72">I244</f>
        <v>0</v>
      </c>
      <c r="J243" s="19">
        <f t="shared" si="72"/>
        <v>0</v>
      </c>
      <c r="K243" s="19"/>
      <c r="L243" s="19">
        <f t="shared" si="72"/>
        <v>0</v>
      </c>
      <c r="M243" s="19"/>
      <c r="N243" s="19">
        <f t="shared" si="72"/>
        <v>0</v>
      </c>
      <c r="O243" s="19">
        <f t="shared" si="72"/>
        <v>0</v>
      </c>
      <c r="P243" s="19"/>
      <c r="Q243" s="19">
        <f t="shared" si="72"/>
        <v>0</v>
      </c>
    </row>
    <row r="244" spans="1:18" hidden="1" x14ac:dyDescent="0.25">
      <c r="A244" s="45">
        <v>5193</v>
      </c>
      <c r="B244" s="23">
        <v>417100</v>
      </c>
      <c r="C244" s="9" t="s">
        <v>224</v>
      </c>
      <c r="D244" s="9"/>
      <c r="E244" s="36"/>
      <c r="F244" s="36"/>
      <c r="G244" s="37">
        <f t="shared" si="67"/>
        <v>0</v>
      </c>
      <c r="H244" s="37"/>
      <c r="I244" s="36"/>
      <c r="J244" s="36"/>
      <c r="K244" s="36"/>
      <c r="L244" s="36"/>
      <c r="M244" s="36"/>
      <c r="N244" s="36"/>
      <c r="O244" s="36"/>
      <c r="P244" s="36"/>
      <c r="Q244" s="36"/>
    </row>
    <row r="245" spans="1:18" hidden="1" x14ac:dyDescent="0.25">
      <c r="A245" s="480">
        <v>5194</v>
      </c>
      <c r="B245" s="476">
        <v>418000</v>
      </c>
      <c r="C245" s="18" t="s">
        <v>225</v>
      </c>
      <c r="D245" s="18"/>
      <c r="E245" s="19">
        <f>E246</f>
        <v>0</v>
      </c>
      <c r="F245" s="19"/>
      <c r="G245" s="19">
        <f t="shared" si="67"/>
        <v>0</v>
      </c>
      <c r="H245" s="19"/>
      <c r="I245" s="19">
        <f t="shared" ref="I245:Q245" si="73">I246</f>
        <v>0</v>
      </c>
      <c r="J245" s="19">
        <f t="shared" si="73"/>
        <v>0</v>
      </c>
      <c r="K245" s="19"/>
      <c r="L245" s="19">
        <f t="shared" si="73"/>
        <v>0</v>
      </c>
      <c r="M245" s="19"/>
      <c r="N245" s="19">
        <f t="shared" si="73"/>
        <v>0</v>
      </c>
      <c r="O245" s="19">
        <f t="shared" si="73"/>
        <v>0</v>
      </c>
      <c r="P245" s="19"/>
      <c r="Q245" s="19">
        <f t="shared" si="73"/>
        <v>0</v>
      </c>
    </row>
    <row r="246" spans="1:18" hidden="1" x14ac:dyDescent="0.25">
      <c r="A246" s="45">
        <v>5195</v>
      </c>
      <c r="B246" s="23">
        <v>418100</v>
      </c>
      <c r="C246" s="9" t="s">
        <v>226</v>
      </c>
      <c r="D246" s="9"/>
      <c r="E246" s="36"/>
      <c r="F246" s="36"/>
      <c r="G246" s="37">
        <f t="shared" si="67"/>
        <v>0</v>
      </c>
      <c r="H246" s="37"/>
      <c r="I246" s="36"/>
      <c r="J246" s="36"/>
      <c r="K246" s="36"/>
      <c r="L246" s="36"/>
      <c r="M246" s="36"/>
      <c r="N246" s="36"/>
      <c r="O246" s="36"/>
      <c r="P246" s="36"/>
      <c r="Q246" s="36"/>
    </row>
    <row r="247" spans="1:18" ht="39" x14ac:dyDescent="0.25">
      <c r="A247" s="480">
        <v>5196</v>
      </c>
      <c r="B247" s="476">
        <v>420000</v>
      </c>
      <c r="C247" s="18" t="s">
        <v>227</v>
      </c>
      <c r="D247" s="18"/>
      <c r="E247" s="19">
        <f t="shared" ref="E247:Q247" si="74">E248+E256+E262+E275+E283+E286</f>
        <v>427521</v>
      </c>
      <c r="F247" s="19">
        <f t="shared" si="74"/>
        <v>427914</v>
      </c>
      <c r="G247" s="19">
        <f t="shared" si="74"/>
        <v>375619</v>
      </c>
      <c r="H247" s="19">
        <f t="shared" si="74"/>
        <v>5518</v>
      </c>
      <c r="I247" s="19">
        <f t="shared" si="74"/>
        <v>2407</v>
      </c>
      <c r="J247" s="19">
        <f t="shared" si="74"/>
        <v>0</v>
      </c>
      <c r="K247" s="19">
        <f t="shared" si="74"/>
        <v>6429</v>
      </c>
      <c r="L247" s="19">
        <f t="shared" si="74"/>
        <v>1273</v>
      </c>
      <c r="M247" s="19">
        <f t="shared" si="74"/>
        <v>408497</v>
      </c>
      <c r="N247" s="19">
        <f t="shared" si="74"/>
        <v>365541</v>
      </c>
      <c r="O247" s="19">
        <f t="shared" si="74"/>
        <v>0</v>
      </c>
      <c r="P247" s="19">
        <f t="shared" si="74"/>
        <v>7470</v>
      </c>
      <c r="Q247" s="19">
        <f t="shared" si="74"/>
        <v>6398</v>
      </c>
    </row>
    <row r="248" spans="1:18" ht="26.25" x14ac:dyDescent="0.25">
      <c r="A248" s="480">
        <v>5197</v>
      </c>
      <c r="B248" s="476">
        <v>421000</v>
      </c>
      <c r="C248" s="18" t="s">
        <v>228</v>
      </c>
      <c r="D248" s="18"/>
      <c r="E248" s="19">
        <f>SUM(E249:E255)</f>
        <v>100067</v>
      </c>
      <c r="F248" s="19">
        <f t="shared" ref="F248:Q248" si="75">SUM(F249:F255)</f>
        <v>108949</v>
      </c>
      <c r="G248" s="19">
        <f t="shared" si="75"/>
        <v>80998</v>
      </c>
      <c r="H248" s="19">
        <f t="shared" si="75"/>
        <v>0</v>
      </c>
      <c r="I248" s="19">
        <f t="shared" si="75"/>
        <v>0</v>
      </c>
      <c r="J248" s="19">
        <f t="shared" si="75"/>
        <v>0</v>
      </c>
      <c r="K248" s="19">
        <f t="shared" si="75"/>
        <v>0</v>
      </c>
      <c r="L248" s="19">
        <f t="shared" si="75"/>
        <v>0</v>
      </c>
      <c r="M248" s="19">
        <f t="shared" si="75"/>
        <v>108144</v>
      </c>
      <c r="N248" s="19">
        <f t="shared" si="75"/>
        <v>80545</v>
      </c>
      <c r="O248" s="19">
        <f t="shared" si="75"/>
        <v>0</v>
      </c>
      <c r="P248" s="19">
        <f t="shared" si="75"/>
        <v>805</v>
      </c>
      <c r="Q248" s="19">
        <f t="shared" si="75"/>
        <v>453</v>
      </c>
    </row>
    <row r="249" spans="1:18" ht="26.25" x14ac:dyDescent="0.25">
      <c r="A249" s="45">
        <v>5198</v>
      </c>
      <c r="B249" s="23">
        <v>421100</v>
      </c>
      <c r="C249" s="9" t="s">
        <v>229</v>
      </c>
      <c r="D249" s="9" t="s">
        <v>463</v>
      </c>
      <c r="E249" s="36">
        <v>1359</v>
      </c>
      <c r="F249" s="36">
        <f>H249+K249+M249+P249</f>
        <v>1513</v>
      </c>
      <c r="G249" s="37">
        <f>SUM(I249:Q249)-K249-M249-P249</f>
        <v>1300</v>
      </c>
      <c r="H249" s="37"/>
      <c r="I249" s="36"/>
      <c r="J249" s="36"/>
      <c r="K249" s="36"/>
      <c r="L249" s="36"/>
      <c r="M249" s="36">
        <v>1433</v>
      </c>
      <c r="N249" s="36">
        <v>1243</v>
      </c>
      <c r="O249" s="36"/>
      <c r="P249" s="36">
        <v>80</v>
      </c>
      <c r="Q249" s="36">
        <v>57</v>
      </c>
    </row>
    <row r="250" spans="1:18" x14ac:dyDescent="0.25">
      <c r="A250" s="45">
        <v>5199</v>
      </c>
      <c r="B250" s="23">
        <v>421200</v>
      </c>
      <c r="C250" s="9" t="s">
        <v>230</v>
      </c>
      <c r="D250" s="9" t="s">
        <v>468</v>
      </c>
      <c r="E250" s="36">
        <v>83306</v>
      </c>
      <c r="F250" s="36">
        <f>H250+K250+M250+P250</f>
        <v>91889</v>
      </c>
      <c r="G250" s="37">
        <f t="shared" ref="G250:G253" si="76">SUM(I250:Q250)-K250-M250-P250</f>
        <v>65508</v>
      </c>
      <c r="H250" s="37"/>
      <c r="I250" s="36"/>
      <c r="J250" s="36"/>
      <c r="K250" s="36"/>
      <c r="L250" s="36"/>
      <c r="M250" s="36">
        <f>73200+50+18289</f>
        <v>91539</v>
      </c>
      <c r="N250" s="36">
        <v>65188</v>
      </c>
      <c r="O250" s="36"/>
      <c r="P250" s="36">
        <v>350</v>
      </c>
      <c r="Q250" s="36">
        <v>320</v>
      </c>
    </row>
    <row r="251" spans="1:18" x14ac:dyDescent="0.25">
      <c r="A251" s="45">
        <v>5200</v>
      </c>
      <c r="B251" s="23">
        <v>421300</v>
      </c>
      <c r="C251" s="9" t="s">
        <v>231</v>
      </c>
      <c r="D251" s="9" t="s">
        <v>463</v>
      </c>
      <c r="E251" s="36">
        <v>10436</v>
      </c>
      <c r="F251" s="36">
        <f>H251+K251+M251+P251</f>
        <v>10447</v>
      </c>
      <c r="G251" s="37">
        <f t="shared" si="76"/>
        <v>9465</v>
      </c>
      <c r="H251" s="37"/>
      <c r="I251" s="36"/>
      <c r="J251" s="36"/>
      <c r="K251" s="36"/>
      <c r="L251" s="36"/>
      <c r="M251" s="36">
        <f>11064-400-300-180</f>
        <v>10184</v>
      </c>
      <c r="N251" s="36">
        <v>9410</v>
      </c>
      <c r="O251" s="36"/>
      <c r="P251" s="36">
        <f>85+178</f>
        <v>263</v>
      </c>
      <c r="Q251" s="36">
        <v>55</v>
      </c>
    </row>
    <row r="252" spans="1:18" x14ac:dyDescent="0.25">
      <c r="A252" s="45">
        <v>5201</v>
      </c>
      <c r="B252" s="23">
        <v>421400</v>
      </c>
      <c r="C252" s="9" t="s">
        <v>232</v>
      </c>
      <c r="D252" s="9" t="s">
        <v>463</v>
      </c>
      <c r="E252" s="36">
        <v>2250</v>
      </c>
      <c r="F252" s="36">
        <f>H252+K252+M252+P252</f>
        <v>2208</v>
      </c>
      <c r="G252" s="37">
        <f t="shared" si="76"/>
        <v>2113</v>
      </c>
      <c r="H252" s="37"/>
      <c r="I252" s="36"/>
      <c r="J252" s="36"/>
      <c r="K252" s="36"/>
      <c r="L252" s="36"/>
      <c r="M252" s="36">
        <f>3000-1092+300</f>
        <v>2208</v>
      </c>
      <c r="N252" s="36">
        <v>2113</v>
      </c>
      <c r="O252" s="36"/>
      <c r="P252" s="36"/>
      <c r="Q252" s="36"/>
      <c r="R252" s="12">
        <v>1092</v>
      </c>
    </row>
    <row r="253" spans="1:18" x14ac:dyDescent="0.25">
      <c r="A253" s="45">
        <v>5202</v>
      </c>
      <c r="B253" s="23">
        <v>421500</v>
      </c>
      <c r="C253" s="9" t="s">
        <v>233</v>
      </c>
      <c r="D253" s="9" t="s">
        <v>463</v>
      </c>
      <c r="E253" s="36">
        <v>2716</v>
      </c>
      <c r="F253" s="36">
        <f>H253+K253+M253+P253</f>
        <v>2892</v>
      </c>
      <c r="G253" s="37">
        <f t="shared" si="76"/>
        <v>2612</v>
      </c>
      <c r="H253" s="37"/>
      <c r="I253" s="36"/>
      <c r="J253" s="36"/>
      <c r="K253" s="36"/>
      <c r="L253" s="36"/>
      <c r="M253" s="36">
        <f>1131+2500-851</f>
        <v>2780</v>
      </c>
      <c r="N253" s="36">
        <v>2591</v>
      </c>
      <c r="O253" s="36"/>
      <c r="P253" s="36">
        <v>112</v>
      </c>
      <c r="Q253" s="36">
        <v>21</v>
      </c>
      <c r="R253" s="12">
        <v>851</v>
      </c>
    </row>
    <row r="254" spans="1:18" hidden="1" x14ac:dyDescent="0.25">
      <c r="A254" s="45">
        <v>5203</v>
      </c>
      <c r="B254" s="23">
        <v>421600</v>
      </c>
      <c r="C254" s="9" t="s">
        <v>234</v>
      </c>
      <c r="D254" s="9"/>
      <c r="E254" s="36"/>
      <c r="F254" s="36"/>
      <c r="G254" s="37">
        <f t="shared" si="67"/>
        <v>0</v>
      </c>
      <c r="H254" s="37"/>
      <c r="I254" s="36"/>
      <c r="J254" s="36"/>
      <c r="K254" s="36"/>
      <c r="L254" s="36"/>
      <c r="M254" s="36"/>
      <c r="N254" s="36"/>
      <c r="O254" s="36"/>
      <c r="P254" s="36"/>
      <c r="Q254" s="36"/>
    </row>
    <row r="255" spans="1:18" hidden="1" x14ac:dyDescent="0.25">
      <c r="A255" s="45">
        <v>5204</v>
      </c>
      <c r="B255" s="23">
        <v>421900</v>
      </c>
      <c r="C255" s="9" t="s">
        <v>235</v>
      </c>
      <c r="D255" s="9"/>
      <c r="E255" s="36"/>
      <c r="F255" s="36"/>
      <c r="G255" s="37">
        <f t="shared" si="67"/>
        <v>0</v>
      </c>
      <c r="H255" s="37"/>
      <c r="I255" s="36"/>
      <c r="J255" s="36"/>
      <c r="K255" s="36"/>
      <c r="L255" s="36"/>
      <c r="M255" s="36"/>
      <c r="N255" s="36"/>
      <c r="O255" s="36"/>
      <c r="P255" s="36"/>
      <c r="Q255" s="36"/>
    </row>
    <row r="256" spans="1:18" ht="26.25" x14ac:dyDescent="0.25">
      <c r="A256" s="480">
        <v>5205</v>
      </c>
      <c r="B256" s="476">
        <v>422000</v>
      </c>
      <c r="C256" s="18" t="s">
        <v>236</v>
      </c>
      <c r="D256" s="18"/>
      <c r="E256" s="19">
        <f>SUM(E257:E261)</f>
        <v>634</v>
      </c>
      <c r="F256" s="19">
        <f t="shared" ref="F256:Q256" si="77">SUM(F257:F261)</f>
        <v>650</v>
      </c>
      <c r="G256" s="19">
        <f t="shared" si="77"/>
        <v>571</v>
      </c>
      <c r="H256" s="19">
        <f t="shared" si="77"/>
        <v>0</v>
      </c>
      <c r="I256" s="19">
        <f t="shared" si="77"/>
        <v>0</v>
      </c>
      <c r="J256" s="19">
        <f t="shared" si="77"/>
        <v>0</v>
      </c>
      <c r="K256" s="19">
        <f t="shared" si="77"/>
        <v>0</v>
      </c>
      <c r="L256" s="19">
        <f t="shared" si="77"/>
        <v>0</v>
      </c>
      <c r="M256" s="19">
        <f t="shared" si="77"/>
        <v>150</v>
      </c>
      <c r="N256" s="19">
        <f t="shared" si="77"/>
        <v>120</v>
      </c>
      <c r="O256" s="19">
        <f t="shared" si="77"/>
        <v>0</v>
      </c>
      <c r="P256" s="19">
        <f t="shared" si="77"/>
        <v>500</v>
      </c>
      <c r="Q256" s="19">
        <f t="shared" si="77"/>
        <v>451</v>
      </c>
    </row>
    <row r="257" spans="1:17" ht="26.25" x14ac:dyDescent="0.25">
      <c r="A257" s="45">
        <v>5206</v>
      </c>
      <c r="B257" s="23">
        <v>422100</v>
      </c>
      <c r="C257" s="9" t="s">
        <v>237</v>
      </c>
      <c r="D257" s="9" t="s">
        <v>463</v>
      </c>
      <c r="E257" s="36">
        <v>634</v>
      </c>
      <c r="F257" s="36">
        <f>H257+K257+M257+P257</f>
        <v>650</v>
      </c>
      <c r="G257" s="37">
        <f t="shared" ref="G257" si="78">SUM(I257:Q257)-K257-M257-P257</f>
        <v>571</v>
      </c>
      <c r="H257" s="37"/>
      <c r="I257" s="36"/>
      <c r="J257" s="36"/>
      <c r="K257" s="36"/>
      <c r="L257" s="36"/>
      <c r="M257" s="36">
        <v>150</v>
      </c>
      <c r="N257" s="36">
        <v>120</v>
      </c>
      <c r="O257" s="36"/>
      <c r="P257" s="36">
        <v>500</v>
      </c>
      <c r="Q257" s="36">
        <v>451</v>
      </c>
    </row>
    <row r="258" spans="1:17" ht="26.25" hidden="1" x14ac:dyDescent="0.25">
      <c r="A258" s="45">
        <v>5207</v>
      </c>
      <c r="B258" s="23">
        <v>422200</v>
      </c>
      <c r="C258" s="9" t="s">
        <v>238</v>
      </c>
      <c r="D258" s="9"/>
      <c r="E258" s="36"/>
      <c r="F258" s="36"/>
      <c r="G258" s="37">
        <f t="shared" si="67"/>
        <v>0</v>
      </c>
      <c r="H258" s="37"/>
      <c r="I258" s="36"/>
      <c r="J258" s="36"/>
      <c r="K258" s="36"/>
      <c r="L258" s="36"/>
      <c r="M258" s="36"/>
      <c r="N258" s="36"/>
      <c r="O258" s="36"/>
      <c r="P258" s="36"/>
      <c r="Q258" s="36"/>
    </row>
    <row r="259" spans="1:17" ht="26.25" hidden="1" x14ac:dyDescent="0.25">
      <c r="A259" s="45">
        <v>5208</v>
      </c>
      <c r="B259" s="23">
        <v>422300</v>
      </c>
      <c r="C259" s="9" t="s">
        <v>239</v>
      </c>
      <c r="D259" s="9"/>
      <c r="E259" s="36"/>
      <c r="F259" s="36"/>
      <c r="G259" s="37">
        <f t="shared" si="67"/>
        <v>0</v>
      </c>
      <c r="H259" s="37"/>
      <c r="I259" s="36"/>
      <c r="J259" s="36"/>
      <c r="K259" s="36"/>
      <c r="L259" s="36"/>
      <c r="M259" s="36"/>
      <c r="N259" s="36"/>
      <c r="O259" s="36"/>
      <c r="P259" s="36"/>
      <c r="Q259" s="36"/>
    </row>
    <row r="260" spans="1:17" hidden="1" x14ac:dyDescent="0.25">
      <c r="A260" s="45">
        <v>5209</v>
      </c>
      <c r="B260" s="23">
        <v>422400</v>
      </c>
      <c r="C260" s="9" t="s">
        <v>240</v>
      </c>
      <c r="D260" s="9"/>
      <c r="E260" s="36"/>
      <c r="F260" s="36"/>
      <c r="G260" s="37">
        <f t="shared" si="67"/>
        <v>0</v>
      </c>
      <c r="H260" s="37"/>
      <c r="I260" s="36"/>
      <c r="J260" s="36"/>
      <c r="K260" s="36"/>
      <c r="L260" s="36"/>
      <c r="M260" s="36"/>
      <c r="N260" s="36"/>
      <c r="O260" s="36"/>
      <c r="P260" s="36"/>
      <c r="Q260" s="36"/>
    </row>
    <row r="261" spans="1:17" hidden="1" x14ac:dyDescent="0.25">
      <c r="A261" s="45">
        <v>5210</v>
      </c>
      <c r="B261" s="23">
        <v>422900</v>
      </c>
      <c r="C261" s="9" t="s">
        <v>241</v>
      </c>
      <c r="D261" s="9"/>
      <c r="E261" s="36"/>
      <c r="F261" s="36"/>
      <c r="G261" s="37">
        <f t="shared" si="67"/>
        <v>0</v>
      </c>
      <c r="H261" s="37"/>
      <c r="I261" s="36"/>
      <c r="J261" s="36"/>
      <c r="K261" s="36"/>
      <c r="L261" s="36"/>
      <c r="M261" s="36"/>
      <c r="N261" s="36"/>
      <c r="O261" s="36"/>
      <c r="P261" s="36"/>
      <c r="Q261" s="36"/>
    </row>
    <row r="262" spans="1:17" ht="26.25" x14ac:dyDescent="0.25">
      <c r="A262" s="480">
        <v>5211</v>
      </c>
      <c r="B262" s="476">
        <v>423000</v>
      </c>
      <c r="C262" s="18" t="s">
        <v>242</v>
      </c>
      <c r="D262" s="18"/>
      <c r="E262" s="19">
        <f>SUM(E263:E274)</f>
        <v>8328</v>
      </c>
      <c r="F262" s="19">
        <f t="shared" ref="F262:Q262" si="79">SUM(F263:F274)</f>
        <v>8511</v>
      </c>
      <c r="G262" s="19">
        <f t="shared" si="79"/>
        <v>6375</v>
      </c>
      <c r="H262" s="19">
        <f t="shared" si="79"/>
        <v>0</v>
      </c>
      <c r="I262" s="19">
        <f t="shared" si="79"/>
        <v>0</v>
      </c>
      <c r="J262" s="19">
        <f t="shared" si="79"/>
        <v>0</v>
      </c>
      <c r="K262" s="19">
        <f t="shared" si="79"/>
        <v>0</v>
      </c>
      <c r="L262" s="19">
        <f t="shared" si="79"/>
        <v>0</v>
      </c>
      <c r="M262" s="19">
        <f t="shared" si="79"/>
        <v>6300</v>
      </c>
      <c r="N262" s="19">
        <f t="shared" si="79"/>
        <v>4811</v>
      </c>
      <c r="O262" s="19">
        <f t="shared" si="79"/>
        <v>0</v>
      </c>
      <c r="P262" s="19">
        <f t="shared" si="79"/>
        <v>2211</v>
      </c>
      <c r="Q262" s="19">
        <f t="shared" si="79"/>
        <v>1564</v>
      </c>
    </row>
    <row r="263" spans="1:17" hidden="1" x14ac:dyDescent="0.25">
      <c r="A263" s="45">
        <v>5212</v>
      </c>
      <c r="B263" s="23">
        <v>423100</v>
      </c>
      <c r="C263" s="9" t="s">
        <v>243</v>
      </c>
      <c r="D263" s="9"/>
      <c r="E263" s="36"/>
      <c r="F263" s="36"/>
      <c r="G263" s="37">
        <f t="shared" si="67"/>
        <v>0</v>
      </c>
      <c r="H263" s="37"/>
      <c r="I263" s="36"/>
      <c r="J263" s="36"/>
      <c r="K263" s="36"/>
      <c r="L263" s="36"/>
      <c r="M263" s="36"/>
      <c r="N263" s="36"/>
      <c r="O263" s="36"/>
      <c r="P263" s="36"/>
      <c r="Q263" s="36"/>
    </row>
    <row r="264" spans="1:17" x14ac:dyDescent="0.25">
      <c r="A264" s="45">
        <v>5213</v>
      </c>
      <c r="B264" s="23">
        <v>423200</v>
      </c>
      <c r="C264" s="9" t="s">
        <v>244</v>
      </c>
      <c r="D264" s="9" t="s">
        <v>463</v>
      </c>
      <c r="E264" s="36">
        <v>3630</v>
      </c>
      <c r="F264" s="36">
        <f>H264+K264+M264+P264</f>
        <v>3606</v>
      </c>
      <c r="G264" s="37">
        <f t="shared" ref="G264:G269" si="80">SUM(I264:Q264)-K264-M264-P264</f>
        <v>2262</v>
      </c>
      <c r="H264" s="37"/>
      <c r="I264" s="36"/>
      <c r="J264" s="36"/>
      <c r="K264" s="36"/>
      <c r="L264" s="36"/>
      <c r="M264" s="36">
        <f>3000+540</f>
        <v>3540</v>
      </c>
      <c r="N264" s="36">
        <v>2192</v>
      </c>
      <c r="O264" s="36"/>
      <c r="P264" s="36">
        <v>66</v>
      </c>
      <c r="Q264" s="36">
        <v>70</v>
      </c>
    </row>
    <row r="265" spans="1:17" ht="26.25" x14ac:dyDescent="0.25">
      <c r="A265" s="45">
        <v>5214</v>
      </c>
      <c r="B265" s="23">
        <v>423300</v>
      </c>
      <c r="C265" s="9" t="s">
        <v>245</v>
      </c>
      <c r="D265" s="9" t="s">
        <v>463</v>
      </c>
      <c r="E265" s="36">
        <v>2830</v>
      </c>
      <c r="F265" s="36">
        <f>H265+K265+M265+P265</f>
        <v>3060</v>
      </c>
      <c r="G265" s="37">
        <f t="shared" si="80"/>
        <v>2522</v>
      </c>
      <c r="H265" s="37"/>
      <c r="I265" s="36"/>
      <c r="J265" s="36"/>
      <c r="K265" s="36"/>
      <c r="L265" s="36"/>
      <c r="M265" s="36">
        <v>2500</v>
      </c>
      <c r="N265" s="36">
        <v>2374</v>
      </c>
      <c r="O265" s="36"/>
      <c r="P265" s="36">
        <f>200+360</f>
        <v>560</v>
      </c>
      <c r="Q265" s="36">
        <v>148</v>
      </c>
    </row>
    <row r="266" spans="1:17" x14ac:dyDescent="0.25">
      <c r="A266" s="45">
        <v>5215</v>
      </c>
      <c r="B266" s="23">
        <v>423400</v>
      </c>
      <c r="C266" s="9" t="s">
        <v>246</v>
      </c>
      <c r="D266" s="9" t="s">
        <v>463</v>
      </c>
      <c r="E266" s="36">
        <v>500</v>
      </c>
      <c r="F266" s="36">
        <f>H266+K266+M266+P266</f>
        <v>260</v>
      </c>
      <c r="G266" s="37">
        <f t="shared" si="80"/>
        <v>259</v>
      </c>
      <c r="H266" s="37"/>
      <c r="I266" s="36"/>
      <c r="J266" s="36"/>
      <c r="K266" s="36"/>
      <c r="L266" s="36"/>
      <c r="M266" s="36">
        <v>260</v>
      </c>
      <c r="N266" s="36">
        <v>245</v>
      </c>
      <c r="O266" s="36"/>
      <c r="P266" s="36"/>
      <c r="Q266" s="36">
        <v>14</v>
      </c>
    </row>
    <row r="267" spans="1:17" x14ac:dyDescent="0.25">
      <c r="A267" s="45">
        <v>5216</v>
      </c>
      <c r="B267" s="23">
        <v>423500</v>
      </c>
      <c r="C267" s="9" t="s">
        <v>247</v>
      </c>
      <c r="D267" s="9" t="s">
        <v>463</v>
      </c>
      <c r="E267" s="36">
        <v>1150</v>
      </c>
      <c r="F267" s="36">
        <f>H267+K267+M267+P267</f>
        <v>1125</v>
      </c>
      <c r="G267" s="37">
        <f t="shared" si="80"/>
        <v>1132</v>
      </c>
      <c r="H267" s="37"/>
      <c r="I267" s="36"/>
      <c r="J267" s="36"/>
      <c r="K267" s="36"/>
      <c r="L267" s="36"/>
      <c r="M267" s="36"/>
      <c r="N267" s="36"/>
      <c r="O267" s="36"/>
      <c r="P267" s="36">
        <v>1125</v>
      </c>
      <c r="Q267" s="36">
        <v>1132</v>
      </c>
    </row>
    <row r="268" spans="1:17" ht="26.25" hidden="1" x14ac:dyDescent="0.25">
      <c r="A268" s="45">
        <v>5217</v>
      </c>
      <c r="B268" s="23">
        <v>423600</v>
      </c>
      <c r="C268" s="9" t="s">
        <v>248</v>
      </c>
      <c r="D268" s="9" t="s">
        <v>463</v>
      </c>
      <c r="E268" s="36"/>
      <c r="F268" s="36"/>
      <c r="G268" s="37">
        <f t="shared" si="67"/>
        <v>0</v>
      </c>
      <c r="H268" s="37"/>
      <c r="I268" s="36"/>
      <c r="J268" s="36"/>
      <c r="K268" s="36"/>
      <c r="L268" s="36"/>
      <c r="M268" s="36"/>
      <c r="N268" s="36"/>
      <c r="O268" s="36"/>
      <c r="P268" s="36"/>
      <c r="Q268" s="36"/>
    </row>
    <row r="269" spans="1:17" x14ac:dyDescent="0.25">
      <c r="A269" s="45">
        <v>5218</v>
      </c>
      <c r="B269" s="23">
        <v>423700</v>
      </c>
      <c r="C269" s="9" t="s">
        <v>249</v>
      </c>
      <c r="D269" s="9" t="s">
        <v>463</v>
      </c>
      <c r="E269" s="36">
        <v>128</v>
      </c>
      <c r="F269" s="36">
        <f>H269+K269+M269+P269</f>
        <v>200</v>
      </c>
      <c r="G269" s="37">
        <f t="shared" si="80"/>
        <v>114</v>
      </c>
      <c r="H269" s="37"/>
      <c r="I269" s="36"/>
      <c r="J269" s="36"/>
      <c r="K269" s="36"/>
      <c r="L269" s="36"/>
      <c r="M269" s="36"/>
      <c r="N269" s="36"/>
      <c r="O269" s="36"/>
      <c r="P269" s="36">
        <v>200</v>
      </c>
      <c r="Q269" s="36">
        <v>114</v>
      </c>
    </row>
    <row r="270" spans="1:17" ht="15" hidden="1" customHeight="1" x14ac:dyDescent="0.25">
      <c r="A270" s="542" t="s">
        <v>0</v>
      </c>
      <c r="B270" s="543" t="s">
        <v>1</v>
      </c>
      <c r="C270" s="542" t="s">
        <v>2</v>
      </c>
      <c r="D270" s="9" t="s">
        <v>463</v>
      </c>
      <c r="E270" s="542" t="s">
        <v>217</v>
      </c>
      <c r="F270" s="474"/>
      <c r="G270" s="544" t="s">
        <v>198</v>
      </c>
      <c r="H270" s="544"/>
      <c r="I270" s="545"/>
      <c r="J270" s="545"/>
      <c r="K270" s="545"/>
      <c r="L270" s="545"/>
      <c r="M270" s="545"/>
      <c r="N270" s="545"/>
      <c r="O270" s="545"/>
      <c r="P270" s="545"/>
      <c r="Q270" s="545"/>
    </row>
    <row r="271" spans="1:17" ht="15" hidden="1" customHeight="1" x14ac:dyDescent="0.25">
      <c r="A271" s="542"/>
      <c r="B271" s="543"/>
      <c r="C271" s="542"/>
      <c r="D271" s="9" t="s">
        <v>463</v>
      </c>
      <c r="E271" s="542"/>
      <c r="F271" s="474"/>
      <c r="G271" s="544" t="s">
        <v>199</v>
      </c>
      <c r="H271" s="476"/>
      <c r="I271" s="544" t="s">
        <v>200</v>
      </c>
      <c r="J271" s="545"/>
      <c r="K271" s="545"/>
      <c r="L271" s="545"/>
      <c r="M271" s="545"/>
      <c r="N271" s="545"/>
      <c r="O271" s="544" t="s">
        <v>7</v>
      </c>
      <c r="P271" s="476"/>
      <c r="Q271" s="544" t="s">
        <v>8</v>
      </c>
    </row>
    <row r="272" spans="1:17" ht="39" hidden="1" customHeight="1" x14ac:dyDescent="0.25">
      <c r="A272" s="542"/>
      <c r="B272" s="543"/>
      <c r="C272" s="542"/>
      <c r="D272" s="9" t="s">
        <v>463</v>
      </c>
      <c r="E272" s="542"/>
      <c r="F272" s="474"/>
      <c r="G272" s="545"/>
      <c r="H272" s="477"/>
      <c r="I272" s="476" t="s">
        <v>201</v>
      </c>
      <c r="J272" s="476" t="s">
        <v>10</v>
      </c>
      <c r="K272" s="476"/>
      <c r="L272" s="476" t="s">
        <v>11</v>
      </c>
      <c r="M272" s="476"/>
      <c r="N272" s="476" t="s">
        <v>12</v>
      </c>
      <c r="O272" s="545"/>
      <c r="P272" s="477"/>
      <c r="Q272" s="545"/>
    </row>
    <row r="273" spans="1:22" ht="15" hidden="1" customHeight="1" x14ac:dyDescent="0.25">
      <c r="A273" s="475" t="s">
        <v>18</v>
      </c>
      <c r="B273" s="475" t="s">
        <v>19</v>
      </c>
      <c r="C273" s="475" t="s">
        <v>20</v>
      </c>
      <c r="D273" s="9" t="s">
        <v>463</v>
      </c>
      <c r="E273" s="475" t="s">
        <v>21</v>
      </c>
      <c r="F273" s="475"/>
      <c r="G273" s="475" t="s">
        <v>22</v>
      </c>
      <c r="H273" s="475"/>
      <c r="I273" s="475" t="s">
        <v>23</v>
      </c>
      <c r="J273" s="475" t="s">
        <v>24</v>
      </c>
      <c r="K273" s="475"/>
      <c r="L273" s="475" t="s">
        <v>25</v>
      </c>
      <c r="M273" s="475"/>
      <c r="N273" s="475" t="s">
        <v>26</v>
      </c>
      <c r="O273" s="475" t="s">
        <v>27</v>
      </c>
      <c r="P273" s="475"/>
      <c r="Q273" s="475" t="s">
        <v>28</v>
      </c>
    </row>
    <row r="274" spans="1:22" x14ac:dyDescent="0.25">
      <c r="A274" s="45">
        <v>5219</v>
      </c>
      <c r="B274" s="23">
        <v>423900</v>
      </c>
      <c r="C274" s="9" t="s">
        <v>250</v>
      </c>
      <c r="D274" s="9" t="s">
        <v>463</v>
      </c>
      <c r="E274" s="36">
        <v>90</v>
      </c>
      <c r="F274" s="36">
        <f>H274+K274+M274+P274</f>
        <v>260</v>
      </c>
      <c r="G274" s="37">
        <f t="shared" ref="G274" si="81">SUM(I274:Q274)-K274-M274-P274</f>
        <v>86</v>
      </c>
      <c r="H274" s="37"/>
      <c r="I274" s="36"/>
      <c r="J274" s="36"/>
      <c r="K274" s="36"/>
      <c r="L274" s="36"/>
      <c r="M274" s="36"/>
      <c r="N274" s="36"/>
      <c r="O274" s="36"/>
      <c r="P274" s="36">
        <v>260</v>
      </c>
      <c r="Q274" s="36">
        <v>86</v>
      </c>
    </row>
    <row r="275" spans="1:22" ht="26.25" x14ac:dyDescent="0.25">
      <c r="A275" s="480">
        <v>5220</v>
      </c>
      <c r="B275" s="476">
        <v>424000</v>
      </c>
      <c r="C275" s="18" t="s">
        <v>251</v>
      </c>
      <c r="D275" s="18"/>
      <c r="E275" s="19">
        <f>SUM(E276:E282)</f>
        <v>4679</v>
      </c>
      <c r="F275" s="19">
        <f t="shared" ref="F275:Q275" si="82">SUM(F276:F282)</f>
        <v>6135</v>
      </c>
      <c r="G275" s="19">
        <f t="shared" si="82"/>
        <v>3707</v>
      </c>
      <c r="H275" s="19">
        <f t="shared" si="82"/>
        <v>3280</v>
      </c>
      <c r="I275" s="19">
        <f t="shared" si="82"/>
        <v>2280</v>
      </c>
      <c r="J275" s="19">
        <f t="shared" si="82"/>
        <v>0</v>
      </c>
      <c r="K275" s="19">
        <f t="shared" si="82"/>
        <v>0</v>
      </c>
      <c r="L275" s="19">
        <f t="shared" si="82"/>
        <v>0</v>
      </c>
      <c r="M275" s="19">
        <f t="shared" si="82"/>
        <v>1280</v>
      </c>
      <c r="N275" s="19">
        <f t="shared" si="82"/>
        <v>977</v>
      </c>
      <c r="O275" s="19">
        <f t="shared" si="82"/>
        <v>0</v>
      </c>
      <c r="P275" s="19">
        <f t="shared" si="82"/>
        <v>1575</v>
      </c>
      <c r="Q275" s="19">
        <f t="shared" si="82"/>
        <v>450</v>
      </c>
    </row>
    <row r="276" spans="1:22" hidden="1" x14ac:dyDescent="0.25">
      <c r="A276" s="45">
        <v>5221</v>
      </c>
      <c r="B276" s="23">
        <v>424100</v>
      </c>
      <c r="C276" s="9" t="s">
        <v>252</v>
      </c>
      <c r="D276" s="9"/>
      <c r="E276" s="36"/>
      <c r="F276" s="36"/>
      <c r="G276" s="37">
        <f t="shared" si="67"/>
        <v>0</v>
      </c>
      <c r="H276" s="37"/>
      <c r="I276" s="36"/>
      <c r="J276" s="36"/>
      <c r="K276" s="36"/>
      <c r="L276" s="36"/>
      <c r="M276" s="36"/>
      <c r="N276" s="36"/>
      <c r="O276" s="36"/>
      <c r="P276" s="36"/>
      <c r="Q276" s="36"/>
    </row>
    <row r="277" spans="1:22" ht="26.25" hidden="1" x14ac:dyDescent="0.25">
      <c r="A277" s="45">
        <v>5222</v>
      </c>
      <c r="B277" s="23">
        <v>424200</v>
      </c>
      <c r="C277" s="9" t="s">
        <v>253</v>
      </c>
      <c r="D277" s="9"/>
      <c r="E277" s="36"/>
      <c r="F277" s="36"/>
      <c r="G277" s="37">
        <f t="shared" si="67"/>
        <v>0</v>
      </c>
      <c r="H277" s="37"/>
      <c r="I277" s="36"/>
      <c r="J277" s="36"/>
      <c r="K277" s="36"/>
      <c r="L277" s="36"/>
      <c r="M277" s="36"/>
      <c r="N277" s="36"/>
      <c r="O277" s="36"/>
      <c r="P277" s="36"/>
      <c r="Q277" s="36"/>
    </row>
    <row r="278" spans="1:22" x14ac:dyDescent="0.25">
      <c r="A278" s="45">
        <v>5223</v>
      </c>
      <c r="B278" s="23">
        <v>424300</v>
      </c>
      <c r="C278" s="9" t="s">
        <v>254</v>
      </c>
      <c r="D278" s="9" t="s">
        <v>463</v>
      </c>
      <c r="E278" s="36">
        <v>1221</v>
      </c>
      <c r="F278" s="36">
        <f>H278+K278+M278+P278</f>
        <v>1480</v>
      </c>
      <c r="G278" s="37">
        <f t="shared" ref="G278" si="83">SUM(I278:Q278)-K278-M278-P278</f>
        <v>1086</v>
      </c>
      <c r="H278" s="37"/>
      <c r="I278" s="36"/>
      <c r="J278" s="36"/>
      <c r="K278" s="36"/>
      <c r="L278" s="36"/>
      <c r="M278" s="36">
        <f>1000+280</f>
        <v>1280</v>
      </c>
      <c r="N278" s="36">
        <v>977</v>
      </c>
      <c r="O278" s="36"/>
      <c r="P278" s="36">
        <v>200</v>
      </c>
      <c r="Q278" s="36">
        <v>109</v>
      </c>
      <c r="R278" s="47"/>
      <c r="T278" s="47"/>
    </row>
    <row r="279" spans="1:22" hidden="1" x14ac:dyDescent="0.25">
      <c r="A279" s="45">
        <v>5224</v>
      </c>
      <c r="B279" s="23">
        <v>424400</v>
      </c>
      <c r="C279" s="9" t="s">
        <v>255</v>
      </c>
      <c r="D279" s="9" t="s">
        <v>463</v>
      </c>
      <c r="E279" s="36"/>
      <c r="F279" s="36"/>
      <c r="G279" s="37">
        <f t="shared" si="67"/>
        <v>0</v>
      </c>
      <c r="H279" s="37"/>
      <c r="I279" s="36"/>
      <c r="J279" s="36"/>
      <c r="K279" s="36"/>
      <c r="L279" s="36"/>
      <c r="M279" s="36"/>
      <c r="N279" s="36"/>
      <c r="O279" s="36"/>
      <c r="P279" s="36"/>
      <c r="Q279" s="36"/>
    </row>
    <row r="280" spans="1:22" ht="26.25" hidden="1" x14ac:dyDescent="0.25">
      <c r="A280" s="45">
        <v>5225</v>
      </c>
      <c r="B280" s="23">
        <v>424500</v>
      </c>
      <c r="C280" s="9" t="s">
        <v>256</v>
      </c>
      <c r="D280" s="9" t="s">
        <v>463</v>
      </c>
      <c r="E280" s="36"/>
      <c r="F280" s="36"/>
      <c r="G280" s="37">
        <f t="shared" si="67"/>
        <v>0</v>
      </c>
      <c r="H280" s="37"/>
      <c r="I280" s="36"/>
      <c r="J280" s="36"/>
      <c r="K280" s="36"/>
      <c r="L280" s="36"/>
      <c r="M280" s="36"/>
      <c r="N280" s="36"/>
      <c r="O280" s="36"/>
      <c r="P280" s="36"/>
      <c r="Q280" s="36"/>
    </row>
    <row r="281" spans="1:22" ht="39" x14ac:dyDescent="0.25">
      <c r="A281" s="45">
        <v>5226</v>
      </c>
      <c r="B281" s="23">
        <v>424600</v>
      </c>
      <c r="C281" s="9" t="s">
        <v>257</v>
      </c>
      <c r="D281" s="9" t="s">
        <v>463</v>
      </c>
      <c r="E281" s="36">
        <v>190</v>
      </c>
      <c r="F281" s="36">
        <f>H281+K281+M281+P281</f>
        <v>300</v>
      </c>
      <c r="G281" s="37">
        <f t="shared" ref="G281:G282" si="84">SUM(I281:Q281)-K281-M281-P281</f>
        <v>51</v>
      </c>
      <c r="H281" s="37"/>
      <c r="I281" s="36"/>
      <c r="J281" s="36"/>
      <c r="K281" s="36"/>
      <c r="L281" s="36"/>
      <c r="M281" s="36"/>
      <c r="N281" s="36"/>
      <c r="O281" s="36"/>
      <c r="P281" s="36">
        <f>150+150</f>
        <v>300</v>
      </c>
      <c r="Q281" s="36">
        <v>51</v>
      </c>
    </row>
    <row r="282" spans="1:22" ht="23.25" x14ac:dyDescent="0.35">
      <c r="A282" s="45">
        <v>5227</v>
      </c>
      <c r="B282" s="23">
        <v>424900</v>
      </c>
      <c r="C282" s="9" t="s">
        <v>258</v>
      </c>
      <c r="D282" s="9" t="s">
        <v>463</v>
      </c>
      <c r="E282" s="36">
        <v>3268</v>
      </c>
      <c r="F282" s="36">
        <f>H282+K282+M282+P282</f>
        <v>4355</v>
      </c>
      <c r="G282" s="37">
        <f t="shared" si="84"/>
        <v>2570</v>
      </c>
      <c r="H282" s="37">
        <f>1054+2226</f>
        <v>3280</v>
      </c>
      <c r="I282" s="36">
        <v>2280</v>
      </c>
      <c r="J282" s="36"/>
      <c r="K282" s="36"/>
      <c r="L282" s="36"/>
      <c r="M282" s="36"/>
      <c r="N282" s="36"/>
      <c r="O282" s="36"/>
      <c r="P282" s="36">
        <f>400-150-178+1059+96-192+40</f>
        <v>1075</v>
      </c>
      <c r="Q282" s="36">
        <v>290</v>
      </c>
      <c r="R282" s="12">
        <v>1059</v>
      </c>
      <c r="S282" s="12" t="s">
        <v>504</v>
      </c>
      <c r="V282" s="393" t="s">
        <v>540</v>
      </c>
    </row>
    <row r="283" spans="1:22" ht="26.25" x14ac:dyDescent="0.25">
      <c r="A283" s="480">
        <v>5228</v>
      </c>
      <c r="B283" s="476">
        <v>425000</v>
      </c>
      <c r="C283" s="18" t="s">
        <v>259</v>
      </c>
      <c r="D283" s="9"/>
      <c r="E283" s="19">
        <f>E284+E285</f>
        <v>12464</v>
      </c>
      <c r="F283" s="19">
        <f t="shared" ref="F283:Q283" si="85">F284+F285</f>
        <v>13355</v>
      </c>
      <c r="G283" s="19">
        <f t="shared" si="85"/>
        <v>8828</v>
      </c>
      <c r="H283" s="19">
        <f t="shared" si="85"/>
        <v>0</v>
      </c>
      <c r="I283" s="19">
        <f t="shared" si="85"/>
        <v>0</v>
      </c>
      <c r="J283" s="19">
        <f t="shared" si="85"/>
        <v>0</v>
      </c>
      <c r="K283" s="19">
        <f t="shared" si="85"/>
        <v>0</v>
      </c>
      <c r="L283" s="19">
        <f t="shared" si="85"/>
        <v>0</v>
      </c>
      <c r="M283" s="19">
        <f t="shared" si="85"/>
        <v>13194</v>
      </c>
      <c r="N283" s="19">
        <f t="shared" si="85"/>
        <v>8173</v>
      </c>
      <c r="O283" s="19">
        <f t="shared" si="85"/>
        <v>0</v>
      </c>
      <c r="P283" s="19">
        <f t="shared" si="85"/>
        <v>161</v>
      </c>
      <c r="Q283" s="19">
        <f t="shared" si="85"/>
        <v>655</v>
      </c>
    </row>
    <row r="284" spans="1:22" ht="26.25" x14ac:dyDescent="0.25">
      <c r="A284" s="45">
        <v>5229</v>
      </c>
      <c r="B284" s="23">
        <v>425100</v>
      </c>
      <c r="C284" s="9" t="s">
        <v>260</v>
      </c>
      <c r="D284" s="9" t="s">
        <v>463</v>
      </c>
      <c r="E284" s="36">
        <v>360</v>
      </c>
      <c r="F284" s="36">
        <f>H284+K284+M284+P284</f>
        <v>720</v>
      </c>
      <c r="G284" s="37">
        <f t="shared" ref="G284:G285" si="86">SUM(I284:Q284)-K284-M284-P284</f>
        <v>100</v>
      </c>
      <c r="H284" s="37"/>
      <c r="I284" s="36"/>
      <c r="J284" s="36"/>
      <c r="K284" s="36"/>
      <c r="L284" s="36"/>
      <c r="M284" s="36">
        <v>720</v>
      </c>
      <c r="N284" s="36">
        <v>100</v>
      </c>
      <c r="O284" s="36"/>
      <c r="P284" s="36"/>
      <c r="Q284" s="36"/>
    </row>
    <row r="285" spans="1:22" ht="26.25" x14ac:dyDescent="0.25">
      <c r="A285" s="45">
        <v>5230</v>
      </c>
      <c r="B285" s="23">
        <v>425200</v>
      </c>
      <c r="C285" s="9" t="s">
        <v>261</v>
      </c>
      <c r="D285" s="9" t="s">
        <v>463</v>
      </c>
      <c r="E285" s="36">
        <v>12104</v>
      </c>
      <c r="F285" s="36">
        <f>H285+K285+M285+P285</f>
        <v>12635</v>
      </c>
      <c r="G285" s="37">
        <f t="shared" si="86"/>
        <v>8728</v>
      </c>
      <c r="H285" s="37"/>
      <c r="I285" s="36"/>
      <c r="J285" s="36"/>
      <c r="K285" s="36"/>
      <c r="L285" s="36"/>
      <c r="M285" s="36">
        <f>11147-580+1059-60+840+68</f>
        <v>12474</v>
      </c>
      <c r="N285" s="36">
        <f>8055+18</f>
        <v>8073</v>
      </c>
      <c r="O285" s="36"/>
      <c r="P285" s="36">
        <f>84-60+100+37</f>
        <v>161</v>
      </c>
      <c r="Q285" s="36">
        <v>655</v>
      </c>
      <c r="R285" s="12" t="s">
        <v>505</v>
      </c>
    </row>
    <row r="286" spans="1:22" x14ac:dyDescent="0.25">
      <c r="A286" s="480">
        <v>5231</v>
      </c>
      <c r="B286" s="476">
        <v>426000</v>
      </c>
      <c r="C286" s="18" t="s">
        <v>262</v>
      </c>
      <c r="D286" s="18"/>
      <c r="E286" s="19">
        <f>SUM(E287:E313)</f>
        <v>301349</v>
      </c>
      <c r="F286" s="19">
        <f>F287+F289+F290+F293+F311+F312+F313</f>
        <v>290314</v>
      </c>
      <c r="G286" s="19">
        <f>SUM(G287:G313)</f>
        <v>275140</v>
      </c>
      <c r="H286" s="19">
        <f t="shared" ref="H286:Q286" si="87">SUM(H287:H313)</f>
        <v>2238</v>
      </c>
      <c r="I286" s="19">
        <f t="shared" si="87"/>
        <v>127</v>
      </c>
      <c r="J286" s="19">
        <f t="shared" si="87"/>
        <v>0</v>
      </c>
      <c r="K286" s="19">
        <f t="shared" si="87"/>
        <v>6429</v>
      </c>
      <c r="L286" s="19">
        <f t="shared" si="87"/>
        <v>1273</v>
      </c>
      <c r="M286" s="19">
        <f>M287+M289+M290+M293+M311+M312+M313</f>
        <v>279429</v>
      </c>
      <c r="N286" s="19">
        <f t="shared" si="87"/>
        <v>270915</v>
      </c>
      <c r="O286" s="19">
        <f t="shared" si="87"/>
        <v>0</v>
      </c>
      <c r="P286" s="19">
        <f>P287+P289+P290+P293+P311+P312+P313</f>
        <v>2218</v>
      </c>
      <c r="Q286" s="19">
        <f t="shared" si="87"/>
        <v>2825</v>
      </c>
      <c r="R286" s="44">
        <f>H286+K286+M286+P286</f>
        <v>290314</v>
      </c>
    </row>
    <row r="287" spans="1:22" x14ac:dyDescent="0.25">
      <c r="A287" s="45">
        <v>5232</v>
      </c>
      <c r="B287" s="23">
        <v>426100</v>
      </c>
      <c r="C287" s="9" t="s">
        <v>263</v>
      </c>
      <c r="D287" s="9" t="s">
        <v>463</v>
      </c>
      <c r="E287" s="36">
        <v>4093</v>
      </c>
      <c r="F287" s="36">
        <f>H287+K287+M287+P287</f>
        <v>5294</v>
      </c>
      <c r="G287" s="37">
        <f t="shared" ref="G287" si="88">SUM(I287:Q287)-K287-M287-P287</f>
        <v>3119</v>
      </c>
      <c r="H287" s="37"/>
      <c r="I287" s="36"/>
      <c r="J287" s="36"/>
      <c r="K287" s="36"/>
      <c r="L287" s="36"/>
      <c r="M287" s="36">
        <f>4200+106+315+399+274</f>
        <v>5294</v>
      </c>
      <c r="N287" s="36">
        <v>3119</v>
      </c>
      <c r="O287" s="36"/>
      <c r="P287" s="36"/>
      <c r="Q287" s="36"/>
      <c r="R287" s="12" t="s">
        <v>506</v>
      </c>
    </row>
    <row r="288" spans="1:22" hidden="1" x14ac:dyDescent="0.25">
      <c r="A288" s="45">
        <v>5233</v>
      </c>
      <c r="B288" s="23">
        <v>426200</v>
      </c>
      <c r="C288" s="9" t="s">
        <v>264</v>
      </c>
      <c r="D288" s="9" t="s">
        <v>463</v>
      </c>
      <c r="E288" s="36"/>
      <c r="F288" s="36"/>
      <c r="G288" s="37">
        <f t="shared" si="67"/>
        <v>0</v>
      </c>
      <c r="H288" s="37"/>
      <c r="I288" s="36"/>
      <c r="J288" s="36"/>
      <c r="K288" s="36"/>
      <c r="L288" s="36"/>
      <c r="M288" s="36"/>
      <c r="N288" s="36"/>
      <c r="O288" s="36"/>
      <c r="P288" s="36"/>
      <c r="Q288" s="36"/>
    </row>
    <row r="289" spans="1:19" ht="26.25" x14ac:dyDescent="0.25">
      <c r="A289" s="45">
        <v>5234</v>
      </c>
      <c r="B289" s="23">
        <v>426300</v>
      </c>
      <c r="C289" s="9" t="s">
        <v>265</v>
      </c>
      <c r="D289" s="9" t="s">
        <v>463</v>
      </c>
      <c r="E289" s="36">
        <v>170</v>
      </c>
      <c r="F289" s="36">
        <f>H289+K289+M289+P289</f>
        <v>200</v>
      </c>
      <c r="G289" s="37">
        <f t="shared" ref="G289:G290" si="89">SUM(I289:Q289)-K289-M289-P289</f>
        <v>147</v>
      </c>
      <c r="H289" s="37"/>
      <c r="I289" s="36"/>
      <c r="J289" s="36"/>
      <c r="K289" s="36"/>
      <c r="L289" s="36"/>
      <c r="M289" s="36"/>
      <c r="N289" s="36"/>
      <c r="O289" s="36"/>
      <c r="P289" s="36">
        <v>200</v>
      </c>
      <c r="Q289" s="36">
        <v>147</v>
      </c>
    </row>
    <row r="290" spans="1:19" x14ac:dyDescent="0.25">
      <c r="A290" s="45">
        <v>5235</v>
      </c>
      <c r="B290" s="23">
        <v>426400</v>
      </c>
      <c r="C290" s="9" t="s">
        <v>266</v>
      </c>
      <c r="D290" s="9" t="s">
        <v>468</v>
      </c>
      <c r="E290" s="36">
        <v>1541</v>
      </c>
      <c r="F290" s="36">
        <f>H290+K290+M290+P290</f>
        <v>1950</v>
      </c>
      <c r="G290" s="37">
        <f t="shared" si="89"/>
        <v>1580</v>
      </c>
      <c r="H290" s="37"/>
      <c r="I290" s="38"/>
      <c r="J290" s="38"/>
      <c r="K290" s="38"/>
      <c r="L290" s="38"/>
      <c r="M290" s="38">
        <f>2000-50</f>
        <v>1950</v>
      </c>
      <c r="N290" s="38">
        <f>1534+39</f>
        <v>1573</v>
      </c>
      <c r="O290" s="38"/>
      <c r="P290" s="38"/>
      <c r="Q290" s="38">
        <v>7</v>
      </c>
    </row>
    <row r="291" spans="1:19" ht="26.25" hidden="1" x14ac:dyDescent="0.25">
      <c r="A291" s="45">
        <v>5236</v>
      </c>
      <c r="B291" s="23">
        <v>426500</v>
      </c>
      <c r="C291" s="9" t="s">
        <v>267</v>
      </c>
      <c r="D291" s="9"/>
      <c r="E291" s="36"/>
      <c r="F291" s="36"/>
      <c r="G291" s="37">
        <f t="shared" ref="G291:G384" si="90">SUM(I291:Q291)</f>
        <v>0</v>
      </c>
      <c r="H291" s="37"/>
      <c r="I291" s="36"/>
      <c r="J291" s="36"/>
      <c r="K291" s="36"/>
      <c r="L291" s="36"/>
      <c r="M291" s="36"/>
      <c r="N291" s="36"/>
      <c r="O291" s="36"/>
      <c r="P291" s="36"/>
      <c r="Q291" s="36"/>
    </row>
    <row r="292" spans="1:19" ht="26.25" hidden="1" x14ac:dyDescent="0.25">
      <c r="A292" s="45">
        <v>5237</v>
      </c>
      <c r="B292" s="23">
        <v>426600</v>
      </c>
      <c r="C292" s="9" t="s">
        <v>268</v>
      </c>
      <c r="D292" s="9"/>
      <c r="E292" s="36"/>
      <c r="F292" s="36"/>
      <c r="G292" s="37">
        <f t="shared" si="90"/>
        <v>0</v>
      </c>
      <c r="H292" s="37"/>
      <c r="I292" s="36"/>
      <c r="J292" s="36"/>
      <c r="K292" s="36"/>
      <c r="L292" s="36"/>
      <c r="M292" s="36"/>
      <c r="N292" s="36"/>
      <c r="O292" s="36"/>
      <c r="P292" s="36"/>
      <c r="Q292" s="36"/>
    </row>
    <row r="293" spans="1:19" ht="26.25" x14ac:dyDescent="0.25">
      <c r="A293" s="45">
        <v>5238</v>
      </c>
      <c r="B293" s="23">
        <v>426700</v>
      </c>
      <c r="C293" s="9" t="s">
        <v>269</v>
      </c>
      <c r="D293" s="9"/>
      <c r="E293" s="36">
        <v>273095</v>
      </c>
      <c r="F293" s="48">
        <f>H293+K293+M293+P293</f>
        <v>253193</v>
      </c>
      <c r="G293" s="37">
        <f t="shared" ref="G293:G313" si="91">SUM(I293:Q293)-K293-M293-P293</f>
        <v>252600</v>
      </c>
      <c r="H293" s="37"/>
      <c r="I293" s="36">
        <v>127</v>
      </c>
      <c r="J293" s="36"/>
      <c r="K293" s="36"/>
      <c r="L293" s="36"/>
      <c r="M293" s="48">
        <f>94103+2685+42117+2586+11786+25692+37400+19065+15859</f>
        <v>251293</v>
      </c>
      <c r="N293" s="36">
        <v>250683</v>
      </c>
      <c r="O293" s="36"/>
      <c r="P293" s="48">
        <v>1900</v>
      </c>
      <c r="Q293" s="36">
        <v>1790</v>
      </c>
      <c r="R293" s="44">
        <f>M294+M299+M300+M303+M309+M310</f>
        <v>251293</v>
      </c>
      <c r="S293" s="44">
        <f>R293+P293</f>
        <v>253193</v>
      </c>
    </row>
    <row r="294" spans="1:19" ht="18" customHeight="1" x14ac:dyDescent="0.25">
      <c r="A294" s="45"/>
      <c r="B294" s="49" t="s">
        <v>470</v>
      </c>
      <c r="C294" s="50" t="s">
        <v>476</v>
      </c>
      <c r="D294" s="9"/>
      <c r="E294" s="36"/>
      <c r="F294" s="48">
        <f>F295+F296+F297+F298</f>
        <v>113168</v>
      </c>
      <c r="G294" s="37"/>
      <c r="H294" s="37"/>
      <c r="I294" s="36"/>
      <c r="J294" s="36"/>
      <c r="K294" s="36"/>
      <c r="L294" s="36"/>
      <c r="M294" s="48">
        <f>M295+M296+M297+M298</f>
        <v>113168</v>
      </c>
      <c r="N294" s="36"/>
      <c r="O294" s="36"/>
      <c r="P294" s="36"/>
      <c r="Q294" s="36"/>
    </row>
    <row r="295" spans="1:19" ht="16.5" customHeight="1" x14ac:dyDescent="0.25">
      <c r="A295" s="45"/>
      <c r="B295" s="51" t="s">
        <v>477</v>
      </c>
      <c r="C295" s="9" t="s">
        <v>481</v>
      </c>
      <c r="D295" s="9"/>
      <c r="E295" s="36"/>
      <c r="F295" s="36">
        <f>M295</f>
        <v>70695</v>
      </c>
      <c r="G295" s="37"/>
      <c r="H295" s="37"/>
      <c r="I295" s="36"/>
      <c r="J295" s="36"/>
      <c r="K295" s="36"/>
      <c r="L295" s="36"/>
      <c r="M295" s="38">
        <f>50630+19065+1000</f>
        <v>70695</v>
      </c>
      <c r="N295" s="36"/>
      <c r="O295" s="36"/>
      <c r="P295" s="36"/>
      <c r="Q295" s="36"/>
    </row>
    <row r="296" spans="1:19" ht="16.5" customHeight="1" x14ac:dyDescent="0.25">
      <c r="A296" s="45"/>
      <c r="B296" s="51" t="s">
        <v>478</v>
      </c>
      <c r="C296" s="9" t="s">
        <v>482</v>
      </c>
      <c r="D296" s="9"/>
      <c r="E296" s="36"/>
      <c r="F296" s="36">
        <f t="shared" ref="F296:F310" si="92">M296</f>
        <v>14745</v>
      </c>
      <c r="G296" s="37"/>
      <c r="H296" s="37"/>
      <c r="I296" s="36"/>
      <c r="J296" s="36"/>
      <c r="K296" s="36"/>
      <c r="L296" s="36"/>
      <c r="M296" s="38">
        <f>15745-1000</f>
        <v>14745</v>
      </c>
      <c r="N296" s="36"/>
      <c r="O296" s="36"/>
      <c r="P296" s="36"/>
      <c r="Q296" s="36"/>
    </row>
    <row r="297" spans="1:19" ht="16.5" customHeight="1" x14ac:dyDescent="0.25">
      <c r="A297" s="45"/>
      <c r="B297" s="51" t="s">
        <v>479</v>
      </c>
      <c r="C297" s="9" t="s">
        <v>483</v>
      </c>
      <c r="D297" s="9"/>
      <c r="E297" s="36"/>
      <c r="F297" s="36">
        <f t="shared" si="92"/>
        <v>21866</v>
      </c>
      <c r="G297" s="37"/>
      <c r="H297" s="37"/>
      <c r="I297" s="36"/>
      <c r="J297" s="36"/>
      <c r="K297" s="36"/>
      <c r="L297" s="36"/>
      <c r="M297" s="38">
        <v>21866</v>
      </c>
      <c r="N297" s="36"/>
      <c r="O297" s="36"/>
      <c r="P297" s="36"/>
      <c r="Q297" s="36"/>
    </row>
    <row r="298" spans="1:19" ht="16.5" customHeight="1" x14ac:dyDescent="0.25">
      <c r="A298" s="45"/>
      <c r="B298" s="51" t="s">
        <v>480</v>
      </c>
      <c r="C298" s="9" t="s">
        <v>484</v>
      </c>
      <c r="D298" s="9"/>
      <c r="E298" s="36"/>
      <c r="F298" s="36">
        <f t="shared" si="92"/>
        <v>5862</v>
      </c>
      <c r="G298" s="37"/>
      <c r="H298" s="37"/>
      <c r="I298" s="36"/>
      <c r="J298" s="36"/>
      <c r="K298" s="36"/>
      <c r="L298" s="36"/>
      <c r="M298" s="38">
        <v>5862</v>
      </c>
      <c r="N298" s="36"/>
      <c r="O298" s="36"/>
      <c r="P298" s="36"/>
      <c r="Q298" s="36"/>
    </row>
    <row r="299" spans="1:19" ht="16.5" customHeight="1" x14ac:dyDescent="0.25">
      <c r="A299" s="52"/>
      <c r="B299" s="53" t="s">
        <v>471</v>
      </c>
      <c r="C299" s="50" t="s">
        <v>485</v>
      </c>
      <c r="D299" s="50"/>
      <c r="E299" s="48"/>
      <c r="F299" s="48">
        <f t="shared" si="92"/>
        <v>2685</v>
      </c>
      <c r="G299" s="54"/>
      <c r="H299" s="54"/>
      <c r="I299" s="48"/>
      <c r="J299" s="48"/>
      <c r="K299" s="48"/>
      <c r="L299" s="48"/>
      <c r="M299" s="48">
        <v>2685</v>
      </c>
      <c r="N299" s="48"/>
      <c r="O299" s="48"/>
      <c r="P299" s="48"/>
      <c r="Q299" s="48"/>
    </row>
    <row r="300" spans="1:19" ht="25.5" customHeight="1" x14ac:dyDescent="0.25">
      <c r="A300" s="45"/>
      <c r="B300" s="53" t="s">
        <v>472</v>
      </c>
      <c r="C300" s="50" t="s">
        <v>486</v>
      </c>
      <c r="D300" s="50"/>
      <c r="E300" s="48"/>
      <c r="F300" s="48">
        <f t="shared" si="92"/>
        <v>60562</v>
      </c>
      <c r="G300" s="54"/>
      <c r="H300" s="54"/>
      <c r="I300" s="48"/>
      <c r="J300" s="48"/>
      <c r="K300" s="48"/>
      <c r="L300" s="48"/>
      <c r="M300" s="48">
        <f>M301+M302</f>
        <v>60562</v>
      </c>
      <c r="N300" s="48"/>
      <c r="O300" s="48"/>
      <c r="P300" s="48"/>
      <c r="Q300" s="48"/>
    </row>
    <row r="301" spans="1:19" ht="25.5" customHeight="1" x14ac:dyDescent="0.25">
      <c r="A301" s="45"/>
      <c r="B301" s="51" t="s">
        <v>487</v>
      </c>
      <c r="C301" s="9" t="s">
        <v>489</v>
      </c>
      <c r="D301" s="9"/>
      <c r="E301" s="36"/>
      <c r="F301" s="36">
        <f t="shared" si="92"/>
        <v>36195</v>
      </c>
      <c r="G301" s="37"/>
      <c r="H301" s="37"/>
      <c r="I301" s="36"/>
      <c r="J301" s="36"/>
      <c r="K301" s="36"/>
      <c r="L301" s="36"/>
      <c r="M301" s="38">
        <f>36195</f>
        <v>36195</v>
      </c>
      <c r="N301" s="36"/>
      <c r="O301" s="36"/>
      <c r="P301" s="36"/>
      <c r="Q301" s="36"/>
    </row>
    <row r="302" spans="1:19" ht="23.25" customHeight="1" x14ac:dyDescent="0.25">
      <c r="A302" s="45"/>
      <c r="B302" s="51" t="s">
        <v>488</v>
      </c>
      <c r="C302" s="9" t="s">
        <v>490</v>
      </c>
      <c r="D302" s="9"/>
      <c r="E302" s="36"/>
      <c r="F302" s="36">
        <f t="shared" si="92"/>
        <v>24367</v>
      </c>
      <c r="G302" s="37"/>
      <c r="H302" s="37"/>
      <c r="I302" s="36"/>
      <c r="J302" s="36"/>
      <c r="K302" s="36"/>
      <c r="L302" s="36"/>
      <c r="M302" s="38">
        <f>5922+15859+2586</f>
        <v>24367</v>
      </c>
      <c r="N302" s="36"/>
      <c r="O302" s="36"/>
      <c r="P302" s="36">
        <v>1900</v>
      </c>
      <c r="Q302" s="36"/>
    </row>
    <row r="303" spans="1:19" ht="16.5" customHeight="1" x14ac:dyDescent="0.25">
      <c r="A303" s="45"/>
      <c r="B303" s="53" t="s">
        <v>473</v>
      </c>
      <c r="C303" s="50" t="s">
        <v>493</v>
      </c>
      <c r="D303" s="50"/>
      <c r="E303" s="48"/>
      <c r="F303" s="48">
        <f>F304+F305+F306</f>
        <v>11786</v>
      </c>
      <c r="G303" s="54"/>
      <c r="H303" s="54"/>
      <c r="I303" s="48"/>
      <c r="J303" s="48"/>
      <c r="K303" s="48"/>
      <c r="L303" s="48"/>
      <c r="M303" s="48">
        <f>M304+M305+M306</f>
        <v>11786</v>
      </c>
      <c r="N303" s="48"/>
      <c r="O303" s="48"/>
      <c r="P303" s="48"/>
      <c r="Q303" s="48"/>
    </row>
    <row r="304" spans="1:19" ht="23.25" customHeight="1" x14ac:dyDescent="0.25">
      <c r="A304" s="45"/>
      <c r="B304" s="51" t="s">
        <v>491</v>
      </c>
      <c r="C304" s="9" t="s">
        <v>494</v>
      </c>
      <c r="D304" s="9"/>
      <c r="E304" s="36"/>
      <c r="F304" s="36">
        <f>M304</f>
        <v>5321</v>
      </c>
      <c r="G304" s="37"/>
      <c r="H304" s="37"/>
      <c r="I304" s="36"/>
      <c r="J304" s="36"/>
      <c r="K304" s="36"/>
      <c r="L304" s="36"/>
      <c r="M304" s="38">
        <v>5321</v>
      </c>
      <c r="N304" s="36"/>
      <c r="O304" s="36"/>
      <c r="P304" s="36"/>
      <c r="Q304" s="36"/>
    </row>
    <row r="305" spans="1:17" ht="16.5" customHeight="1" x14ac:dyDescent="0.25">
      <c r="A305" s="45"/>
      <c r="B305" s="51" t="s">
        <v>492</v>
      </c>
      <c r="C305" s="9" t="s">
        <v>495</v>
      </c>
      <c r="D305" s="9"/>
      <c r="E305" s="36"/>
      <c r="F305" s="36">
        <f>M305</f>
        <v>5402</v>
      </c>
      <c r="G305" s="37"/>
      <c r="H305" s="37"/>
      <c r="I305" s="36"/>
      <c r="J305" s="36"/>
      <c r="K305" s="36"/>
      <c r="L305" s="36"/>
      <c r="M305" s="38">
        <v>5402</v>
      </c>
      <c r="N305" s="36"/>
      <c r="O305" s="36"/>
      <c r="P305" s="36"/>
      <c r="Q305" s="36"/>
    </row>
    <row r="306" spans="1:17" ht="16.5" customHeight="1" x14ac:dyDescent="0.25">
      <c r="A306" s="45"/>
      <c r="B306" s="51" t="s">
        <v>496</v>
      </c>
      <c r="C306" s="9" t="s">
        <v>497</v>
      </c>
      <c r="D306" s="9"/>
      <c r="E306" s="36"/>
      <c r="F306" s="36">
        <f>M306</f>
        <v>1063</v>
      </c>
      <c r="G306" s="37"/>
      <c r="H306" s="37"/>
      <c r="I306" s="36"/>
      <c r="J306" s="36"/>
      <c r="K306" s="36"/>
      <c r="L306" s="36"/>
      <c r="M306" s="38">
        <f>M307+M308</f>
        <v>1063</v>
      </c>
      <c r="N306" s="36"/>
      <c r="O306" s="36"/>
      <c r="P306" s="36"/>
      <c r="Q306" s="36"/>
    </row>
    <row r="307" spans="1:17" ht="24.75" x14ac:dyDescent="0.25">
      <c r="A307" s="45"/>
      <c r="B307" s="55" t="s">
        <v>500</v>
      </c>
      <c r="C307" s="56" t="s">
        <v>498</v>
      </c>
      <c r="D307" s="56"/>
      <c r="E307" s="57"/>
      <c r="F307" s="57">
        <f t="shared" si="92"/>
        <v>438</v>
      </c>
      <c r="G307" s="58"/>
      <c r="H307" s="58"/>
      <c r="I307" s="57"/>
      <c r="J307" s="57"/>
      <c r="K307" s="57"/>
      <c r="L307" s="57"/>
      <c r="M307" s="57">
        <v>438</v>
      </c>
      <c r="N307" s="57"/>
      <c r="O307" s="57"/>
      <c r="P307" s="57"/>
      <c r="Q307" s="57"/>
    </row>
    <row r="308" spans="1:17" ht="24.75" x14ac:dyDescent="0.25">
      <c r="A308" s="45"/>
      <c r="B308" s="55" t="s">
        <v>501</v>
      </c>
      <c r="C308" s="56" t="s">
        <v>499</v>
      </c>
      <c r="D308" s="56"/>
      <c r="E308" s="57"/>
      <c r="F308" s="57">
        <f t="shared" si="92"/>
        <v>625</v>
      </c>
      <c r="G308" s="58"/>
      <c r="H308" s="58"/>
      <c r="I308" s="57"/>
      <c r="J308" s="57"/>
      <c r="K308" s="57"/>
      <c r="L308" s="57"/>
      <c r="M308" s="57">
        <v>625</v>
      </c>
      <c r="N308" s="57"/>
      <c r="O308" s="57"/>
      <c r="P308" s="57"/>
      <c r="Q308" s="57"/>
    </row>
    <row r="309" spans="1:17" ht="26.25" x14ac:dyDescent="0.25">
      <c r="A309" s="45"/>
      <c r="B309" s="49" t="s">
        <v>474</v>
      </c>
      <c r="C309" s="50" t="s">
        <v>502</v>
      </c>
      <c r="D309" s="50"/>
      <c r="E309" s="48"/>
      <c r="F309" s="48">
        <f t="shared" si="92"/>
        <v>25692</v>
      </c>
      <c r="G309" s="54"/>
      <c r="H309" s="54"/>
      <c r="I309" s="48"/>
      <c r="J309" s="48"/>
      <c r="K309" s="48"/>
      <c r="L309" s="48"/>
      <c r="M309" s="48">
        <v>25692</v>
      </c>
      <c r="N309" s="48"/>
      <c r="O309" s="48"/>
      <c r="P309" s="48"/>
      <c r="Q309" s="48"/>
    </row>
    <row r="310" spans="1:17" x14ac:dyDescent="0.25">
      <c r="A310" s="45"/>
      <c r="B310" s="49" t="s">
        <v>475</v>
      </c>
      <c r="C310" s="50" t="s">
        <v>503</v>
      </c>
      <c r="D310" s="50"/>
      <c r="E310" s="48"/>
      <c r="F310" s="48">
        <f t="shared" si="92"/>
        <v>37400</v>
      </c>
      <c r="G310" s="54"/>
      <c r="H310" s="54"/>
      <c r="I310" s="48"/>
      <c r="J310" s="48"/>
      <c r="K310" s="48"/>
      <c r="L310" s="48"/>
      <c r="M310" s="48">
        <v>37400</v>
      </c>
      <c r="N310" s="48"/>
      <c r="O310" s="48"/>
      <c r="P310" s="48"/>
      <c r="Q310" s="48"/>
    </row>
    <row r="311" spans="1:17" x14ac:dyDescent="0.25">
      <c r="A311" s="45">
        <v>5239</v>
      </c>
      <c r="B311" s="23">
        <v>426800</v>
      </c>
      <c r="C311" s="9" t="s">
        <v>464</v>
      </c>
      <c r="D311" s="59" t="s">
        <v>467</v>
      </c>
      <c r="E311" s="36">
        <v>9387</v>
      </c>
      <c r="F311" s="36">
        <f>H311+K311+M311+P311</f>
        <v>12200</v>
      </c>
      <c r="G311" s="37">
        <f t="shared" si="91"/>
        <v>9570</v>
      </c>
      <c r="H311" s="37"/>
      <c r="I311" s="36"/>
      <c r="J311" s="36"/>
      <c r="K311" s="36"/>
      <c r="L311" s="36"/>
      <c r="M311" s="36">
        <f>9387+2813</f>
        <v>12200</v>
      </c>
      <c r="N311" s="36">
        <v>9570</v>
      </c>
      <c r="O311" s="36"/>
      <c r="P311" s="36"/>
      <c r="Q311" s="36"/>
    </row>
    <row r="312" spans="1:17" ht="26.25" x14ac:dyDescent="0.25">
      <c r="A312" s="45"/>
      <c r="B312" s="23" t="s">
        <v>465</v>
      </c>
      <c r="C312" s="9" t="s">
        <v>466</v>
      </c>
      <c r="D312" s="9" t="s">
        <v>463</v>
      </c>
      <c r="E312" s="36">
        <v>4452</v>
      </c>
      <c r="F312" s="36">
        <f>H312+K312+M312+P312</f>
        <v>3900</v>
      </c>
      <c r="G312" s="37">
        <f t="shared" si="91"/>
        <v>2940</v>
      </c>
      <c r="H312" s="37"/>
      <c r="I312" s="36"/>
      <c r="J312" s="36"/>
      <c r="K312" s="36"/>
      <c r="L312" s="36"/>
      <c r="M312" s="36">
        <v>3900</v>
      </c>
      <c r="N312" s="36">
        <f>12522-12-9570</f>
        <v>2940</v>
      </c>
      <c r="O312" s="36"/>
      <c r="P312" s="36"/>
      <c r="Q312" s="36"/>
    </row>
    <row r="313" spans="1:17" x14ac:dyDescent="0.25">
      <c r="A313" s="45">
        <v>5240</v>
      </c>
      <c r="B313" s="23">
        <v>426900</v>
      </c>
      <c r="C313" s="9" t="s">
        <v>270</v>
      </c>
      <c r="D313" s="9" t="s">
        <v>463</v>
      </c>
      <c r="E313" s="36">
        <v>8611</v>
      </c>
      <c r="F313" s="36">
        <f>H313+K313+M313+P313</f>
        <v>13577</v>
      </c>
      <c r="G313" s="37">
        <f t="shared" si="91"/>
        <v>5184</v>
      </c>
      <c r="H313" s="37">
        <f>1038+1200</f>
        <v>2238</v>
      </c>
      <c r="I313" s="36"/>
      <c r="J313" s="36"/>
      <c r="K313" s="36">
        <f>1000+5428+1</f>
        <v>6429</v>
      </c>
      <c r="L313" s="36">
        <v>1273</v>
      </c>
      <c r="M313" s="36">
        <f>4700+400+360+240-840-68</f>
        <v>4792</v>
      </c>
      <c r="N313" s="36">
        <f>3076-46</f>
        <v>3030</v>
      </c>
      <c r="O313" s="36"/>
      <c r="P313" s="352">
        <f>100+20-2</f>
        <v>118</v>
      </c>
      <c r="Q313" s="36">
        <v>881</v>
      </c>
    </row>
    <row r="314" spans="1:17" ht="51.75" hidden="1" x14ac:dyDescent="0.25">
      <c r="A314" s="480">
        <v>5241</v>
      </c>
      <c r="B314" s="476">
        <v>430000</v>
      </c>
      <c r="C314" s="18" t="s">
        <v>271</v>
      </c>
      <c r="D314" s="18"/>
      <c r="E314" s="19">
        <f>E315+E323+E325+E327+E331</f>
        <v>0</v>
      </c>
      <c r="F314" s="19"/>
      <c r="G314" s="19">
        <f t="shared" si="90"/>
        <v>0</v>
      </c>
      <c r="H314" s="19"/>
      <c r="I314" s="19">
        <f t="shared" ref="I314:Q314" si="93">I315+I323+I325+I327+I331</f>
        <v>0</v>
      </c>
      <c r="J314" s="19">
        <f t="shared" si="93"/>
        <v>0</v>
      </c>
      <c r="K314" s="19"/>
      <c r="L314" s="19">
        <f t="shared" si="93"/>
        <v>0</v>
      </c>
      <c r="M314" s="19"/>
      <c r="N314" s="19">
        <f t="shared" si="93"/>
        <v>0</v>
      </c>
      <c r="O314" s="19">
        <f t="shared" si="93"/>
        <v>0</v>
      </c>
      <c r="P314" s="19"/>
      <c r="Q314" s="19">
        <f t="shared" si="93"/>
        <v>0</v>
      </c>
    </row>
    <row r="315" spans="1:17" ht="39" hidden="1" x14ac:dyDescent="0.25">
      <c r="A315" s="480">
        <v>5242</v>
      </c>
      <c r="B315" s="476">
        <v>431000</v>
      </c>
      <c r="C315" s="18" t="s">
        <v>272</v>
      </c>
      <c r="D315" s="18"/>
      <c r="E315" s="19">
        <f>SUM(E316:E318)</f>
        <v>0</v>
      </c>
      <c r="F315" s="19"/>
      <c r="G315" s="19">
        <f t="shared" si="90"/>
        <v>0</v>
      </c>
      <c r="H315" s="19"/>
      <c r="I315" s="19">
        <f t="shared" ref="I315:Q315" si="94">SUM(I316:I318)</f>
        <v>0</v>
      </c>
      <c r="J315" s="19">
        <f t="shared" si="94"/>
        <v>0</v>
      </c>
      <c r="K315" s="19"/>
      <c r="L315" s="19">
        <f t="shared" si="94"/>
        <v>0</v>
      </c>
      <c r="M315" s="19"/>
      <c r="N315" s="19">
        <f t="shared" si="94"/>
        <v>0</v>
      </c>
      <c r="O315" s="19">
        <f t="shared" si="94"/>
        <v>0</v>
      </c>
      <c r="P315" s="19"/>
      <c r="Q315" s="19">
        <f t="shared" si="94"/>
        <v>0</v>
      </c>
    </row>
    <row r="316" spans="1:17" ht="26.25" hidden="1" x14ac:dyDescent="0.25">
      <c r="A316" s="45">
        <v>5243</v>
      </c>
      <c r="B316" s="23">
        <v>431100</v>
      </c>
      <c r="C316" s="9" t="s">
        <v>273</v>
      </c>
      <c r="D316" s="9"/>
      <c r="E316" s="36"/>
      <c r="F316" s="36"/>
      <c r="G316" s="37">
        <f t="shared" si="90"/>
        <v>0</v>
      </c>
      <c r="H316" s="37"/>
      <c r="I316" s="36"/>
      <c r="J316" s="36"/>
      <c r="K316" s="36"/>
      <c r="L316" s="36"/>
      <c r="M316" s="36"/>
      <c r="N316" s="36"/>
      <c r="O316" s="36"/>
      <c r="P316" s="36"/>
      <c r="Q316" s="36"/>
    </row>
    <row r="317" spans="1:17" hidden="1" x14ac:dyDescent="0.25">
      <c r="A317" s="45">
        <v>5244</v>
      </c>
      <c r="B317" s="23">
        <v>431200</v>
      </c>
      <c r="C317" s="9" t="s">
        <v>274</v>
      </c>
      <c r="D317" s="9"/>
      <c r="E317" s="36"/>
      <c r="F317" s="36"/>
      <c r="G317" s="37">
        <f t="shared" si="90"/>
        <v>0</v>
      </c>
      <c r="H317" s="37"/>
      <c r="I317" s="36"/>
      <c r="J317" s="36"/>
      <c r="K317" s="36"/>
      <c r="L317" s="36"/>
      <c r="M317" s="36"/>
      <c r="N317" s="36"/>
      <c r="O317" s="36"/>
      <c r="P317" s="36"/>
      <c r="Q317" s="36"/>
    </row>
    <row r="318" spans="1:17" ht="26.25" hidden="1" x14ac:dyDescent="0.25">
      <c r="A318" s="45">
        <v>5245</v>
      </c>
      <c r="B318" s="23">
        <v>431300</v>
      </c>
      <c r="C318" s="9" t="s">
        <v>275</v>
      </c>
      <c r="D318" s="9"/>
      <c r="E318" s="36"/>
      <c r="F318" s="36"/>
      <c r="G318" s="37">
        <f t="shared" si="90"/>
        <v>0</v>
      </c>
      <c r="H318" s="37"/>
      <c r="I318" s="36"/>
      <c r="J318" s="36"/>
      <c r="K318" s="36"/>
      <c r="L318" s="36"/>
      <c r="M318" s="36"/>
      <c r="N318" s="36"/>
      <c r="O318" s="36"/>
      <c r="P318" s="36"/>
      <c r="Q318" s="36"/>
    </row>
    <row r="319" spans="1:17" hidden="1" x14ac:dyDescent="0.25">
      <c r="A319" s="542" t="s">
        <v>0</v>
      </c>
      <c r="B319" s="543" t="s">
        <v>1</v>
      </c>
      <c r="C319" s="542" t="s">
        <v>2</v>
      </c>
      <c r="D319" s="474"/>
      <c r="E319" s="542" t="s">
        <v>217</v>
      </c>
      <c r="F319" s="474"/>
      <c r="G319" s="544" t="s">
        <v>198</v>
      </c>
      <c r="H319" s="544"/>
      <c r="I319" s="545"/>
      <c r="J319" s="545"/>
      <c r="K319" s="545"/>
      <c r="L319" s="545"/>
      <c r="M319" s="545"/>
      <c r="N319" s="545"/>
      <c r="O319" s="545"/>
      <c r="P319" s="545"/>
      <c r="Q319" s="545"/>
    </row>
    <row r="320" spans="1:17" hidden="1" x14ac:dyDescent="0.25">
      <c r="A320" s="542"/>
      <c r="B320" s="543"/>
      <c r="C320" s="542"/>
      <c r="D320" s="474"/>
      <c r="E320" s="542"/>
      <c r="F320" s="474"/>
      <c r="G320" s="544" t="s">
        <v>199</v>
      </c>
      <c r="H320" s="476"/>
      <c r="I320" s="544" t="s">
        <v>200</v>
      </c>
      <c r="J320" s="545"/>
      <c r="K320" s="545"/>
      <c r="L320" s="545"/>
      <c r="M320" s="545"/>
      <c r="N320" s="545"/>
      <c r="O320" s="544" t="s">
        <v>7</v>
      </c>
      <c r="P320" s="476"/>
      <c r="Q320" s="544" t="s">
        <v>8</v>
      </c>
    </row>
    <row r="321" spans="1:17" ht="39" hidden="1" x14ac:dyDescent="0.25">
      <c r="A321" s="542"/>
      <c r="B321" s="543"/>
      <c r="C321" s="542"/>
      <c r="D321" s="474"/>
      <c r="E321" s="542"/>
      <c r="F321" s="474"/>
      <c r="G321" s="545"/>
      <c r="H321" s="477"/>
      <c r="I321" s="476" t="s">
        <v>201</v>
      </c>
      <c r="J321" s="476" t="s">
        <v>10</v>
      </c>
      <c r="K321" s="476"/>
      <c r="L321" s="476" t="s">
        <v>11</v>
      </c>
      <c r="M321" s="476"/>
      <c r="N321" s="476" t="s">
        <v>12</v>
      </c>
      <c r="O321" s="545"/>
      <c r="P321" s="477"/>
      <c r="Q321" s="545"/>
    </row>
    <row r="322" spans="1:17" ht="26.25" hidden="1" x14ac:dyDescent="0.25">
      <c r="A322" s="475" t="s">
        <v>18</v>
      </c>
      <c r="B322" s="475" t="s">
        <v>19</v>
      </c>
      <c r="C322" s="475" t="s">
        <v>20</v>
      </c>
      <c r="D322" s="475"/>
      <c r="E322" s="475" t="s">
        <v>21</v>
      </c>
      <c r="F322" s="475"/>
      <c r="G322" s="475" t="s">
        <v>22</v>
      </c>
      <c r="H322" s="475"/>
      <c r="I322" s="475" t="s">
        <v>23</v>
      </c>
      <c r="J322" s="475" t="s">
        <v>24</v>
      </c>
      <c r="K322" s="475"/>
      <c r="L322" s="475" t="s">
        <v>25</v>
      </c>
      <c r="M322" s="475"/>
      <c r="N322" s="475" t="s">
        <v>26</v>
      </c>
      <c r="O322" s="475" t="s">
        <v>27</v>
      </c>
      <c r="P322" s="475"/>
      <c r="Q322" s="475" t="s">
        <v>28</v>
      </c>
    </row>
    <row r="323" spans="1:17" ht="39" hidden="1" x14ac:dyDescent="0.25">
      <c r="A323" s="480">
        <v>5246</v>
      </c>
      <c r="B323" s="476">
        <v>432000</v>
      </c>
      <c r="C323" s="18" t="s">
        <v>276</v>
      </c>
      <c r="D323" s="18"/>
      <c r="E323" s="19">
        <f>E324</f>
        <v>0</v>
      </c>
      <c r="F323" s="19"/>
      <c r="G323" s="19">
        <f t="shared" si="90"/>
        <v>0</v>
      </c>
      <c r="H323" s="19"/>
      <c r="I323" s="19">
        <f t="shared" ref="I323:Q323" si="95">I324</f>
        <v>0</v>
      </c>
      <c r="J323" s="19">
        <f t="shared" si="95"/>
        <v>0</v>
      </c>
      <c r="K323" s="19"/>
      <c r="L323" s="19">
        <f t="shared" si="95"/>
        <v>0</v>
      </c>
      <c r="M323" s="19"/>
      <c r="N323" s="19">
        <f t="shared" si="95"/>
        <v>0</v>
      </c>
      <c r="O323" s="19">
        <f t="shared" si="95"/>
        <v>0</v>
      </c>
      <c r="P323" s="19"/>
      <c r="Q323" s="19">
        <f t="shared" si="95"/>
        <v>0</v>
      </c>
    </row>
    <row r="324" spans="1:17" ht="26.25" hidden="1" x14ac:dyDescent="0.25">
      <c r="A324" s="45">
        <v>5247</v>
      </c>
      <c r="B324" s="23">
        <v>432100</v>
      </c>
      <c r="C324" s="9" t="s">
        <v>277</v>
      </c>
      <c r="D324" s="9"/>
      <c r="E324" s="36"/>
      <c r="F324" s="36"/>
      <c r="G324" s="37">
        <f t="shared" si="90"/>
        <v>0</v>
      </c>
      <c r="H324" s="37"/>
      <c r="I324" s="36"/>
      <c r="J324" s="36"/>
      <c r="K324" s="36"/>
      <c r="L324" s="36"/>
      <c r="M324" s="36"/>
      <c r="N324" s="36"/>
      <c r="O324" s="36"/>
      <c r="P324" s="36"/>
      <c r="Q324" s="36"/>
    </row>
    <row r="325" spans="1:17" ht="26.25" hidden="1" x14ac:dyDescent="0.25">
      <c r="A325" s="480">
        <v>5248</v>
      </c>
      <c r="B325" s="476">
        <v>433000</v>
      </c>
      <c r="C325" s="18" t="s">
        <v>278</v>
      </c>
      <c r="D325" s="18"/>
      <c r="E325" s="19">
        <f>E326</f>
        <v>0</v>
      </c>
      <c r="F325" s="19"/>
      <c r="G325" s="19">
        <f t="shared" si="90"/>
        <v>0</v>
      </c>
      <c r="H325" s="19"/>
      <c r="I325" s="19">
        <f t="shared" ref="I325:Q325" si="96">I326</f>
        <v>0</v>
      </c>
      <c r="J325" s="19">
        <f t="shared" si="96"/>
        <v>0</v>
      </c>
      <c r="K325" s="19"/>
      <c r="L325" s="19">
        <f t="shared" si="96"/>
        <v>0</v>
      </c>
      <c r="M325" s="19"/>
      <c r="N325" s="19">
        <f t="shared" si="96"/>
        <v>0</v>
      </c>
      <c r="O325" s="19">
        <f t="shared" si="96"/>
        <v>0</v>
      </c>
      <c r="P325" s="19"/>
      <c r="Q325" s="19">
        <f t="shared" si="96"/>
        <v>0</v>
      </c>
    </row>
    <row r="326" spans="1:17" hidden="1" x14ac:dyDescent="0.25">
      <c r="A326" s="45">
        <v>5249</v>
      </c>
      <c r="B326" s="23">
        <v>433100</v>
      </c>
      <c r="C326" s="9" t="s">
        <v>279</v>
      </c>
      <c r="D326" s="9"/>
      <c r="E326" s="36"/>
      <c r="F326" s="36"/>
      <c r="G326" s="37">
        <f t="shared" si="90"/>
        <v>0</v>
      </c>
      <c r="H326" s="37"/>
      <c r="I326" s="36"/>
      <c r="J326" s="36"/>
      <c r="K326" s="36"/>
      <c r="L326" s="36"/>
      <c r="M326" s="36"/>
      <c r="N326" s="36"/>
      <c r="O326" s="36"/>
      <c r="P326" s="36"/>
      <c r="Q326" s="36"/>
    </row>
    <row r="327" spans="1:17" ht="26.25" hidden="1" x14ac:dyDescent="0.25">
      <c r="A327" s="480">
        <v>5250</v>
      </c>
      <c r="B327" s="476">
        <v>434000</v>
      </c>
      <c r="C327" s="18" t="s">
        <v>280</v>
      </c>
      <c r="D327" s="18"/>
      <c r="E327" s="19">
        <f>SUM(E328:E330)</f>
        <v>0</v>
      </c>
      <c r="F327" s="19"/>
      <c r="G327" s="19">
        <f t="shared" si="90"/>
        <v>0</v>
      </c>
      <c r="H327" s="19"/>
      <c r="I327" s="19">
        <f t="shared" ref="I327:Q327" si="97">SUM(I328:I330)</f>
        <v>0</v>
      </c>
      <c r="J327" s="19">
        <f t="shared" si="97"/>
        <v>0</v>
      </c>
      <c r="K327" s="19"/>
      <c r="L327" s="19">
        <f t="shared" si="97"/>
        <v>0</v>
      </c>
      <c r="M327" s="19"/>
      <c r="N327" s="19">
        <f t="shared" si="97"/>
        <v>0</v>
      </c>
      <c r="O327" s="19">
        <f t="shared" si="97"/>
        <v>0</v>
      </c>
      <c r="P327" s="19"/>
      <c r="Q327" s="19">
        <f t="shared" si="97"/>
        <v>0</v>
      </c>
    </row>
    <row r="328" spans="1:17" hidden="1" x14ac:dyDescent="0.25">
      <c r="A328" s="45">
        <v>5251</v>
      </c>
      <c r="B328" s="23">
        <v>434100</v>
      </c>
      <c r="C328" s="9" t="s">
        <v>281</v>
      </c>
      <c r="D328" s="9"/>
      <c r="E328" s="36"/>
      <c r="F328" s="36"/>
      <c r="G328" s="37">
        <f t="shared" si="90"/>
        <v>0</v>
      </c>
      <c r="H328" s="37"/>
      <c r="I328" s="36"/>
      <c r="J328" s="36"/>
      <c r="K328" s="36"/>
      <c r="L328" s="36"/>
      <c r="M328" s="36"/>
      <c r="N328" s="36"/>
      <c r="O328" s="36"/>
      <c r="P328" s="36"/>
      <c r="Q328" s="36"/>
    </row>
    <row r="329" spans="1:17" hidden="1" x14ac:dyDescent="0.25">
      <c r="A329" s="45">
        <v>5252</v>
      </c>
      <c r="B329" s="23">
        <v>434200</v>
      </c>
      <c r="C329" s="9" t="s">
        <v>282</v>
      </c>
      <c r="D329" s="9"/>
      <c r="E329" s="36"/>
      <c r="F329" s="36"/>
      <c r="G329" s="37">
        <f t="shared" si="90"/>
        <v>0</v>
      </c>
      <c r="H329" s="37"/>
      <c r="I329" s="36"/>
      <c r="J329" s="36"/>
      <c r="K329" s="36"/>
      <c r="L329" s="36"/>
      <c r="M329" s="36"/>
      <c r="N329" s="36"/>
      <c r="O329" s="36"/>
      <c r="P329" s="36"/>
      <c r="Q329" s="36"/>
    </row>
    <row r="330" spans="1:17" hidden="1" x14ac:dyDescent="0.25">
      <c r="A330" s="45">
        <v>5253</v>
      </c>
      <c r="B330" s="23">
        <v>434300</v>
      </c>
      <c r="C330" s="9" t="s">
        <v>283</v>
      </c>
      <c r="D330" s="9"/>
      <c r="E330" s="36"/>
      <c r="F330" s="36"/>
      <c r="G330" s="37">
        <f t="shared" si="90"/>
        <v>0</v>
      </c>
      <c r="H330" s="37"/>
      <c r="I330" s="36"/>
      <c r="J330" s="36"/>
      <c r="K330" s="36"/>
      <c r="L330" s="36"/>
      <c r="M330" s="36"/>
      <c r="N330" s="36"/>
      <c r="O330" s="36"/>
      <c r="P330" s="36"/>
      <c r="Q330" s="36"/>
    </row>
    <row r="331" spans="1:17" ht="39" hidden="1" x14ac:dyDescent="0.25">
      <c r="A331" s="480">
        <v>5254</v>
      </c>
      <c r="B331" s="476">
        <v>435000</v>
      </c>
      <c r="C331" s="18" t="s">
        <v>284</v>
      </c>
      <c r="D331" s="18"/>
      <c r="E331" s="19">
        <f>E332</f>
        <v>0</v>
      </c>
      <c r="F331" s="19"/>
      <c r="G331" s="19">
        <f t="shared" si="90"/>
        <v>0</v>
      </c>
      <c r="H331" s="19"/>
      <c r="I331" s="19">
        <f t="shared" ref="I331:Q331" si="98">I332</f>
        <v>0</v>
      </c>
      <c r="J331" s="19">
        <f t="shared" si="98"/>
        <v>0</v>
      </c>
      <c r="K331" s="19"/>
      <c r="L331" s="19">
        <f t="shared" si="98"/>
        <v>0</v>
      </c>
      <c r="M331" s="19"/>
      <c r="N331" s="19">
        <f t="shared" si="98"/>
        <v>0</v>
      </c>
      <c r="O331" s="19">
        <f t="shared" si="98"/>
        <v>0</v>
      </c>
      <c r="P331" s="19"/>
      <c r="Q331" s="19">
        <f t="shared" si="98"/>
        <v>0</v>
      </c>
    </row>
    <row r="332" spans="1:17" ht="26.25" hidden="1" x14ac:dyDescent="0.25">
      <c r="A332" s="45">
        <v>5255</v>
      </c>
      <c r="B332" s="23">
        <v>435100</v>
      </c>
      <c r="C332" s="9" t="s">
        <v>285</v>
      </c>
      <c r="D332" s="9"/>
      <c r="E332" s="36"/>
      <c r="F332" s="36"/>
      <c r="G332" s="37">
        <f t="shared" si="90"/>
        <v>0</v>
      </c>
      <c r="H332" s="37"/>
      <c r="I332" s="36"/>
      <c r="J332" s="36"/>
      <c r="K332" s="36"/>
      <c r="L332" s="36"/>
      <c r="M332" s="36"/>
      <c r="N332" s="36"/>
      <c r="O332" s="36"/>
      <c r="P332" s="36"/>
      <c r="Q332" s="36"/>
    </row>
    <row r="333" spans="1:17" ht="51.75" x14ac:dyDescent="0.25">
      <c r="A333" s="480">
        <v>5256</v>
      </c>
      <c r="B333" s="476">
        <v>440000</v>
      </c>
      <c r="C333" s="18" t="s">
        <v>286</v>
      </c>
      <c r="D333" s="18"/>
      <c r="E333" s="19">
        <f>E334+E344+E355+E357</f>
        <v>275</v>
      </c>
      <c r="F333" s="19">
        <f t="shared" ref="F333:Q333" si="99">F334+F344+F355+F357</f>
        <v>681</v>
      </c>
      <c r="G333" s="19">
        <f t="shared" si="99"/>
        <v>251</v>
      </c>
      <c r="H333" s="19">
        <f t="shared" si="99"/>
        <v>0</v>
      </c>
      <c r="I333" s="19">
        <f t="shared" si="99"/>
        <v>0</v>
      </c>
      <c r="J333" s="19">
        <f t="shared" si="99"/>
        <v>0</v>
      </c>
      <c r="K333" s="19">
        <f t="shared" si="99"/>
        <v>0</v>
      </c>
      <c r="L333" s="19">
        <f t="shared" si="99"/>
        <v>0</v>
      </c>
      <c r="M333" s="19">
        <f t="shared" si="99"/>
        <v>0</v>
      </c>
      <c r="N333" s="19">
        <f t="shared" si="99"/>
        <v>0</v>
      </c>
      <c r="O333" s="19">
        <f t="shared" si="99"/>
        <v>0</v>
      </c>
      <c r="P333" s="19">
        <f t="shared" si="99"/>
        <v>681</v>
      </c>
      <c r="Q333" s="19">
        <f t="shared" si="99"/>
        <v>251</v>
      </c>
    </row>
    <row r="334" spans="1:17" ht="26.25" x14ac:dyDescent="0.25">
      <c r="A334" s="480">
        <v>5257</v>
      </c>
      <c r="B334" s="476">
        <v>441000</v>
      </c>
      <c r="C334" s="18" t="s">
        <v>287</v>
      </c>
      <c r="D334" s="18"/>
      <c r="E334" s="19">
        <f>SUM(E335:E343)</f>
        <v>275</v>
      </c>
      <c r="F334" s="19">
        <f t="shared" ref="F334:Q334" si="100">SUM(F335:F343)</f>
        <v>681</v>
      </c>
      <c r="G334" s="19">
        <f t="shared" si="100"/>
        <v>251</v>
      </c>
      <c r="H334" s="19">
        <f t="shared" si="100"/>
        <v>0</v>
      </c>
      <c r="I334" s="19">
        <f t="shared" si="100"/>
        <v>0</v>
      </c>
      <c r="J334" s="19">
        <f t="shared" si="100"/>
        <v>0</v>
      </c>
      <c r="K334" s="19">
        <f t="shared" si="100"/>
        <v>0</v>
      </c>
      <c r="L334" s="19">
        <f t="shared" si="100"/>
        <v>0</v>
      </c>
      <c r="M334" s="19">
        <f t="shared" si="100"/>
        <v>0</v>
      </c>
      <c r="N334" s="19">
        <f t="shared" si="100"/>
        <v>0</v>
      </c>
      <c r="O334" s="19">
        <f t="shared" si="100"/>
        <v>0</v>
      </c>
      <c r="P334" s="19">
        <f t="shared" si="100"/>
        <v>681</v>
      </c>
      <c r="Q334" s="19">
        <f t="shared" si="100"/>
        <v>251</v>
      </c>
    </row>
    <row r="335" spans="1:17" ht="26.25" hidden="1" x14ac:dyDescent="0.25">
      <c r="A335" s="45">
        <v>5258</v>
      </c>
      <c r="B335" s="23">
        <v>441100</v>
      </c>
      <c r="C335" s="9" t="s">
        <v>288</v>
      </c>
      <c r="D335" s="9"/>
      <c r="E335" s="36"/>
      <c r="F335" s="36"/>
      <c r="G335" s="37">
        <f t="shared" si="90"/>
        <v>0</v>
      </c>
      <c r="H335" s="37"/>
      <c r="I335" s="36"/>
      <c r="J335" s="36"/>
      <c r="K335" s="36"/>
      <c r="L335" s="36"/>
      <c r="M335" s="36"/>
      <c r="N335" s="36"/>
      <c r="O335" s="36"/>
      <c r="P335" s="36"/>
      <c r="Q335" s="36"/>
    </row>
    <row r="336" spans="1:17" ht="26.25" hidden="1" x14ac:dyDescent="0.25">
      <c r="A336" s="45">
        <v>5259</v>
      </c>
      <c r="B336" s="23">
        <v>441200</v>
      </c>
      <c r="C336" s="9" t="s">
        <v>289</v>
      </c>
      <c r="D336" s="9"/>
      <c r="E336" s="36"/>
      <c r="F336" s="36"/>
      <c r="G336" s="37">
        <f t="shared" si="90"/>
        <v>0</v>
      </c>
      <c r="H336" s="37"/>
      <c r="I336" s="36"/>
      <c r="J336" s="36"/>
      <c r="K336" s="36"/>
      <c r="L336" s="36"/>
      <c r="M336" s="36"/>
      <c r="N336" s="36"/>
      <c r="O336" s="36"/>
      <c r="P336" s="36"/>
      <c r="Q336" s="36"/>
    </row>
    <row r="337" spans="1:17" ht="26.25" hidden="1" x14ac:dyDescent="0.25">
      <c r="A337" s="45">
        <v>5260</v>
      </c>
      <c r="B337" s="23">
        <v>441300</v>
      </c>
      <c r="C337" s="9" t="s">
        <v>290</v>
      </c>
      <c r="D337" s="9"/>
      <c r="E337" s="36"/>
      <c r="F337" s="36"/>
      <c r="G337" s="37">
        <f t="shared" si="90"/>
        <v>0</v>
      </c>
      <c r="H337" s="37"/>
      <c r="I337" s="36"/>
      <c r="J337" s="36"/>
      <c r="K337" s="36"/>
      <c r="L337" s="36"/>
      <c r="M337" s="36"/>
      <c r="N337" s="36"/>
      <c r="O337" s="36"/>
      <c r="P337" s="36"/>
      <c r="Q337" s="36"/>
    </row>
    <row r="338" spans="1:17" ht="26.25" hidden="1" x14ac:dyDescent="0.25">
      <c r="A338" s="45">
        <v>5261</v>
      </c>
      <c r="B338" s="23">
        <v>441400</v>
      </c>
      <c r="C338" s="9" t="s">
        <v>291</v>
      </c>
      <c r="D338" s="9"/>
      <c r="E338" s="36"/>
      <c r="F338" s="36"/>
      <c r="G338" s="37">
        <f t="shared" si="90"/>
        <v>0</v>
      </c>
      <c r="H338" s="37"/>
      <c r="I338" s="36"/>
      <c r="J338" s="36"/>
      <c r="K338" s="36"/>
      <c r="L338" s="36"/>
      <c r="M338" s="36"/>
      <c r="N338" s="36"/>
      <c r="O338" s="36"/>
      <c r="P338" s="36"/>
      <c r="Q338" s="36"/>
    </row>
    <row r="339" spans="1:17" ht="26.25" x14ac:dyDescent="0.25">
      <c r="A339" s="45">
        <v>5262</v>
      </c>
      <c r="B339" s="23">
        <v>441500</v>
      </c>
      <c r="C339" s="9" t="s">
        <v>292</v>
      </c>
      <c r="D339" s="9"/>
      <c r="E339" s="36">
        <v>275</v>
      </c>
      <c r="F339" s="36">
        <f>H339+K339+M339+P339</f>
        <v>681</v>
      </c>
      <c r="G339" s="37">
        <f t="shared" ref="G339" si="101">SUM(I339:Q339)-K339-M339-P339</f>
        <v>251</v>
      </c>
      <c r="H339" s="37"/>
      <c r="I339" s="36"/>
      <c r="J339" s="36"/>
      <c r="K339" s="36"/>
      <c r="L339" s="36"/>
      <c r="M339" s="36"/>
      <c r="N339" s="36"/>
      <c r="O339" s="36"/>
      <c r="P339" s="36">
        <v>681</v>
      </c>
      <c r="Q339" s="36">
        <v>251</v>
      </c>
    </row>
    <row r="340" spans="1:17" ht="26.25" hidden="1" x14ac:dyDescent="0.25">
      <c r="A340" s="45">
        <v>5263</v>
      </c>
      <c r="B340" s="23">
        <v>441600</v>
      </c>
      <c r="C340" s="9" t="s">
        <v>293</v>
      </c>
      <c r="D340" s="9"/>
      <c r="E340" s="36"/>
      <c r="F340" s="36"/>
      <c r="G340" s="37">
        <f t="shared" si="90"/>
        <v>0</v>
      </c>
      <c r="H340" s="37"/>
      <c r="I340" s="36"/>
      <c r="J340" s="36"/>
      <c r="K340" s="36"/>
      <c r="L340" s="36"/>
      <c r="M340" s="36"/>
      <c r="N340" s="36"/>
      <c r="O340" s="36"/>
      <c r="P340" s="36"/>
      <c r="Q340" s="36"/>
    </row>
    <row r="341" spans="1:17" ht="26.25" hidden="1" x14ac:dyDescent="0.25">
      <c r="A341" s="45">
        <v>5264</v>
      </c>
      <c r="B341" s="23">
        <v>441700</v>
      </c>
      <c r="C341" s="9" t="s">
        <v>294</v>
      </c>
      <c r="D341" s="9"/>
      <c r="E341" s="36"/>
      <c r="F341" s="36"/>
      <c r="G341" s="37">
        <f t="shared" si="90"/>
        <v>0</v>
      </c>
      <c r="H341" s="37"/>
      <c r="I341" s="36"/>
      <c r="J341" s="36"/>
      <c r="K341" s="36"/>
      <c r="L341" s="36"/>
      <c r="M341" s="36"/>
      <c r="N341" s="36"/>
      <c r="O341" s="36"/>
      <c r="P341" s="36"/>
      <c r="Q341" s="36"/>
    </row>
    <row r="342" spans="1:17" ht="26.25" hidden="1" x14ac:dyDescent="0.25">
      <c r="A342" s="45">
        <v>5265</v>
      </c>
      <c r="B342" s="23">
        <v>441800</v>
      </c>
      <c r="C342" s="9" t="s">
        <v>295</v>
      </c>
      <c r="D342" s="9"/>
      <c r="E342" s="36"/>
      <c r="F342" s="36"/>
      <c r="G342" s="37">
        <f t="shared" si="90"/>
        <v>0</v>
      </c>
      <c r="H342" s="37"/>
      <c r="I342" s="36"/>
      <c r="J342" s="36"/>
      <c r="K342" s="36"/>
      <c r="L342" s="36"/>
      <c r="M342" s="36"/>
      <c r="N342" s="36"/>
      <c r="O342" s="36"/>
      <c r="P342" s="36"/>
      <c r="Q342" s="36"/>
    </row>
    <row r="343" spans="1:17" ht="26.25" hidden="1" x14ac:dyDescent="0.25">
      <c r="A343" s="45">
        <v>5266</v>
      </c>
      <c r="B343" s="23">
        <v>441900</v>
      </c>
      <c r="C343" s="9" t="s">
        <v>99</v>
      </c>
      <c r="D343" s="9"/>
      <c r="E343" s="36"/>
      <c r="F343" s="36"/>
      <c r="G343" s="37">
        <f t="shared" si="90"/>
        <v>0</v>
      </c>
      <c r="H343" s="37"/>
      <c r="I343" s="36"/>
      <c r="J343" s="36"/>
      <c r="K343" s="36"/>
      <c r="L343" s="36"/>
      <c r="M343" s="36"/>
      <c r="N343" s="36"/>
      <c r="O343" s="36"/>
      <c r="P343" s="36"/>
      <c r="Q343" s="36"/>
    </row>
    <row r="344" spans="1:17" ht="26.25" hidden="1" x14ac:dyDescent="0.25">
      <c r="A344" s="480">
        <v>5267</v>
      </c>
      <c r="B344" s="476">
        <v>442000</v>
      </c>
      <c r="C344" s="18" t="s">
        <v>296</v>
      </c>
      <c r="D344" s="18"/>
      <c r="E344" s="19">
        <f>SUM(E345:E354)</f>
        <v>0</v>
      </c>
      <c r="F344" s="19"/>
      <c r="G344" s="19">
        <f t="shared" si="90"/>
        <v>0</v>
      </c>
      <c r="H344" s="19"/>
      <c r="I344" s="19">
        <f t="shared" ref="I344:Q344" si="102">SUM(I345:I354)</f>
        <v>0</v>
      </c>
      <c r="J344" s="19">
        <f t="shared" si="102"/>
        <v>0</v>
      </c>
      <c r="K344" s="19"/>
      <c r="L344" s="19">
        <f t="shared" si="102"/>
        <v>0</v>
      </c>
      <c r="M344" s="19"/>
      <c r="N344" s="19">
        <f t="shared" si="102"/>
        <v>0</v>
      </c>
      <c r="O344" s="19">
        <f t="shared" si="102"/>
        <v>0</v>
      </c>
      <c r="P344" s="19"/>
      <c r="Q344" s="19">
        <f t="shared" si="102"/>
        <v>0</v>
      </c>
    </row>
    <row r="345" spans="1:17" ht="51.75" hidden="1" x14ac:dyDescent="0.25">
      <c r="A345" s="45">
        <v>5268</v>
      </c>
      <c r="B345" s="23">
        <v>442100</v>
      </c>
      <c r="C345" s="9" t="s">
        <v>297</v>
      </c>
      <c r="D345" s="9"/>
      <c r="E345" s="36"/>
      <c r="F345" s="36"/>
      <c r="G345" s="37">
        <f t="shared" si="90"/>
        <v>0</v>
      </c>
      <c r="H345" s="37"/>
      <c r="I345" s="36"/>
      <c r="J345" s="36"/>
      <c r="K345" s="36"/>
      <c r="L345" s="36"/>
      <c r="M345" s="36"/>
      <c r="N345" s="36"/>
      <c r="O345" s="36"/>
      <c r="P345" s="36"/>
      <c r="Q345" s="36"/>
    </row>
    <row r="346" spans="1:17" hidden="1" x14ac:dyDescent="0.25">
      <c r="A346" s="45">
        <v>5269</v>
      </c>
      <c r="B346" s="23">
        <v>442200</v>
      </c>
      <c r="C346" s="9" t="s">
        <v>298</v>
      </c>
      <c r="D346" s="9"/>
      <c r="E346" s="36"/>
      <c r="F346" s="36"/>
      <c r="G346" s="37">
        <f t="shared" si="90"/>
        <v>0</v>
      </c>
      <c r="H346" s="37"/>
      <c r="I346" s="36"/>
      <c r="J346" s="36"/>
      <c r="K346" s="36"/>
      <c r="L346" s="36"/>
      <c r="M346" s="36"/>
      <c r="N346" s="36"/>
      <c r="O346" s="36"/>
      <c r="P346" s="36"/>
      <c r="Q346" s="36"/>
    </row>
    <row r="347" spans="1:17" ht="26.25" hidden="1" x14ac:dyDescent="0.25">
      <c r="A347" s="45">
        <v>5270</v>
      </c>
      <c r="B347" s="23">
        <v>442300</v>
      </c>
      <c r="C347" s="9" t="s">
        <v>299</v>
      </c>
      <c r="D347" s="9"/>
      <c r="E347" s="36"/>
      <c r="F347" s="36"/>
      <c r="G347" s="37">
        <f t="shared" si="90"/>
        <v>0</v>
      </c>
      <c r="H347" s="37"/>
      <c r="I347" s="36"/>
      <c r="J347" s="36"/>
      <c r="K347" s="36"/>
      <c r="L347" s="36"/>
      <c r="M347" s="36"/>
      <c r="N347" s="36"/>
      <c r="O347" s="36"/>
      <c r="P347" s="36"/>
      <c r="Q347" s="36"/>
    </row>
    <row r="348" spans="1:17" ht="26.25" hidden="1" x14ac:dyDescent="0.25">
      <c r="A348" s="45">
        <v>5271</v>
      </c>
      <c r="B348" s="23">
        <v>442400</v>
      </c>
      <c r="C348" s="9" t="s">
        <v>300</v>
      </c>
      <c r="D348" s="9"/>
      <c r="E348" s="36"/>
      <c r="F348" s="36"/>
      <c r="G348" s="37">
        <f t="shared" si="90"/>
        <v>0</v>
      </c>
      <c r="H348" s="37"/>
      <c r="I348" s="36"/>
      <c r="J348" s="36"/>
      <c r="K348" s="36"/>
      <c r="L348" s="36"/>
      <c r="M348" s="36"/>
      <c r="N348" s="36"/>
      <c r="O348" s="36"/>
      <c r="P348" s="36"/>
      <c r="Q348" s="36"/>
    </row>
    <row r="349" spans="1:17" hidden="1" x14ac:dyDescent="0.25">
      <c r="A349" s="542" t="s">
        <v>0</v>
      </c>
      <c r="B349" s="543" t="s">
        <v>1</v>
      </c>
      <c r="C349" s="542" t="s">
        <v>2</v>
      </c>
      <c r="D349" s="474"/>
      <c r="E349" s="542" t="s">
        <v>217</v>
      </c>
      <c r="F349" s="474"/>
      <c r="G349" s="544" t="s">
        <v>198</v>
      </c>
      <c r="H349" s="544"/>
      <c r="I349" s="545"/>
      <c r="J349" s="545"/>
      <c r="K349" s="545"/>
      <c r="L349" s="545"/>
      <c r="M349" s="545"/>
      <c r="N349" s="545"/>
      <c r="O349" s="545"/>
      <c r="P349" s="545"/>
      <c r="Q349" s="545"/>
    </row>
    <row r="350" spans="1:17" hidden="1" x14ac:dyDescent="0.25">
      <c r="A350" s="542"/>
      <c r="B350" s="543"/>
      <c r="C350" s="542"/>
      <c r="D350" s="474"/>
      <c r="E350" s="542"/>
      <c r="F350" s="474"/>
      <c r="G350" s="544" t="s">
        <v>199</v>
      </c>
      <c r="H350" s="476"/>
      <c r="I350" s="544" t="s">
        <v>200</v>
      </c>
      <c r="J350" s="545"/>
      <c r="K350" s="545"/>
      <c r="L350" s="545"/>
      <c r="M350" s="545"/>
      <c r="N350" s="545"/>
      <c r="O350" s="544" t="s">
        <v>7</v>
      </c>
      <c r="P350" s="476"/>
      <c r="Q350" s="544" t="s">
        <v>8</v>
      </c>
    </row>
    <row r="351" spans="1:17" ht="39" hidden="1" x14ac:dyDescent="0.25">
      <c r="A351" s="542"/>
      <c r="B351" s="543"/>
      <c r="C351" s="542"/>
      <c r="D351" s="474"/>
      <c r="E351" s="542"/>
      <c r="F351" s="474"/>
      <c r="G351" s="545"/>
      <c r="H351" s="477"/>
      <c r="I351" s="476" t="s">
        <v>201</v>
      </c>
      <c r="J351" s="476" t="s">
        <v>10</v>
      </c>
      <c r="K351" s="476"/>
      <c r="L351" s="476" t="s">
        <v>11</v>
      </c>
      <c r="M351" s="476"/>
      <c r="N351" s="476" t="s">
        <v>12</v>
      </c>
      <c r="O351" s="545"/>
      <c r="P351" s="477"/>
      <c r="Q351" s="545"/>
    </row>
    <row r="352" spans="1:17" ht="26.25" hidden="1" x14ac:dyDescent="0.25">
      <c r="A352" s="475" t="s">
        <v>18</v>
      </c>
      <c r="B352" s="475" t="s">
        <v>19</v>
      </c>
      <c r="C352" s="475" t="s">
        <v>20</v>
      </c>
      <c r="D352" s="475"/>
      <c r="E352" s="475" t="s">
        <v>21</v>
      </c>
      <c r="F352" s="475"/>
      <c r="G352" s="475" t="s">
        <v>22</v>
      </c>
      <c r="H352" s="475"/>
      <c r="I352" s="475" t="s">
        <v>23</v>
      </c>
      <c r="J352" s="475" t="s">
        <v>24</v>
      </c>
      <c r="K352" s="475"/>
      <c r="L352" s="475" t="s">
        <v>25</v>
      </c>
      <c r="M352" s="475"/>
      <c r="N352" s="475" t="s">
        <v>26</v>
      </c>
      <c r="O352" s="475" t="s">
        <v>27</v>
      </c>
      <c r="P352" s="475"/>
      <c r="Q352" s="475" t="s">
        <v>28</v>
      </c>
    </row>
    <row r="353" spans="1:17" ht="26.25" hidden="1" x14ac:dyDescent="0.25">
      <c r="A353" s="45">
        <v>5272</v>
      </c>
      <c r="B353" s="23">
        <v>442500</v>
      </c>
      <c r="C353" s="9" t="s">
        <v>301</v>
      </c>
      <c r="D353" s="9"/>
      <c r="E353" s="36"/>
      <c r="F353" s="36"/>
      <c r="G353" s="37">
        <f t="shared" si="90"/>
        <v>0</v>
      </c>
      <c r="H353" s="37"/>
      <c r="I353" s="36"/>
      <c r="J353" s="36"/>
      <c r="K353" s="36"/>
      <c r="L353" s="36"/>
      <c r="M353" s="36"/>
      <c r="N353" s="36"/>
      <c r="O353" s="36"/>
      <c r="P353" s="36"/>
      <c r="Q353" s="36"/>
    </row>
    <row r="354" spans="1:17" ht="26.25" hidden="1" x14ac:dyDescent="0.25">
      <c r="A354" s="45">
        <v>5273</v>
      </c>
      <c r="B354" s="23">
        <v>442600</v>
      </c>
      <c r="C354" s="9" t="s">
        <v>302</v>
      </c>
      <c r="D354" s="9"/>
      <c r="E354" s="36"/>
      <c r="F354" s="36"/>
      <c r="G354" s="37">
        <f t="shared" si="90"/>
        <v>0</v>
      </c>
      <c r="H354" s="37"/>
      <c r="I354" s="36"/>
      <c r="J354" s="36"/>
      <c r="K354" s="36"/>
      <c r="L354" s="36"/>
      <c r="M354" s="36"/>
      <c r="N354" s="36"/>
      <c r="O354" s="36"/>
      <c r="P354" s="36"/>
      <c r="Q354" s="36"/>
    </row>
    <row r="355" spans="1:17" ht="26.25" hidden="1" x14ac:dyDescent="0.25">
      <c r="A355" s="480">
        <v>5274</v>
      </c>
      <c r="B355" s="476">
        <v>443000</v>
      </c>
      <c r="C355" s="18" t="s">
        <v>303</v>
      </c>
      <c r="D355" s="18"/>
      <c r="E355" s="19">
        <f>E356</f>
        <v>0</v>
      </c>
      <c r="F355" s="19"/>
      <c r="G355" s="19">
        <f t="shared" si="90"/>
        <v>0</v>
      </c>
      <c r="H355" s="19"/>
      <c r="I355" s="19">
        <f t="shared" ref="I355:Q355" si="103">I356</f>
        <v>0</v>
      </c>
      <c r="J355" s="19">
        <f t="shared" si="103"/>
        <v>0</v>
      </c>
      <c r="K355" s="19"/>
      <c r="L355" s="19">
        <f t="shared" si="103"/>
        <v>0</v>
      </c>
      <c r="M355" s="19"/>
      <c r="N355" s="19">
        <f t="shared" si="103"/>
        <v>0</v>
      </c>
      <c r="O355" s="19">
        <f t="shared" si="103"/>
        <v>0</v>
      </c>
      <c r="P355" s="19"/>
      <c r="Q355" s="19">
        <f t="shared" si="103"/>
        <v>0</v>
      </c>
    </row>
    <row r="356" spans="1:17" hidden="1" x14ac:dyDescent="0.25">
      <c r="A356" s="45">
        <v>5275</v>
      </c>
      <c r="B356" s="23">
        <v>443100</v>
      </c>
      <c r="C356" s="9" t="s">
        <v>304</v>
      </c>
      <c r="D356" s="9"/>
      <c r="E356" s="36"/>
      <c r="F356" s="36"/>
      <c r="G356" s="37">
        <f t="shared" si="90"/>
        <v>0</v>
      </c>
      <c r="H356" s="37"/>
      <c r="I356" s="36"/>
      <c r="J356" s="36"/>
      <c r="K356" s="36"/>
      <c r="L356" s="36"/>
      <c r="M356" s="36"/>
      <c r="N356" s="36"/>
      <c r="O356" s="36"/>
      <c r="P356" s="36"/>
      <c r="Q356" s="36"/>
    </row>
    <row r="357" spans="1:17" ht="39" hidden="1" x14ac:dyDescent="0.25">
      <c r="A357" s="480">
        <v>5276</v>
      </c>
      <c r="B357" s="476">
        <v>444000</v>
      </c>
      <c r="C357" s="18" t="s">
        <v>305</v>
      </c>
      <c r="D357" s="18"/>
      <c r="E357" s="19">
        <f>SUM(E358:E360)</f>
        <v>0</v>
      </c>
      <c r="F357" s="19"/>
      <c r="G357" s="19">
        <f t="shared" si="90"/>
        <v>0</v>
      </c>
      <c r="H357" s="19"/>
      <c r="I357" s="19">
        <f t="shared" ref="I357:Q357" si="104">SUM(I358:I360)</f>
        <v>0</v>
      </c>
      <c r="J357" s="19">
        <f t="shared" si="104"/>
        <v>0</v>
      </c>
      <c r="K357" s="19"/>
      <c r="L357" s="19">
        <f t="shared" si="104"/>
        <v>0</v>
      </c>
      <c r="M357" s="19"/>
      <c r="N357" s="19">
        <f t="shared" si="104"/>
        <v>0</v>
      </c>
      <c r="O357" s="19">
        <f t="shared" si="104"/>
        <v>0</v>
      </c>
      <c r="P357" s="19"/>
      <c r="Q357" s="19">
        <f t="shared" si="104"/>
        <v>0</v>
      </c>
    </row>
    <row r="358" spans="1:17" hidden="1" x14ac:dyDescent="0.25">
      <c r="A358" s="45">
        <v>5277</v>
      </c>
      <c r="B358" s="23">
        <v>444100</v>
      </c>
      <c r="C358" s="9" t="s">
        <v>306</v>
      </c>
      <c r="D358" s="9"/>
      <c r="E358" s="36"/>
      <c r="F358" s="36"/>
      <c r="G358" s="37">
        <f t="shared" si="90"/>
        <v>0</v>
      </c>
      <c r="H358" s="37"/>
      <c r="I358" s="36"/>
      <c r="J358" s="36"/>
      <c r="K358" s="36"/>
      <c r="L358" s="36"/>
      <c r="M358" s="36"/>
      <c r="N358" s="36"/>
      <c r="O358" s="36"/>
      <c r="P358" s="36"/>
      <c r="Q358" s="36"/>
    </row>
    <row r="359" spans="1:17" hidden="1" x14ac:dyDescent="0.25">
      <c r="A359" s="45">
        <v>5278</v>
      </c>
      <c r="B359" s="23">
        <v>444200</v>
      </c>
      <c r="C359" s="9" t="s">
        <v>307</v>
      </c>
      <c r="D359" s="9"/>
      <c r="E359" s="36"/>
      <c r="F359" s="36"/>
      <c r="G359" s="37">
        <f t="shared" si="90"/>
        <v>0</v>
      </c>
      <c r="H359" s="37"/>
      <c r="I359" s="36"/>
      <c r="J359" s="36"/>
      <c r="K359" s="36"/>
      <c r="L359" s="36"/>
      <c r="M359" s="36"/>
      <c r="N359" s="36"/>
      <c r="O359" s="36"/>
      <c r="P359" s="36"/>
      <c r="Q359" s="36"/>
    </row>
    <row r="360" spans="1:17" ht="26.25" hidden="1" x14ac:dyDescent="0.25">
      <c r="A360" s="45">
        <v>5279</v>
      </c>
      <c r="B360" s="23">
        <v>444300</v>
      </c>
      <c r="C360" s="9" t="s">
        <v>308</v>
      </c>
      <c r="D360" s="9"/>
      <c r="E360" s="36"/>
      <c r="F360" s="36"/>
      <c r="G360" s="37">
        <f t="shared" si="90"/>
        <v>0</v>
      </c>
      <c r="H360" s="37"/>
      <c r="I360" s="36"/>
      <c r="J360" s="36"/>
      <c r="K360" s="36"/>
      <c r="L360" s="36"/>
      <c r="M360" s="36"/>
      <c r="N360" s="36"/>
      <c r="O360" s="36"/>
      <c r="P360" s="36"/>
      <c r="Q360" s="36"/>
    </row>
    <row r="361" spans="1:17" ht="26.25" hidden="1" x14ac:dyDescent="0.25">
      <c r="A361" s="480">
        <v>5280</v>
      </c>
      <c r="B361" s="476">
        <v>450000</v>
      </c>
      <c r="C361" s="18" t="s">
        <v>309</v>
      </c>
      <c r="D361" s="18"/>
      <c r="E361" s="19">
        <f>E362+E365+E368+E371</f>
        <v>0</v>
      </c>
      <c r="F361" s="19"/>
      <c r="G361" s="19">
        <f t="shared" si="90"/>
        <v>0</v>
      </c>
      <c r="H361" s="19"/>
      <c r="I361" s="19">
        <f t="shared" ref="I361:Q361" si="105">I362+I365+I368+I371</f>
        <v>0</v>
      </c>
      <c r="J361" s="19">
        <f t="shared" si="105"/>
        <v>0</v>
      </c>
      <c r="K361" s="19"/>
      <c r="L361" s="19">
        <f t="shared" si="105"/>
        <v>0</v>
      </c>
      <c r="M361" s="19"/>
      <c r="N361" s="19">
        <f t="shared" si="105"/>
        <v>0</v>
      </c>
      <c r="O361" s="19">
        <f t="shared" si="105"/>
        <v>0</v>
      </c>
      <c r="P361" s="19"/>
      <c r="Q361" s="19">
        <f t="shared" si="105"/>
        <v>0</v>
      </c>
    </row>
    <row r="362" spans="1:17" ht="64.5" hidden="1" x14ac:dyDescent="0.25">
      <c r="A362" s="480">
        <v>5281</v>
      </c>
      <c r="B362" s="476">
        <v>451000</v>
      </c>
      <c r="C362" s="18" t="s">
        <v>310</v>
      </c>
      <c r="D362" s="18"/>
      <c r="E362" s="19">
        <f>E363+E364</f>
        <v>0</v>
      </c>
      <c r="F362" s="19"/>
      <c r="G362" s="19">
        <f t="shared" si="90"/>
        <v>0</v>
      </c>
      <c r="H362" s="19"/>
      <c r="I362" s="19">
        <f t="shared" ref="I362:Q362" si="106">I363+I364</f>
        <v>0</v>
      </c>
      <c r="J362" s="19">
        <f t="shared" si="106"/>
        <v>0</v>
      </c>
      <c r="K362" s="19"/>
      <c r="L362" s="19">
        <f t="shared" si="106"/>
        <v>0</v>
      </c>
      <c r="M362" s="19"/>
      <c r="N362" s="19">
        <f t="shared" si="106"/>
        <v>0</v>
      </c>
      <c r="O362" s="19">
        <f t="shared" si="106"/>
        <v>0</v>
      </c>
      <c r="P362" s="19"/>
      <c r="Q362" s="19">
        <f t="shared" si="106"/>
        <v>0</v>
      </c>
    </row>
    <row r="363" spans="1:17" ht="39" hidden="1" x14ac:dyDescent="0.25">
      <c r="A363" s="45">
        <v>5282</v>
      </c>
      <c r="B363" s="23">
        <v>451100</v>
      </c>
      <c r="C363" s="9" t="s">
        <v>311</v>
      </c>
      <c r="D363" s="9"/>
      <c r="E363" s="36"/>
      <c r="F363" s="36"/>
      <c r="G363" s="37">
        <f t="shared" si="90"/>
        <v>0</v>
      </c>
      <c r="H363" s="37"/>
      <c r="I363" s="36"/>
      <c r="J363" s="36"/>
      <c r="K363" s="36"/>
      <c r="L363" s="36"/>
      <c r="M363" s="36"/>
      <c r="N363" s="36"/>
      <c r="O363" s="36"/>
      <c r="P363" s="36"/>
      <c r="Q363" s="36"/>
    </row>
    <row r="364" spans="1:17" ht="39" hidden="1" x14ac:dyDescent="0.25">
      <c r="A364" s="45">
        <v>5283</v>
      </c>
      <c r="B364" s="23">
        <v>451200</v>
      </c>
      <c r="C364" s="9" t="s">
        <v>312</v>
      </c>
      <c r="D364" s="9"/>
      <c r="E364" s="36"/>
      <c r="F364" s="36"/>
      <c r="G364" s="37">
        <f t="shared" si="90"/>
        <v>0</v>
      </c>
      <c r="H364" s="37"/>
      <c r="I364" s="36"/>
      <c r="J364" s="36"/>
      <c r="K364" s="36"/>
      <c r="L364" s="36"/>
      <c r="M364" s="36"/>
      <c r="N364" s="36"/>
      <c r="O364" s="36"/>
      <c r="P364" s="36"/>
      <c r="Q364" s="36"/>
    </row>
    <row r="365" spans="1:17" ht="51.75" hidden="1" x14ac:dyDescent="0.25">
      <c r="A365" s="480">
        <v>5284</v>
      </c>
      <c r="B365" s="476">
        <v>452000</v>
      </c>
      <c r="C365" s="18" t="s">
        <v>313</v>
      </c>
      <c r="D365" s="18"/>
      <c r="E365" s="19">
        <f>E366+E367</f>
        <v>0</v>
      </c>
      <c r="F365" s="19"/>
      <c r="G365" s="19">
        <f t="shared" si="90"/>
        <v>0</v>
      </c>
      <c r="H365" s="19"/>
      <c r="I365" s="19">
        <f t="shared" ref="I365:Q365" si="107">I366+I367</f>
        <v>0</v>
      </c>
      <c r="J365" s="19">
        <f t="shared" si="107"/>
        <v>0</v>
      </c>
      <c r="K365" s="19"/>
      <c r="L365" s="19">
        <f t="shared" si="107"/>
        <v>0</v>
      </c>
      <c r="M365" s="19"/>
      <c r="N365" s="19">
        <f t="shared" si="107"/>
        <v>0</v>
      </c>
      <c r="O365" s="19">
        <f t="shared" si="107"/>
        <v>0</v>
      </c>
      <c r="P365" s="19"/>
      <c r="Q365" s="19">
        <f t="shared" si="107"/>
        <v>0</v>
      </c>
    </row>
    <row r="366" spans="1:17" ht="26.25" hidden="1" x14ac:dyDescent="0.25">
      <c r="A366" s="45">
        <v>5285</v>
      </c>
      <c r="B366" s="23">
        <v>452100</v>
      </c>
      <c r="C366" s="9" t="s">
        <v>314</v>
      </c>
      <c r="D366" s="9"/>
      <c r="E366" s="36"/>
      <c r="F366" s="36"/>
      <c r="G366" s="37">
        <f t="shared" si="90"/>
        <v>0</v>
      </c>
      <c r="H366" s="37"/>
      <c r="I366" s="36"/>
      <c r="J366" s="36"/>
      <c r="K366" s="36"/>
      <c r="L366" s="36"/>
      <c r="M366" s="36"/>
      <c r="N366" s="36"/>
      <c r="O366" s="36"/>
      <c r="P366" s="36"/>
      <c r="Q366" s="36"/>
    </row>
    <row r="367" spans="1:17" ht="26.25" hidden="1" x14ac:dyDescent="0.25">
      <c r="A367" s="45">
        <v>5286</v>
      </c>
      <c r="B367" s="23">
        <v>452200</v>
      </c>
      <c r="C367" s="9" t="s">
        <v>315</v>
      </c>
      <c r="D367" s="9"/>
      <c r="E367" s="36"/>
      <c r="F367" s="36"/>
      <c r="G367" s="37">
        <f t="shared" si="90"/>
        <v>0</v>
      </c>
      <c r="H367" s="37"/>
      <c r="I367" s="36"/>
      <c r="J367" s="36"/>
      <c r="K367" s="36"/>
      <c r="L367" s="36"/>
      <c r="M367" s="36"/>
      <c r="N367" s="36"/>
      <c r="O367" s="36"/>
      <c r="P367" s="36"/>
      <c r="Q367" s="36"/>
    </row>
    <row r="368" spans="1:17" ht="51.75" hidden="1" x14ac:dyDescent="0.25">
      <c r="A368" s="480">
        <v>5287</v>
      </c>
      <c r="B368" s="476">
        <v>453000</v>
      </c>
      <c r="C368" s="18" t="s">
        <v>316</v>
      </c>
      <c r="D368" s="18"/>
      <c r="E368" s="19">
        <f>E369+E370</f>
        <v>0</v>
      </c>
      <c r="F368" s="19"/>
      <c r="G368" s="19">
        <f t="shared" si="90"/>
        <v>0</v>
      </c>
      <c r="H368" s="19"/>
      <c r="I368" s="19">
        <f t="shared" ref="I368:Q368" si="108">I369+I370</f>
        <v>0</v>
      </c>
      <c r="J368" s="19">
        <f t="shared" si="108"/>
        <v>0</v>
      </c>
      <c r="K368" s="19"/>
      <c r="L368" s="19">
        <f t="shared" si="108"/>
        <v>0</v>
      </c>
      <c r="M368" s="19"/>
      <c r="N368" s="19">
        <f t="shared" si="108"/>
        <v>0</v>
      </c>
      <c r="O368" s="19">
        <f t="shared" si="108"/>
        <v>0</v>
      </c>
      <c r="P368" s="19"/>
      <c r="Q368" s="19">
        <f t="shared" si="108"/>
        <v>0</v>
      </c>
    </row>
    <row r="369" spans="1:17" ht="26.25" hidden="1" x14ac:dyDescent="0.25">
      <c r="A369" s="45">
        <v>5288</v>
      </c>
      <c r="B369" s="23">
        <v>453100</v>
      </c>
      <c r="C369" s="9" t="s">
        <v>317</v>
      </c>
      <c r="D369" s="9"/>
      <c r="E369" s="36"/>
      <c r="F369" s="36"/>
      <c r="G369" s="37">
        <f t="shared" si="90"/>
        <v>0</v>
      </c>
      <c r="H369" s="37"/>
      <c r="I369" s="36"/>
      <c r="J369" s="36"/>
      <c r="K369" s="36"/>
      <c r="L369" s="36"/>
      <c r="M369" s="36"/>
      <c r="N369" s="36"/>
      <c r="O369" s="36"/>
      <c r="P369" s="36"/>
      <c r="Q369" s="36"/>
    </row>
    <row r="370" spans="1:17" ht="26.25" hidden="1" x14ac:dyDescent="0.25">
      <c r="A370" s="45">
        <v>5289</v>
      </c>
      <c r="B370" s="23">
        <v>453200</v>
      </c>
      <c r="C370" s="9" t="s">
        <v>318</v>
      </c>
      <c r="D370" s="9"/>
      <c r="E370" s="36"/>
      <c r="F370" s="36"/>
      <c r="G370" s="37">
        <f t="shared" si="90"/>
        <v>0</v>
      </c>
      <c r="H370" s="37"/>
      <c r="I370" s="36"/>
      <c r="J370" s="36"/>
      <c r="K370" s="36"/>
      <c r="L370" s="36"/>
      <c r="M370" s="36"/>
      <c r="N370" s="36"/>
      <c r="O370" s="36"/>
      <c r="P370" s="36"/>
      <c r="Q370" s="36"/>
    </row>
    <row r="371" spans="1:17" ht="26.25" hidden="1" x14ac:dyDescent="0.25">
      <c r="A371" s="480">
        <v>5290</v>
      </c>
      <c r="B371" s="476">
        <v>454000</v>
      </c>
      <c r="C371" s="18" t="s">
        <v>319</v>
      </c>
      <c r="D371" s="18"/>
      <c r="E371" s="19">
        <f>E372+E373</f>
        <v>0</v>
      </c>
      <c r="F371" s="19"/>
      <c r="G371" s="19">
        <f t="shared" si="90"/>
        <v>0</v>
      </c>
      <c r="H371" s="19"/>
      <c r="I371" s="19">
        <f t="shared" ref="I371:Q371" si="109">I372+I373</f>
        <v>0</v>
      </c>
      <c r="J371" s="19">
        <f t="shared" si="109"/>
        <v>0</v>
      </c>
      <c r="K371" s="19"/>
      <c r="L371" s="19">
        <f t="shared" si="109"/>
        <v>0</v>
      </c>
      <c r="M371" s="19"/>
      <c r="N371" s="19">
        <f t="shared" si="109"/>
        <v>0</v>
      </c>
      <c r="O371" s="19">
        <f t="shared" si="109"/>
        <v>0</v>
      </c>
      <c r="P371" s="19"/>
      <c r="Q371" s="19">
        <f t="shared" si="109"/>
        <v>0</v>
      </c>
    </row>
    <row r="372" spans="1:17" ht="26.25" hidden="1" x14ac:dyDescent="0.25">
      <c r="A372" s="45">
        <v>5291</v>
      </c>
      <c r="B372" s="23">
        <v>454100</v>
      </c>
      <c r="C372" s="9" t="s">
        <v>320</v>
      </c>
      <c r="D372" s="9"/>
      <c r="E372" s="36"/>
      <c r="F372" s="36"/>
      <c r="G372" s="37">
        <f t="shared" si="90"/>
        <v>0</v>
      </c>
      <c r="H372" s="37"/>
      <c r="I372" s="36"/>
      <c r="J372" s="36"/>
      <c r="K372" s="36"/>
      <c r="L372" s="36"/>
      <c r="M372" s="36"/>
      <c r="N372" s="36"/>
      <c r="O372" s="36"/>
      <c r="P372" s="36"/>
      <c r="Q372" s="36"/>
    </row>
    <row r="373" spans="1:17" ht="26.25" hidden="1" x14ac:dyDescent="0.25">
      <c r="A373" s="45">
        <v>5292</v>
      </c>
      <c r="B373" s="23">
        <v>454200</v>
      </c>
      <c r="C373" s="9" t="s">
        <v>321</v>
      </c>
      <c r="D373" s="9"/>
      <c r="E373" s="36"/>
      <c r="F373" s="36"/>
      <c r="G373" s="37">
        <f t="shared" si="90"/>
        <v>0</v>
      </c>
      <c r="H373" s="37"/>
      <c r="I373" s="36"/>
      <c r="J373" s="36"/>
      <c r="K373" s="36"/>
      <c r="L373" s="36"/>
      <c r="M373" s="36"/>
      <c r="N373" s="36"/>
      <c r="O373" s="36"/>
      <c r="P373" s="36"/>
      <c r="Q373" s="36"/>
    </row>
    <row r="374" spans="1:17" ht="39" x14ac:dyDescent="0.25">
      <c r="A374" s="480">
        <v>5293</v>
      </c>
      <c r="B374" s="476">
        <v>460000</v>
      </c>
      <c r="C374" s="18" t="s">
        <v>322</v>
      </c>
      <c r="D374" s="18"/>
      <c r="E374" s="19">
        <f>E379+E382+E385+E388+E391</f>
        <v>7410</v>
      </c>
      <c r="F374" s="19">
        <f t="shared" ref="F374:Q374" si="110">F379+F382+F385+F388+F391</f>
        <v>7710</v>
      </c>
      <c r="G374" s="19">
        <f t="shared" si="110"/>
        <v>7410</v>
      </c>
      <c r="H374" s="37">
        <f t="shared" si="110"/>
        <v>0</v>
      </c>
      <c r="I374" s="19">
        <f t="shared" si="110"/>
        <v>0</v>
      </c>
      <c r="J374" s="19">
        <f t="shared" si="110"/>
        <v>0</v>
      </c>
      <c r="K374" s="19">
        <f t="shared" si="110"/>
        <v>0</v>
      </c>
      <c r="L374" s="19">
        <f t="shared" si="110"/>
        <v>0</v>
      </c>
      <c r="M374" s="19">
        <f t="shared" si="110"/>
        <v>7710</v>
      </c>
      <c r="N374" s="19">
        <f t="shared" si="110"/>
        <v>7410</v>
      </c>
      <c r="O374" s="19">
        <f t="shared" si="110"/>
        <v>0</v>
      </c>
      <c r="P374" s="19">
        <f t="shared" si="110"/>
        <v>0</v>
      </c>
      <c r="Q374" s="19">
        <f t="shared" si="110"/>
        <v>0</v>
      </c>
    </row>
    <row r="375" spans="1:17" hidden="1" x14ac:dyDescent="0.25">
      <c r="A375" s="542" t="s">
        <v>0</v>
      </c>
      <c r="B375" s="543" t="s">
        <v>1</v>
      </c>
      <c r="C375" s="542" t="s">
        <v>2</v>
      </c>
      <c r="D375" s="474"/>
      <c r="E375" s="542" t="s">
        <v>217</v>
      </c>
      <c r="F375" s="474"/>
      <c r="G375" s="544" t="s">
        <v>198</v>
      </c>
      <c r="H375" s="544"/>
      <c r="I375" s="545"/>
      <c r="J375" s="545"/>
      <c r="K375" s="545"/>
      <c r="L375" s="545"/>
      <c r="M375" s="545"/>
      <c r="N375" s="545"/>
      <c r="O375" s="545"/>
      <c r="P375" s="545"/>
      <c r="Q375" s="545"/>
    </row>
    <row r="376" spans="1:17" hidden="1" x14ac:dyDescent="0.25">
      <c r="A376" s="542"/>
      <c r="B376" s="543"/>
      <c r="C376" s="542"/>
      <c r="D376" s="474"/>
      <c r="E376" s="542"/>
      <c r="F376" s="474"/>
      <c r="G376" s="544" t="s">
        <v>199</v>
      </c>
      <c r="H376" s="476"/>
      <c r="I376" s="544" t="s">
        <v>200</v>
      </c>
      <c r="J376" s="545"/>
      <c r="K376" s="545"/>
      <c r="L376" s="545"/>
      <c r="M376" s="545"/>
      <c r="N376" s="545"/>
      <c r="O376" s="544" t="s">
        <v>7</v>
      </c>
      <c r="P376" s="476"/>
      <c r="Q376" s="544" t="s">
        <v>8</v>
      </c>
    </row>
    <row r="377" spans="1:17" ht="39" hidden="1" x14ac:dyDescent="0.25">
      <c r="A377" s="542"/>
      <c r="B377" s="543"/>
      <c r="C377" s="542"/>
      <c r="D377" s="474"/>
      <c r="E377" s="542"/>
      <c r="F377" s="474"/>
      <c r="G377" s="545"/>
      <c r="H377" s="477"/>
      <c r="I377" s="476" t="s">
        <v>201</v>
      </c>
      <c r="J377" s="476" t="s">
        <v>10</v>
      </c>
      <c r="K377" s="476"/>
      <c r="L377" s="476" t="s">
        <v>11</v>
      </c>
      <c r="M377" s="476"/>
      <c r="N377" s="476" t="s">
        <v>12</v>
      </c>
      <c r="O377" s="545"/>
      <c r="P377" s="477"/>
      <c r="Q377" s="545"/>
    </row>
    <row r="378" spans="1:17" ht="26.25" hidden="1" x14ac:dyDescent="0.25">
      <c r="A378" s="475" t="s">
        <v>18</v>
      </c>
      <c r="B378" s="475" t="s">
        <v>19</v>
      </c>
      <c r="C378" s="475" t="s">
        <v>20</v>
      </c>
      <c r="D378" s="475"/>
      <c r="E378" s="475" t="s">
        <v>21</v>
      </c>
      <c r="F378" s="475"/>
      <c r="G378" s="475" t="s">
        <v>22</v>
      </c>
      <c r="H378" s="475"/>
      <c r="I378" s="475" t="s">
        <v>23</v>
      </c>
      <c r="J378" s="475" t="s">
        <v>24</v>
      </c>
      <c r="K378" s="475"/>
      <c r="L378" s="475" t="s">
        <v>25</v>
      </c>
      <c r="M378" s="475"/>
      <c r="N378" s="475" t="s">
        <v>26</v>
      </c>
      <c r="O378" s="475" t="s">
        <v>27</v>
      </c>
      <c r="P378" s="475"/>
      <c r="Q378" s="475" t="s">
        <v>28</v>
      </c>
    </row>
    <row r="379" spans="1:17" ht="26.25" hidden="1" x14ac:dyDescent="0.25">
      <c r="A379" s="480">
        <v>5294</v>
      </c>
      <c r="B379" s="476">
        <v>461000</v>
      </c>
      <c r="C379" s="18" t="s">
        <v>323</v>
      </c>
      <c r="D379" s="18"/>
      <c r="E379" s="19">
        <f>E380+E381</f>
        <v>0</v>
      </c>
      <c r="F379" s="19"/>
      <c r="G379" s="19">
        <f t="shared" si="90"/>
        <v>0</v>
      </c>
      <c r="H379" s="19"/>
      <c r="I379" s="19">
        <f t="shared" ref="I379:Q379" si="111">I380+I381</f>
        <v>0</v>
      </c>
      <c r="J379" s="19">
        <f t="shared" si="111"/>
        <v>0</v>
      </c>
      <c r="K379" s="19"/>
      <c r="L379" s="19">
        <f t="shared" si="111"/>
        <v>0</v>
      </c>
      <c r="M379" s="19"/>
      <c r="N379" s="19">
        <f t="shared" si="111"/>
        <v>0</v>
      </c>
      <c r="O379" s="19">
        <f t="shared" si="111"/>
        <v>0</v>
      </c>
      <c r="P379" s="19"/>
      <c r="Q379" s="19">
        <f t="shared" si="111"/>
        <v>0</v>
      </c>
    </row>
    <row r="380" spans="1:17" ht="26.25" hidden="1" x14ac:dyDescent="0.25">
      <c r="A380" s="45">
        <v>5295</v>
      </c>
      <c r="B380" s="23">
        <v>461100</v>
      </c>
      <c r="C380" s="9" t="s">
        <v>324</v>
      </c>
      <c r="D380" s="9"/>
      <c r="E380" s="36"/>
      <c r="F380" s="36"/>
      <c r="G380" s="37">
        <f t="shared" si="90"/>
        <v>0</v>
      </c>
      <c r="H380" s="37"/>
      <c r="I380" s="36"/>
      <c r="J380" s="36"/>
      <c r="K380" s="36"/>
      <c r="L380" s="36"/>
      <c r="M380" s="36"/>
      <c r="N380" s="36"/>
      <c r="O380" s="36"/>
      <c r="P380" s="36"/>
      <c r="Q380" s="36"/>
    </row>
    <row r="381" spans="1:17" ht="26.25" hidden="1" x14ac:dyDescent="0.25">
      <c r="A381" s="45">
        <v>5296</v>
      </c>
      <c r="B381" s="23">
        <v>461200</v>
      </c>
      <c r="C381" s="9" t="s">
        <v>325</v>
      </c>
      <c r="D381" s="9"/>
      <c r="E381" s="36"/>
      <c r="F381" s="36"/>
      <c r="G381" s="37">
        <f t="shared" si="90"/>
        <v>0</v>
      </c>
      <c r="H381" s="37"/>
      <c r="I381" s="36"/>
      <c r="J381" s="36"/>
      <c r="K381" s="36"/>
      <c r="L381" s="36"/>
      <c r="M381" s="36"/>
      <c r="N381" s="36"/>
      <c r="O381" s="36"/>
      <c r="P381" s="36"/>
      <c r="Q381" s="36"/>
    </row>
    <row r="382" spans="1:17" ht="39" hidden="1" x14ac:dyDescent="0.25">
      <c r="A382" s="480">
        <v>5297</v>
      </c>
      <c r="B382" s="476">
        <v>462000</v>
      </c>
      <c r="C382" s="18" t="s">
        <v>326</v>
      </c>
      <c r="D382" s="18"/>
      <c r="E382" s="19">
        <f>E383+E384</f>
        <v>0</v>
      </c>
      <c r="F382" s="19"/>
      <c r="G382" s="19">
        <f t="shared" si="90"/>
        <v>0</v>
      </c>
      <c r="H382" s="19"/>
      <c r="I382" s="19">
        <f t="shared" ref="I382:Q382" si="112">I383+I384</f>
        <v>0</v>
      </c>
      <c r="J382" s="19">
        <f t="shared" si="112"/>
        <v>0</v>
      </c>
      <c r="K382" s="19"/>
      <c r="L382" s="19">
        <f t="shared" si="112"/>
        <v>0</v>
      </c>
      <c r="M382" s="19"/>
      <c r="N382" s="19">
        <f t="shared" si="112"/>
        <v>0</v>
      </c>
      <c r="O382" s="19">
        <f t="shared" si="112"/>
        <v>0</v>
      </c>
      <c r="P382" s="19"/>
      <c r="Q382" s="19">
        <f t="shared" si="112"/>
        <v>0</v>
      </c>
    </row>
    <row r="383" spans="1:17" ht="26.25" hidden="1" x14ac:dyDescent="0.25">
      <c r="A383" s="45">
        <v>5298</v>
      </c>
      <c r="B383" s="23">
        <v>462100</v>
      </c>
      <c r="C383" s="9" t="s">
        <v>327</v>
      </c>
      <c r="D383" s="9"/>
      <c r="E383" s="36"/>
      <c r="F383" s="36"/>
      <c r="G383" s="37">
        <f t="shared" si="90"/>
        <v>0</v>
      </c>
      <c r="H383" s="37"/>
      <c r="I383" s="36"/>
      <c r="J383" s="36"/>
      <c r="K383" s="36"/>
      <c r="L383" s="36"/>
      <c r="M383" s="36"/>
      <c r="N383" s="36"/>
      <c r="O383" s="36"/>
      <c r="P383" s="36"/>
      <c r="Q383" s="36"/>
    </row>
    <row r="384" spans="1:17" ht="26.25" hidden="1" x14ac:dyDescent="0.25">
      <c r="A384" s="45">
        <v>5299</v>
      </c>
      <c r="B384" s="23">
        <v>462200</v>
      </c>
      <c r="C384" s="9" t="s">
        <v>328</v>
      </c>
      <c r="D384" s="9"/>
      <c r="E384" s="36"/>
      <c r="F384" s="36"/>
      <c r="G384" s="37">
        <f t="shared" si="90"/>
        <v>0</v>
      </c>
      <c r="H384" s="37"/>
      <c r="I384" s="36"/>
      <c r="J384" s="36"/>
      <c r="K384" s="36"/>
      <c r="L384" s="36"/>
      <c r="M384" s="36"/>
      <c r="N384" s="36"/>
      <c r="O384" s="36"/>
      <c r="P384" s="36"/>
      <c r="Q384" s="36"/>
    </row>
    <row r="385" spans="1:17" ht="39" hidden="1" x14ac:dyDescent="0.25">
      <c r="A385" s="480">
        <v>5300</v>
      </c>
      <c r="B385" s="476">
        <v>463000</v>
      </c>
      <c r="C385" s="18" t="s">
        <v>329</v>
      </c>
      <c r="D385" s="18"/>
      <c r="E385" s="19">
        <f>E386+E387</f>
        <v>0</v>
      </c>
      <c r="F385" s="19"/>
      <c r="G385" s="19">
        <f t="shared" ref="G385:G457" si="113">SUM(I385:Q385)</f>
        <v>0</v>
      </c>
      <c r="H385" s="19"/>
      <c r="I385" s="19">
        <f t="shared" ref="I385:Q385" si="114">I386+I387</f>
        <v>0</v>
      </c>
      <c r="J385" s="19">
        <f t="shared" si="114"/>
        <v>0</v>
      </c>
      <c r="K385" s="19"/>
      <c r="L385" s="19">
        <f t="shared" si="114"/>
        <v>0</v>
      </c>
      <c r="M385" s="19"/>
      <c r="N385" s="19">
        <f t="shared" si="114"/>
        <v>0</v>
      </c>
      <c r="O385" s="19">
        <f t="shared" si="114"/>
        <v>0</v>
      </c>
      <c r="P385" s="19"/>
      <c r="Q385" s="19">
        <f t="shared" si="114"/>
        <v>0</v>
      </c>
    </row>
    <row r="386" spans="1:17" ht="26.25" hidden="1" x14ac:dyDescent="0.25">
      <c r="A386" s="45">
        <v>5301</v>
      </c>
      <c r="B386" s="23">
        <v>463100</v>
      </c>
      <c r="C386" s="9" t="s">
        <v>330</v>
      </c>
      <c r="D386" s="9"/>
      <c r="E386" s="36"/>
      <c r="F386" s="36"/>
      <c r="G386" s="37">
        <f t="shared" si="113"/>
        <v>0</v>
      </c>
      <c r="H386" s="37"/>
      <c r="I386" s="36"/>
      <c r="J386" s="36"/>
      <c r="K386" s="36"/>
      <c r="L386" s="36"/>
      <c r="M386" s="36"/>
      <c r="N386" s="36"/>
      <c r="O386" s="36"/>
      <c r="P386" s="36"/>
      <c r="Q386" s="36"/>
    </row>
    <row r="387" spans="1:17" ht="26.25" hidden="1" x14ac:dyDescent="0.25">
      <c r="A387" s="45">
        <v>5302</v>
      </c>
      <c r="B387" s="23">
        <v>463200</v>
      </c>
      <c r="C387" s="9" t="s">
        <v>331</v>
      </c>
      <c r="D387" s="9"/>
      <c r="E387" s="36"/>
      <c r="F387" s="36"/>
      <c r="G387" s="37">
        <f t="shared" si="113"/>
        <v>0</v>
      </c>
      <c r="H387" s="37"/>
      <c r="I387" s="36"/>
      <c r="J387" s="36"/>
      <c r="K387" s="36"/>
      <c r="L387" s="36"/>
      <c r="M387" s="36"/>
      <c r="N387" s="36"/>
      <c r="O387" s="36"/>
      <c r="P387" s="36"/>
      <c r="Q387" s="36"/>
    </row>
    <row r="388" spans="1:17" ht="51.75" hidden="1" x14ac:dyDescent="0.25">
      <c r="A388" s="480">
        <v>5303</v>
      </c>
      <c r="B388" s="476">
        <v>464000</v>
      </c>
      <c r="C388" s="18" t="s">
        <v>332</v>
      </c>
      <c r="D388" s="18"/>
      <c r="E388" s="19">
        <f>E389+E390</f>
        <v>0</v>
      </c>
      <c r="F388" s="19"/>
      <c r="G388" s="19">
        <f t="shared" si="113"/>
        <v>0</v>
      </c>
      <c r="H388" s="19"/>
      <c r="I388" s="19">
        <f t="shared" ref="I388:Q388" si="115">I389+I390</f>
        <v>0</v>
      </c>
      <c r="J388" s="19">
        <f t="shared" si="115"/>
        <v>0</v>
      </c>
      <c r="K388" s="19"/>
      <c r="L388" s="19">
        <f t="shared" si="115"/>
        <v>0</v>
      </c>
      <c r="M388" s="19"/>
      <c r="N388" s="19">
        <f t="shared" si="115"/>
        <v>0</v>
      </c>
      <c r="O388" s="19">
        <f t="shared" si="115"/>
        <v>0</v>
      </c>
      <c r="P388" s="19"/>
      <c r="Q388" s="19">
        <f t="shared" si="115"/>
        <v>0</v>
      </c>
    </row>
    <row r="389" spans="1:17" ht="26.25" hidden="1" x14ac:dyDescent="0.25">
      <c r="A389" s="45">
        <v>5304</v>
      </c>
      <c r="B389" s="23">
        <v>464100</v>
      </c>
      <c r="C389" s="9" t="s">
        <v>333</v>
      </c>
      <c r="D389" s="9"/>
      <c r="E389" s="36"/>
      <c r="F389" s="36"/>
      <c r="G389" s="37">
        <f t="shared" si="113"/>
        <v>0</v>
      </c>
      <c r="H389" s="37"/>
      <c r="I389" s="36"/>
      <c r="J389" s="36"/>
      <c r="K389" s="36"/>
      <c r="L389" s="36"/>
      <c r="M389" s="36"/>
      <c r="N389" s="36"/>
      <c r="O389" s="36"/>
      <c r="P389" s="36"/>
      <c r="Q389" s="36"/>
    </row>
    <row r="390" spans="1:17" ht="39" hidden="1" x14ac:dyDescent="0.25">
      <c r="A390" s="45">
        <v>5305</v>
      </c>
      <c r="B390" s="23">
        <v>464200</v>
      </c>
      <c r="C390" s="9" t="s">
        <v>334</v>
      </c>
      <c r="D390" s="9"/>
      <c r="E390" s="36"/>
      <c r="F390" s="36"/>
      <c r="G390" s="37">
        <f t="shared" si="113"/>
        <v>0</v>
      </c>
      <c r="H390" s="37"/>
      <c r="I390" s="36"/>
      <c r="J390" s="36"/>
      <c r="K390" s="36"/>
      <c r="L390" s="36"/>
      <c r="M390" s="36"/>
      <c r="N390" s="36"/>
      <c r="O390" s="36"/>
      <c r="P390" s="36"/>
      <c r="Q390" s="36"/>
    </row>
    <row r="391" spans="1:17" ht="26.25" x14ac:dyDescent="0.25">
      <c r="A391" s="480">
        <v>5306</v>
      </c>
      <c r="B391" s="476">
        <v>465000</v>
      </c>
      <c r="C391" s="18" t="s">
        <v>335</v>
      </c>
      <c r="D391" s="18"/>
      <c r="E391" s="19">
        <f>E392+E393</f>
        <v>7410</v>
      </c>
      <c r="F391" s="19">
        <f t="shared" ref="F391:Q391" si="116">F392+F393</f>
        <v>7710</v>
      </c>
      <c r="G391" s="19">
        <f t="shared" si="116"/>
        <v>7410</v>
      </c>
      <c r="H391" s="19">
        <f t="shared" si="116"/>
        <v>0</v>
      </c>
      <c r="I391" s="19">
        <f t="shared" si="116"/>
        <v>0</v>
      </c>
      <c r="J391" s="19">
        <f t="shared" si="116"/>
        <v>0</v>
      </c>
      <c r="K391" s="19">
        <f t="shared" si="116"/>
        <v>0</v>
      </c>
      <c r="L391" s="19">
        <f t="shared" si="116"/>
        <v>0</v>
      </c>
      <c r="M391" s="19">
        <f t="shared" si="116"/>
        <v>7710</v>
      </c>
      <c r="N391" s="19">
        <f t="shared" si="116"/>
        <v>7410</v>
      </c>
      <c r="O391" s="19">
        <f t="shared" si="116"/>
        <v>0</v>
      </c>
      <c r="P391" s="19">
        <f t="shared" si="116"/>
        <v>0</v>
      </c>
      <c r="Q391" s="19">
        <f t="shared" si="116"/>
        <v>0</v>
      </c>
    </row>
    <row r="392" spans="1:17" ht="26.25" x14ac:dyDescent="0.25">
      <c r="A392" s="45">
        <v>5307</v>
      </c>
      <c r="B392" s="23">
        <v>465100</v>
      </c>
      <c r="C392" s="9" t="s">
        <v>336</v>
      </c>
      <c r="D392" s="9"/>
      <c r="E392" s="36">
        <v>7410</v>
      </c>
      <c r="F392" s="36">
        <f>H392+K392+M392+P392</f>
        <v>7710</v>
      </c>
      <c r="G392" s="37">
        <f t="shared" ref="G392" si="117">SUM(I392:Q392)-K392-M392-P392</f>
        <v>7410</v>
      </c>
      <c r="H392" s="37"/>
      <c r="I392" s="36"/>
      <c r="J392" s="36"/>
      <c r="K392" s="36"/>
      <c r="L392" s="36"/>
      <c r="M392" s="36">
        <v>7710</v>
      </c>
      <c r="N392" s="36">
        <v>7410</v>
      </c>
      <c r="O392" s="36"/>
      <c r="P392" s="36"/>
      <c r="Q392" s="36"/>
    </row>
    <row r="393" spans="1:17" ht="26.25" hidden="1" x14ac:dyDescent="0.25">
      <c r="A393" s="45">
        <v>5308</v>
      </c>
      <c r="B393" s="23">
        <v>465200</v>
      </c>
      <c r="C393" s="9" t="s">
        <v>337</v>
      </c>
      <c r="D393" s="9"/>
      <c r="E393" s="36"/>
      <c r="F393" s="36"/>
      <c r="G393" s="37">
        <f t="shared" si="113"/>
        <v>0</v>
      </c>
      <c r="H393" s="37"/>
      <c r="I393" s="36"/>
      <c r="J393" s="36"/>
      <c r="K393" s="36"/>
      <c r="L393" s="36"/>
      <c r="M393" s="36"/>
      <c r="N393" s="36"/>
      <c r="O393" s="36"/>
      <c r="P393" s="36"/>
      <c r="Q393" s="36"/>
    </row>
    <row r="394" spans="1:17" ht="39" hidden="1" x14ac:dyDescent="0.25">
      <c r="A394" s="480">
        <v>5309</v>
      </c>
      <c r="B394" s="476">
        <v>470000</v>
      </c>
      <c r="C394" s="18" t="s">
        <v>338</v>
      </c>
      <c r="D394" s="18"/>
      <c r="E394" s="19">
        <f>E395+E399</f>
        <v>0</v>
      </c>
      <c r="F394" s="19"/>
      <c r="G394" s="19">
        <f t="shared" si="113"/>
        <v>0</v>
      </c>
      <c r="H394" s="19"/>
      <c r="I394" s="19">
        <f t="shared" ref="I394:Q394" si="118">I395+I399</f>
        <v>0</v>
      </c>
      <c r="J394" s="19">
        <f t="shared" si="118"/>
        <v>0</v>
      </c>
      <c r="K394" s="19"/>
      <c r="L394" s="19">
        <f t="shared" si="118"/>
        <v>0</v>
      </c>
      <c r="M394" s="19"/>
      <c r="N394" s="19">
        <f t="shared" si="118"/>
        <v>0</v>
      </c>
      <c r="O394" s="19">
        <f t="shared" si="118"/>
        <v>0</v>
      </c>
      <c r="P394" s="19"/>
      <c r="Q394" s="19">
        <f t="shared" si="118"/>
        <v>0</v>
      </c>
    </row>
    <row r="395" spans="1:17" ht="64.5" hidden="1" x14ac:dyDescent="0.25">
      <c r="A395" s="480">
        <v>5310</v>
      </c>
      <c r="B395" s="476">
        <v>471000</v>
      </c>
      <c r="C395" s="18" t="s">
        <v>339</v>
      </c>
      <c r="D395" s="18"/>
      <c r="E395" s="19">
        <f>SUM(E396:E398)</f>
        <v>0</v>
      </c>
      <c r="F395" s="19"/>
      <c r="G395" s="19">
        <f t="shared" si="113"/>
        <v>0</v>
      </c>
      <c r="H395" s="19"/>
      <c r="I395" s="19">
        <f t="shared" ref="I395:Q395" si="119">SUM(I396:I398)</f>
        <v>0</v>
      </c>
      <c r="J395" s="19">
        <f t="shared" si="119"/>
        <v>0</v>
      </c>
      <c r="K395" s="19"/>
      <c r="L395" s="19">
        <f t="shared" si="119"/>
        <v>0</v>
      </c>
      <c r="M395" s="19"/>
      <c r="N395" s="19">
        <f t="shared" si="119"/>
        <v>0</v>
      </c>
      <c r="O395" s="19">
        <f t="shared" si="119"/>
        <v>0</v>
      </c>
      <c r="P395" s="19"/>
      <c r="Q395" s="19">
        <f t="shared" si="119"/>
        <v>0</v>
      </c>
    </row>
    <row r="396" spans="1:17" ht="39" hidden="1" x14ac:dyDescent="0.25">
      <c r="A396" s="45">
        <v>5311</v>
      </c>
      <c r="B396" s="23">
        <v>471100</v>
      </c>
      <c r="C396" s="9" t="s">
        <v>340</v>
      </c>
      <c r="D396" s="9"/>
      <c r="E396" s="36"/>
      <c r="F396" s="36"/>
      <c r="G396" s="37">
        <f t="shared" si="113"/>
        <v>0</v>
      </c>
      <c r="H396" s="37"/>
      <c r="I396" s="36"/>
      <c r="J396" s="36"/>
      <c r="K396" s="36"/>
      <c r="L396" s="36"/>
      <c r="M396" s="36"/>
      <c r="N396" s="36"/>
      <c r="O396" s="36"/>
      <c r="P396" s="36"/>
      <c r="Q396" s="36"/>
    </row>
    <row r="397" spans="1:17" ht="39" hidden="1" x14ac:dyDescent="0.25">
      <c r="A397" s="45">
        <v>5312</v>
      </c>
      <c r="B397" s="23">
        <v>471200</v>
      </c>
      <c r="C397" s="9" t="s">
        <v>341</v>
      </c>
      <c r="D397" s="9"/>
      <c r="E397" s="36"/>
      <c r="F397" s="36"/>
      <c r="G397" s="37">
        <f t="shared" si="113"/>
        <v>0</v>
      </c>
      <c r="H397" s="37"/>
      <c r="I397" s="36"/>
      <c r="J397" s="36"/>
      <c r="K397" s="36"/>
      <c r="L397" s="36"/>
      <c r="M397" s="36"/>
      <c r="N397" s="36"/>
      <c r="O397" s="36"/>
      <c r="P397" s="36"/>
      <c r="Q397" s="36"/>
    </row>
    <row r="398" spans="1:17" ht="51.75" hidden="1" x14ac:dyDescent="0.25">
      <c r="A398" s="45">
        <v>5313</v>
      </c>
      <c r="B398" s="23">
        <v>471900</v>
      </c>
      <c r="C398" s="9" t="s">
        <v>342</v>
      </c>
      <c r="D398" s="9"/>
      <c r="E398" s="36"/>
      <c r="F398" s="36"/>
      <c r="G398" s="37">
        <f t="shared" si="113"/>
        <v>0</v>
      </c>
      <c r="H398" s="37"/>
      <c r="I398" s="36"/>
      <c r="J398" s="36"/>
      <c r="K398" s="36"/>
      <c r="L398" s="36"/>
      <c r="M398" s="36"/>
      <c r="N398" s="36"/>
      <c r="O398" s="36"/>
      <c r="P398" s="36"/>
      <c r="Q398" s="36"/>
    </row>
    <row r="399" spans="1:17" ht="39" hidden="1" x14ac:dyDescent="0.25">
      <c r="A399" s="480">
        <v>5314</v>
      </c>
      <c r="B399" s="476">
        <v>472000</v>
      </c>
      <c r="C399" s="18" t="s">
        <v>343</v>
      </c>
      <c r="D399" s="18"/>
      <c r="E399" s="19">
        <f>SUM(E404:E412)</f>
        <v>0</v>
      </c>
      <c r="F399" s="19"/>
      <c r="G399" s="19">
        <f t="shared" si="113"/>
        <v>0</v>
      </c>
      <c r="H399" s="19"/>
      <c r="I399" s="19">
        <f t="shared" ref="I399:Q399" si="120">SUM(I404:I412)</f>
        <v>0</v>
      </c>
      <c r="J399" s="19">
        <f t="shared" si="120"/>
        <v>0</v>
      </c>
      <c r="K399" s="19"/>
      <c r="L399" s="19">
        <f t="shared" si="120"/>
        <v>0</v>
      </c>
      <c r="M399" s="19"/>
      <c r="N399" s="19">
        <f t="shared" si="120"/>
        <v>0</v>
      </c>
      <c r="O399" s="19">
        <f t="shared" si="120"/>
        <v>0</v>
      </c>
      <c r="P399" s="19"/>
      <c r="Q399" s="19">
        <f t="shared" si="120"/>
        <v>0</v>
      </c>
    </row>
    <row r="400" spans="1:17" hidden="1" x14ac:dyDescent="0.25">
      <c r="A400" s="542" t="s">
        <v>0</v>
      </c>
      <c r="B400" s="543" t="s">
        <v>1</v>
      </c>
      <c r="C400" s="542" t="s">
        <v>2</v>
      </c>
      <c r="D400" s="474"/>
      <c r="E400" s="542" t="s">
        <v>217</v>
      </c>
      <c r="F400" s="474"/>
      <c r="G400" s="544" t="s">
        <v>198</v>
      </c>
      <c r="H400" s="544"/>
      <c r="I400" s="545"/>
      <c r="J400" s="545"/>
      <c r="K400" s="545"/>
      <c r="L400" s="545"/>
      <c r="M400" s="545"/>
      <c r="N400" s="545"/>
      <c r="O400" s="545"/>
      <c r="P400" s="545"/>
      <c r="Q400" s="545"/>
    </row>
    <row r="401" spans="1:17" hidden="1" x14ac:dyDescent="0.25">
      <c r="A401" s="542"/>
      <c r="B401" s="543"/>
      <c r="C401" s="542"/>
      <c r="D401" s="474"/>
      <c r="E401" s="542"/>
      <c r="F401" s="474"/>
      <c r="G401" s="544" t="s">
        <v>199</v>
      </c>
      <c r="H401" s="476"/>
      <c r="I401" s="544" t="s">
        <v>200</v>
      </c>
      <c r="J401" s="545"/>
      <c r="K401" s="545"/>
      <c r="L401" s="545"/>
      <c r="M401" s="545"/>
      <c r="N401" s="545"/>
      <c r="O401" s="544" t="s">
        <v>7</v>
      </c>
      <c r="P401" s="476"/>
      <c r="Q401" s="544" t="s">
        <v>8</v>
      </c>
    </row>
    <row r="402" spans="1:17" ht="39" hidden="1" x14ac:dyDescent="0.25">
      <c r="A402" s="542"/>
      <c r="B402" s="543"/>
      <c r="C402" s="542"/>
      <c r="D402" s="474"/>
      <c r="E402" s="542"/>
      <c r="F402" s="474"/>
      <c r="G402" s="545"/>
      <c r="H402" s="477"/>
      <c r="I402" s="476" t="s">
        <v>201</v>
      </c>
      <c r="J402" s="476" t="s">
        <v>10</v>
      </c>
      <c r="K402" s="476"/>
      <c r="L402" s="476" t="s">
        <v>11</v>
      </c>
      <c r="M402" s="476"/>
      <c r="N402" s="476" t="s">
        <v>12</v>
      </c>
      <c r="O402" s="545"/>
      <c r="P402" s="477"/>
      <c r="Q402" s="545"/>
    </row>
    <row r="403" spans="1:17" ht="26.25" hidden="1" x14ac:dyDescent="0.25">
      <c r="A403" s="475" t="s">
        <v>18</v>
      </c>
      <c r="B403" s="475" t="s">
        <v>19</v>
      </c>
      <c r="C403" s="475" t="s">
        <v>20</v>
      </c>
      <c r="D403" s="475"/>
      <c r="E403" s="475" t="s">
        <v>21</v>
      </c>
      <c r="F403" s="475"/>
      <c r="G403" s="475" t="s">
        <v>22</v>
      </c>
      <c r="H403" s="475"/>
      <c r="I403" s="475" t="s">
        <v>23</v>
      </c>
      <c r="J403" s="475" t="s">
        <v>24</v>
      </c>
      <c r="K403" s="475"/>
      <c r="L403" s="475" t="s">
        <v>25</v>
      </c>
      <c r="M403" s="475"/>
      <c r="N403" s="475" t="s">
        <v>26</v>
      </c>
      <c r="O403" s="475" t="s">
        <v>27</v>
      </c>
      <c r="P403" s="475"/>
      <c r="Q403" s="475" t="s">
        <v>28</v>
      </c>
    </row>
    <row r="404" spans="1:17" ht="26.25" hidden="1" x14ac:dyDescent="0.25">
      <c r="A404" s="45">
        <v>5315</v>
      </c>
      <c r="B404" s="23">
        <v>472100</v>
      </c>
      <c r="C404" s="9" t="s">
        <v>344</v>
      </c>
      <c r="D404" s="9"/>
      <c r="E404" s="36"/>
      <c r="F404" s="36"/>
      <c r="G404" s="37">
        <f t="shared" si="113"/>
        <v>0</v>
      </c>
      <c r="H404" s="37"/>
      <c r="I404" s="36"/>
      <c r="J404" s="36"/>
      <c r="K404" s="36"/>
      <c r="L404" s="36"/>
      <c r="M404" s="36"/>
      <c r="N404" s="36"/>
      <c r="O404" s="36"/>
      <c r="P404" s="36"/>
      <c r="Q404" s="36"/>
    </row>
    <row r="405" spans="1:17" ht="26.25" hidden="1" x14ac:dyDescent="0.25">
      <c r="A405" s="45">
        <v>5316</v>
      </c>
      <c r="B405" s="23">
        <v>472200</v>
      </c>
      <c r="C405" s="9" t="s">
        <v>345</v>
      </c>
      <c r="D405" s="9"/>
      <c r="E405" s="36"/>
      <c r="F405" s="36"/>
      <c r="G405" s="37">
        <f t="shared" si="113"/>
        <v>0</v>
      </c>
      <c r="H405" s="37"/>
      <c r="I405" s="36"/>
      <c r="J405" s="36"/>
      <c r="K405" s="36"/>
      <c r="L405" s="36"/>
      <c r="M405" s="36"/>
      <c r="N405" s="36"/>
      <c r="O405" s="36"/>
      <c r="P405" s="36"/>
      <c r="Q405" s="36"/>
    </row>
    <row r="406" spans="1:17" ht="26.25" hidden="1" x14ac:dyDescent="0.25">
      <c r="A406" s="45">
        <v>5317</v>
      </c>
      <c r="B406" s="23">
        <v>472300</v>
      </c>
      <c r="C406" s="9" t="s">
        <v>346</v>
      </c>
      <c r="D406" s="9"/>
      <c r="E406" s="36"/>
      <c r="F406" s="36"/>
      <c r="G406" s="37">
        <f t="shared" si="113"/>
        <v>0</v>
      </c>
      <c r="H406" s="37"/>
      <c r="I406" s="36"/>
      <c r="J406" s="36"/>
      <c r="K406" s="36"/>
      <c r="L406" s="36"/>
      <c r="M406" s="36"/>
      <c r="N406" s="36"/>
      <c r="O406" s="36"/>
      <c r="P406" s="36"/>
      <c r="Q406" s="36"/>
    </row>
    <row r="407" spans="1:17" ht="26.25" hidden="1" x14ac:dyDescent="0.25">
      <c r="A407" s="45">
        <v>5318</v>
      </c>
      <c r="B407" s="23">
        <v>472400</v>
      </c>
      <c r="C407" s="9" t="s">
        <v>347</v>
      </c>
      <c r="D407" s="9"/>
      <c r="E407" s="36"/>
      <c r="F407" s="36"/>
      <c r="G407" s="37">
        <f t="shared" si="113"/>
        <v>0</v>
      </c>
      <c r="H407" s="37"/>
      <c r="I407" s="36"/>
      <c r="J407" s="36"/>
      <c r="K407" s="36"/>
      <c r="L407" s="36"/>
      <c r="M407" s="36"/>
      <c r="N407" s="36"/>
      <c r="O407" s="36"/>
      <c r="P407" s="36"/>
      <c r="Q407" s="36"/>
    </row>
    <row r="408" spans="1:17" ht="26.25" hidden="1" x14ac:dyDescent="0.25">
      <c r="A408" s="45">
        <v>5319</v>
      </c>
      <c r="B408" s="23">
        <v>472500</v>
      </c>
      <c r="C408" s="9" t="s">
        <v>348</v>
      </c>
      <c r="D408" s="9"/>
      <c r="E408" s="36"/>
      <c r="F408" s="36"/>
      <c r="G408" s="37">
        <f t="shared" si="113"/>
        <v>0</v>
      </c>
      <c r="H408" s="37"/>
      <c r="I408" s="36"/>
      <c r="J408" s="36"/>
      <c r="K408" s="36"/>
      <c r="L408" s="36"/>
      <c r="M408" s="36"/>
      <c r="N408" s="36"/>
      <c r="O408" s="36"/>
      <c r="P408" s="36"/>
      <c r="Q408" s="36"/>
    </row>
    <row r="409" spans="1:17" ht="26.25" hidden="1" x14ac:dyDescent="0.25">
      <c r="A409" s="45">
        <v>5320</v>
      </c>
      <c r="B409" s="23">
        <v>472600</v>
      </c>
      <c r="C409" s="9" t="s">
        <v>349</v>
      </c>
      <c r="D409" s="9"/>
      <c r="E409" s="36"/>
      <c r="F409" s="36"/>
      <c r="G409" s="37">
        <f t="shared" si="113"/>
        <v>0</v>
      </c>
      <c r="H409" s="37"/>
      <c r="I409" s="36"/>
      <c r="J409" s="36"/>
      <c r="K409" s="36"/>
      <c r="L409" s="36"/>
      <c r="M409" s="36"/>
      <c r="N409" s="36"/>
      <c r="O409" s="36"/>
      <c r="P409" s="36"/>
      <c r="Q409" s="36"/>
    </row>
    <row r="410" spans="1:17" ht="26.25" hidden="1" x14ac:dyDescent="0.25">
      <c r="A410" s="45">
        <v>5321</v>
      </c>
      <c r="B410" s="23">
        <v>472700</v>
      </c>
      <c r="C410" s="9" t="s">
        <v>350</v>
      </c>
      <c r="D410" s="9"/>
      <c r="E410" s="36"/>
      <c r="F410" s="36"/>
      <c r="G410" s="37">
        <f t="shared" si="113"/>
        <v>0</v>
      </c>
      <c r="H410" s="37"/>
      <c r="I410" s="36"/>
      <c r="J410" s="36"/>
      <c r="K410" s="36"/>
      <c r="L410" s="36"/>
      <c r="M410" s="36"/>
      <c r="N410" s="36"/>
      <c r="O410" s="36"/>
      <c r="P410" s="36"/>
      <c r="Q410" s="36"/>
    </row>
    <row r="411" spans="1:17" ht="26.25" hidden="1" x14ac:dyDescent="0.25">
      <c r="A411" s="45">
        <v>5322</v>
      </c>
      <c r="B411" s="23">
        <v>472800</v>
      </c>
      <c r="C411" s="9" t="s">
        <v>351</v>
      </c>
      <c r="D411" s="9"/>
      <c r="E411" s="36"/>
      <c r="F411" s="36"/>
      <c r="G411" s="37">
        <f t="shared" si="113"/>
        <v>0</v>
      </c>
      <c r="H411" s="37"/>
      <c r="I411" s="36"/>
      <c r="J411" s="36"/>
      <c r="K411" s="36"/>
      <c r="L411" s="36"/>
      <c r="M411" s="36"/>
      <c r="N411" s="36"/>
      <c r="O411" s="36"/>
      <c r="P411" s="36"/>
      <c r="Q411" s="36"/>
    </row>
    <row r="412" spans="1:17" hidden="1" x14ac:dyDescent="0.25">
      <c r="A412" s="45">
        <v>5323</v>
      </c>
      <c r="B412" s="23">
        <v>472900</v>
      </c>
      <c r="C412" s="9" t="s">
        <v>352</v>
      </c>
      <c r="D412" s="9"/>
      <c r="E412" s="36"/>
      <c r="F412" s="36"/>
      <c r="G412" s="37">
        <f t="shared" si="113"/>
        <v>0</v>
      </c>
      <c r="H412" s="37"/>
      <c r="I412" s="36"/>
      <c r="J412" s="36"/>
      <c r="K412" s="36"/>
      <c r="L412" s="36"/>
      <c r="M412" s="36"/>
      <c r="N412" s="36"/>
      <c r="O412" s="36"/>
      <c r="P412" s="36"/>
      <c r="Q412" s="36"/>
    </row>
    <row r="413" spans="1:17" ht="39" x14ac:dyDescent="0.25">
      <c r="A413" s="480">
        <v>5324</v>
      </c>
      <c r="B413" s="476">
        <v>480000</v>
      </c>
      <c r="C413" s="18" t="s">
        <v>353</v>
      </c>
      <c r="D413" s="18"/>
      <c r="E413" s="19">
        <f>E414+E417+E421+E423+E426+E432</f>
        <v>125</v>
      </c>
      <c r="F413" s="19">
        <f t="shared" ref="F413:Q413" si="121">F414+F417+F421+F423+F426+F432</f>
        <v>135</v>
      </c>
      <c r="G413" s="19">
        <f t="shared" si="121"/>
        <v>118</v>
      </c>
      <c r="H413" s="19">
        <f t="shared" si="121"/>
        <v>0</v>
      </c>
      <c r="I413" s="19">
        <f t="shared" si="121"/>
        <v>0</v>
      </c>
      <c r="J413" s="19">
        <f t="shared" si="121"/>
        <v>0</v>
      </c>
      <c r="K413" s="19">
        <f t="shared" si="121"/>
        <v>0</v>
      </c>
      <c r="L413" s="19">
        <f t="shared" si="121"/>
        <v>0</v>
      </c>
      <c r="M413" s="19">
        <f t="shared" si="121"/>
        <v>0</v>
      </c>
      <c r="N413" s="19">
        <f t="shared" si="121"/>
        <v>8</v>
      </c>
      <c r="O413" s="19">
        <f t="shared" si="121"/>
        <v>0</v>
      </c>
      <c r="P413" s="19">
        <f t="shared" si="121"/>
        <v>135</v>
      </c>
      <c r="Q413" s="19">
        <f t="shared" si="121"/>
        <v>100</v>
      </c>
    </row>
    <row r="414" spans="1:17" ht="39" x14ac:dyDescent="0.25">
      <c r="A414" s="480">
        <v>5325</v>
      </c>
      <c r="B414" s="476">
        <v>481000</v>
      </c>
      <c r="C414" s="18" t="s">
        <v>354</v>
      </c>
      <c r="D414" s="18"/>
      <c r="E414" s="19">
        <f>E415+E416</f>
        <v>35</v>
      </c>
      <c r="F414" s="19">
        <f t="shared" ref="F414:Q414" si="122">F415+F416</f>
        <v>35</v>
      </c>
      <c r="G414" s="19">
        <f t="shared" si="122"/>
        <v>35</v>
      </c>
      <c r="H414" s="19">
        <f t="shared" si="122"/>
        <v>0</v>
      </c>
      <c r="I414" s="19">
        <f t="shared" si="122"/>
        <v>0</v>
      </c>
      <c r="J414" s="19">
        <f t="shared" si="122"/>
        <v>0</v>
      </c>
      <c r="K414" s="19">
        <f t="shared" si="122"/>
        <v>0</v>
      </c>
      <c r="L414" s="19">
        <f t="shared" si="122"/>
        <v>0</v>
      </c>
      <c r="M414" s="19">
        <f t="shared" si="122"/>
        <v>0</v>
      </c>
      <c r="N414" s="19">
        <f t="shared" si="122"/>
        <v>0</v>
      </c>
      <c r="O414" s="19">
        <f t="shared" si="122"/>
        <v>0</v>
      </c>
      <c r="P414" s="19">
        <f t="shared" si="122"/>
        <v>35</v>
      </c>
      <c r="Q414" s="19">
        <f t="shared" si="122"/>
        <v>35</v>
      </c>
    </row>
    <row r="415" spans="1:17" ht="39" hidden="1" x14ac:dyDescent="0.25">
      <c r="A415" s="45">
        <v>5326</v>
      </c>
      <c r="B415" s="23">
        <v>481100</v>
      </c>
      <c r="C415" s="9" t="s">
        <v>355</v>
      </c>
      <c r="D415" s="9"/>
      <c r="E415" s="36"/>
      <c r="F415" s="36"/>
      <c r="G415" s="37">
        <f t="shared" si="113"/>
        <v>0</v>
      </c>
      <c r="H415" s="37"/>
      <c r="I415" s="36"/>
      <c r="J415" s="36"/>
      <c r="K415" s="36"/>
      <c r="L415" s="36"/>
      <c r="M415" s="36"/>
      <c r="N415" s="36"/>
      <c r="O415" s="36"/>
      <c r="P415" s="36"/>
      <c r="Q415" s="36"/>
    </row>
    <row r="416" spans="1:17" ht="26.25" x14ac:dyDescent="0.25">
      <c r="A416" s="45">
        <v>5327</v>
      </c>
      <c r="B416" s="23">
        <v>481900</v>
      </c>
      <c r="C416" s="9" t="s">
        <v>356</v>
      </c>
      <c r="D416" s="9"/>
      <c r="E416" s="36">
        <v>35</v>
      </c>
      <c r="F416" s="36">
        <f>H416+K416+M416+P416</f>
        <v>35</v>
      </c>
      <c r="G416" s="37">
        <f t="shared" ref="G416" si="123">SUM(I416:Q416)-K416-M416-P416</f>
        <v>35</v>
      </c>
      <c r="H416" s="37"/>
      <c r="I416" s="36"/>
      <c r="J416" s="36"/>
      <c r="K416" s="36"/>
      <c r="L416" s="36"/>
      <c r="M416" s="36"/>
      <c r="N416" s="36"/>
      <c r="O416" s="36"/>
      <c r="P416" s="36">
        <v>35</v>
      </c>
      <c r="Q416" s="36">
        <v>35</v>
      </c>
    </row>
    <row r="417" spans="1:22" ht="39" x14ac:dyDescent="0.25">
      <c r="A417" s="480">
        <v>5328</v>
      </c>
      <c r="B417" s="476">
        <v>482000</v>
      </c>
      <c r="C417" s="18" t="s">
        <v>357</v>
      </c>
      <c r="D417" s="18"/>
      <c r="E417" s="19">
        <f>SUM(E418:E420)</f>
        <v>70</v>
      </c>
      <c r="F417" s="19">
        <f t="shared" ref="F417:Q417" si="124">SUM(F418:F420)</f>
        <v>50</v>
      </c>
      <c r="G417" s="19">
        <f t="shared" si="124"/>
        <v>68</v>
      </c>
      <c r="H417" s="19">
        <f t="shared" si="124"/>
        <v>0</v>
      </c>
      <c r="I417" s="19">
        <f t="shared" si="124"/>
        <v>0</v>
      </c>
      <c r="J417" s="19">
        <f t="shared" si="124"/>
        <v>0</v>
      </c>
      <c r="K417" s="19">
        <f t="shared" si="124"/>
        <v>0</v>
      </c>
      <c r="L417" s="19">
        <f t="shared" si="124"/>
        <v>0</v>
      </c>
      <c r="M417" s="19">
        <f t="shared" si="124"/>
        <v>0</v>
      </c>
      <c r="N417" s="19">
        <f t="shared" si="124"/>
        <v>8</v>
      </c>
      <c r="O417" s="19">
        <f t="shared" si="124"/>
        <v>0</v>
      </c>
      <c r="P417" s="19">
        <f t="shared" si="124"/>
        <v>50</v>
      </c>
      <c r="Q417" s="19">
        <f t="shared" si="124"/>
        <v>50</v>
      </c>
    </row>
    <row r="418" spans="1:22" x14ac:dyDescent="0.25">
      <c r="A418" s="45">
        <v>5329</v>
      </c>
      <c r="B418" s="23">
        <v>482100</v>
      </c>
      <c r="C418" s="9" t="s">
        <v>358</v>
      </c>
      <c r="D418" s="9"/>
      <c r="E418" s="36">
        <v>20</v>
      </c>
      <c r="F418" s="36">
        <f>H418+K418+M418+P418</f>
        <v>20</v>
      </c>
      <c r="G418" s="37">
        <f t="shared" ref="G418:G419" si="125">SUM(I418:Q418)-K418-M418-P418</f>
        <v>17</v>
      </c>
      <c r="H418" s="37"/>
      <c r="I418" s="36"/>
      <c r="J418" s="36"/>
      <c r="K418" s="36"/>
      <c r="L418" s="36"/>
      <c r="M418" s="36"/>
      <c r="N418" s="36">
        <v>8</v>
      </c>
      <c r="O418" s="36"/>
      <c r="P418" s="36">
        <v>20</v>
      </c>
      <c r="Q418" s="36">
        <v>9</v>
      </c>
    </row>
    <row r="419" spans="1:22" x14ac:dyDescent="0.25">
      <c r="A419" s="45">
        <v>5330</v>
      </c>
      <c r="B419" s="23">
        <v>482200</v>
      </c>
      <c r="C419" s="9" t="s">
        <v>359</v>
      </c>
      <c r="D419" s="9"/>
      <c r="E419" s="36">
        <v>50</v>
      </c>
      <c r="F419" s="36">
        <f>H419+K419+M419+P419</f>
        <v>20</v>
      </c>
      <c r="G419" s="37">
        <f t="shared" si="125"/>
        <v>41</v>
      </c>
      <c r="H419" s="37"/>
      <c r="I419" s="36"/>
      <c r="J419" s="36"/>
      <c r="K419" s="36"/>
      <c r="L419" s="36"/>
      <c r="M419" s="36"/>
      <c r="N419" s="36"/>
      <c r="O419" s="36"/>
      <c r="P419" s="36">
        <v>20</v>
      </c>
      <c r="Q419" s="36">
        <v>41</v>
      </c>
      <c r="V419" s="12" t="s">
        <v>539</v>
      </c>
    </row>
    <row r="420" spans="1:22" x14ac:dyDescent="0.25">
      <c r="A420" s="45">
        <v>5331</v>
      </c>
      <c r="B420" s="23">
        <v>482300</v>
      </c>
      <c r="C420" s="9" t="s">
        <v>360</v>
      </c>
      <c r="D420" s="9"/>
      <c r="E420" s="36"/>
      <c r="F420" s="36">
        <f>H420+K420+M420+P420</f>
        <v>10</v>
      </c>
      <c r="G420" s="37">
        <f t="shared" si="113"/>
        <v>10</v>
      </c>
      <c r="H420" s="37"/>
      <c r="I420" s="36"/>
      <c r="J420" s="36"/>
      <c r="K420" s="36"/>
      <c r="L420" s="36"/>
      <c r="M420" s="36"/>
      <c r="N420" s="36"/>
      <c r="O420" s="36"/>
      <c r="P420" s="36">
        <v>10</v>
      </c>
      <c r="Q420" s="36"/>
    </row>
    <row r="421" spans="1:22" ht="26.25" x14ac:dyDescent="0.25">
      <c r="A421" s="480">
        <v>5332</v>
      </c>
      <c r="B421" s="476">
        <v>483000</v>
      </c>
      <c r="C421" s="18" t="s">
        <v>361</v>
      </c>
      <c r="D421" s="18"/>
      <c r="E421" s="19">
        <f>E422</f>
        <v>20</v>
      </c>
      <c r="F421" s="19">
        <f t="shared" ref="F421:Q421" si="126">F422</f>
        <v>50</v>
      </c>
      <c r="G421" s="19">
        <f t="shared" si="126"/>
        <v>15</v>
      </c>
      <c r="H421" s="19">
        <f t="shared" si="126"/>
        <v>0</v>
      </c>
      <c r="I421" s="19">
        <f t="shared" si="126"/>
        <v>0</v>
      </c>
      <c r="J421" s="19">
        <f t="shared" si="126"/>
        <v>0</v>
      </c>
      <c r="K421" s="19">
        <f t="shared" si="126"/>
        <v>0</v>
      </c>
      <c r="L421" s="19">
        <f t="shared" si="126"/>
        <v>0</v>
      </c>
      <c r="M421" s="19">
        <f t="shared" si="126"/>
        <v>0</v>
      </c>
      <c r="N421" s="19">
        <f t="shared" si="126"/>
        <v>0</v>
      </c>
      <c r="O421" s="19">
        <f t="shared" si="126"/>
        <v>0</v>
      </c>
      <c r="P421" s="19">
        <f t="shared" si="126"/>
        <v>50</v>
      </c>
      <c r="Q421" s="19">
        <f t="shared" si="126"/>
        <v>15</v>
      </c>
    </row>
    <row r="422" spans="1:22" ht="26.25" x14ac:dyDescent="0.25">
      <c r="A422" s="45">
        <v>5333</v>
      </c>
      <c r="B422" s="23">
        <v>483100</v>
      </c>
      <c r="C422" s="9" t="s">
        <v>362</v>
      </c>
      <c r="D422" s="9"/>
      <c r="E422" s="36">
        <v>20</v>
      </c>
      <c r="F422" s="36">
        <f>H422+K422+M422+P422</f>
        <v>50</v>
      </c>
      <c r="G422" s="37">
        <f t="shared" ref="G422" si="127">SUM(I422:Q422)-K422-M422-P422</f>
        <v>15</v>
      </c>
      <c r="H422" s="37"/>
      <c r="I422" s="36"/>
      <c r="J422" s="36"/>
      <c r="K422" s="36"/>
      <c r="L422" s="36"/>
      <c r="M422" s="36"/>
      <c r="N422" s="36"/>
      <c r="O422" s="36"/>
      <c r="P422" s="36">
        <v>50</v>
      </c>
      <c r="Q422" s="36">
        <v>15</v>
      </c>
    </row>
    <row r="423" spans="1:22" ht="77.25" hidden="1" x14ac:dyDescent="0.25">
      <c r="A423" s="480">
        <v>5334</v>
      </c>
      <c r="B423" s="476">
        <v>484000</v>
      </c>
      <c r="C423" s="18" t="s">
        <v>363</v>
      </c>
      <c r="D423" s="18"/>
      <c r="E423" s="19">
        <f>E424+E425</f>
        <v>0</v>
      </c>
      <c r="F423" s="19"/>
      <c r="G423" s="19">
        <f t="shared" si="113"/>
        <v>0</v>
      </c>
      <c r="H423" s="19"/>
      <c r="I423" s="19">
        <f t="shared" ref="I423:Q423" si="128">I424+I425</f>
        <v>0</v>
      </c>
      <c r="J423" s="19">
        <f t="shared" si="128"/>
        <v>0</v>
      </c>
      <c r="K423" s="19"/>
      <c r="L423" s="19">
        <f t="shared" si="128"/>
        <v>0</v>
      </c>
      <c r="M423" s="19"/>
      <c r="N423" s="19">
        <f t="shared" si="128"/>
        <v>0</v>
      </c>
      <c r="O423" s="19">
        <f t="shared" si="128"/>
        <v>0</v>
      </c>
      <c r="P423" s="19"/>
      <c r="Q423" s="19">
        <f t="shared" si="128"/>
        <v>0</v>
      </c>
    </row>
    <row r="424" spans="1:22" ht="39" hidden="1" x14ac:dyDescent="0.25">
      <c r="A424" s="45">
        <v>5335</v>
      </c>
      <c r="B424" s="23">
        <v>484100</v>
      </c>
      <c r="C424" s="9" t="s">
        <v>364</v>
      </c>
      <c r="D424" s="9"/>
      <c r="E424" s="36"/>
      <c r="F424" s="36"/>
      <c r="G424" s="37">
        <f t="shared" si="113"/>
        <v>0</v>
      </c>
      <c r="H424" s="37"/>
      <c r="I424" s="36"/>
      <c r="J424" s="36"/>
      <c r="K424" s="36"/>
      <c r="L424" s="36"/>
      <c r="M424" s="36"/>
      <c r="N424" s="36"/>
      <c r="O424" s="36"/>
      <c r="P424" s="36"/>
      <c r="Q424" s="36"/>
    </row>
    <row r="425" spans="1:22" hidden="1" x14ac:dyDescent="0.25">
      <c r="A425" s="45">
        <v>5336</v>
      </c>
      <c r="B425" s="23">
        <v>484200</v>
      </c>
      <c r="C425" s="9" t="s">
        <v>365</v>
      </c>
      <c r="D425" s="9"/>
      <c r="E425" s="36"/>
      <c r="F425" s="36"/>
      <c r="G425" s="37">
        <f t="shared" si="113"/>
        <v>0</v>
      </c>
      <c r="H425" s="37"/>
      <c r="I425" s="36"/>
      <c r="J425" s="36"/>
      <c r="K425" s="36"/>
      <c r="L425" s="36"/>
      <c r="M425" s="36"/>
      <c r="N425" s="36"/>
      <c r="O425" s="36"/>
      <c r="P425" s="36"/>
      <c r="Q425" s="36"/>
    </row>
    <row r="426" spans="1:22" ht="51.75" hidden="1" x14ac:dyDescent="0.25">
      <c r="A426" s="480">
        <v>5337</v>
      </c>
      <c r="B426" s="476">
        <v>485000</v>
      </c>
      <c r="C426" s="18" t="s">
        <v>366</v>
      </c>
      <c r="D426" s="18"/>
      <c r="E426" s="19">
        <f>E427</f>
        <v>0</v>
      </c>
      <c r="F426" s="19"/>
      <c r="G426" s="19">
        <f t="shared" si="113"/>
        <v>0</v>
      </c>
      <c r="H426" s="19"/>
      <c r="I426" s="19">
        <f t="shared" ref="I426:Q426" si="129">I427</f>
        <v>0</v>
      </c>
      <c r="J426" s="19">
        <f t="shared" si="129"/>
        <v>0</v>
      </c>
      <c r="K426" s="19"/>
      <c r="L426" s="19">
        <f t="shared" si="129"/>
        <v>0</v>
      </c>
      <c r="M426" s="19"/>
      <c r="N426" s="19">
        <f t="shared" si="129"/>
        <v>0</v>
      </c>
      <c r="O426" s="19">
        <f t="shared" si="129"/>
        <v>0</v>
      </c>
      <c r="P426" s="19"/>
      <c r="Q426" s="19">
        <f t="shared" si="129"/>
        <v>0</v>
      </c>
    </row>
    <row r="427" spans="1:22" ht="39" hidden="1" x14ac:dyDescent="0.25">
      <c r="A427" s="45">
        <v>5338</v>
      </c>
      <c r="B427" s="23">
        <v>485100</v>
      </c>
      <c r="C427" s="9" t="s">
        <v>367</v>
      </c>
      <c r="D427" s="9"/>
      <c r="E427" s="36"/>
      <c r="F427" s="36"/>
      <c r="G427" s="37">
        <f t="shared" si="113"/>
        <v>0</v>
      </c>
      <c r="H427" s="37"/>
      <c r="I427" s="36"/>
      <c r="J427" s="36"/>
      <c r="K427" s="36"/>
      <c r="L427" s="36"/>
      <c r="M427" s="36"/>
      <c r="N427" s="36"/>
      <c r="O427" s="36"/>
      <c r="P427" s="36"/>
      <c r="Q427" s="36"/>
    </row>
    <row r="428" spans="1:22" hidden="1" x14ac:dyDescent="0.25">
      <c r="A428" s="542" t="s">
        <v>0</v>
      </c>
      <c r="B428" s="543" t="s">
        <v>1</v>
      </c>
      <c r="C428" s="542" t="s">
        <v>2</v>
      </c>
      <c r="D428" s="474"/>
      <c r="E428" s="542" t="s">
        <v>217</v>
      </c>
      <c r="F428" s="474"/>
      <c r="G428" s="544" t="s">
        <v>198</v>
      </c>
      <c r="H428" s="544"/>
      <c r="I428" s="545"/>
      <c r="J428" s="545"/>
      <c r="K428" s="545"/>
      <c r="L428" s="545"/>
      <c r="M428" s="545"/>
      <c r="N428" s="545"/>
      <c r="O428" s="545"/>
      <c r="P428" s="545"/>
      <c r="Q428" s="545"/>
    </row>
    <row r="429" spans="1:22" hidden="1" x14ac:dyDescent="0.25">
      <c r="A429" s="542"/>
      <c r="B429" s="543"/>
      <c r="C429" s="542"/>
      <c r="D429" s="474"/>
      <c r="E429" s="542"/>
      <c r="F429" s="474"/>
      <c r="G429" s="544" t="s">
        <v>199</v>
      </c>
      <c r="H429" s="476"/>
      <c r="I429" s="544" t="s">
        <v>200</v>
      </c>
      <c r="J429" s="545"/>
      <c r="K429" s="545"/>
      <c r="L429" s="545"/>
      <c r="M429" s="545"/>
      <c r="N429" s="545"/>
      <c r="O429" s="544" t="s">
        <v>7</v>
      </c>
      <c r="P429" s="476"/>
      <c r="Q429" s="544" t="s">
        <v>8</v>
      </c>
    </row>
    <row r="430" spans="1:22" ht="39" hidden="1" x14ac:dyDescent="0.25">
      <c r="A430" s="542"/>
      <c r="B430" s="543"/>
      <c r="C430" s="542"/>
      <c r="D430" s="474"/>
      <c r="E430" s="542"/>
      <c r="F430" s="474"/>
      <c r="G430" s="545"/>
      <c r="H430" s="477"/>
      <c r="I430" s="476" t="s">
        <v>201</v>
      </c>
      <c r="J430" s="476" t="s">
        <v>10</v>
      </c>
      <c r="K430" s="476"/>
      <c r="L430" s="476" t="s">
        <v>11</v>
      </c>
      <c r="M430" s="476"/>
      <c r="N430" s="476" t="s">
        <v>12</v>
      </c>
      <c r="O430" s="545"/>
      <c r="P430" s="477"/>
      <c r="Q430" s="545"/>
    </row>
    <row r="431" spans="1:22" ht="26.25" hidden="1" x14ac:dyDescent="0.25">
      <c r="A431" s="475" t="s">
        <v>18</v>
      </c>
      <c r="B431" s="475" t="s">
        <v>19</v>
      </c>
      <c r="C431" s="475" t="s">
        <v>20</v>
      </c>
      <c r="D431" s="475"/>
      <c r="E431" s="475" t="s">
        <v>21</v>
      </c>
      <c r="F431" s="475"/>
      <c r="G431" s="475" t="s">
        <v>22</v>
      </c>
      <c r="H431" s="475"/>
      <c r="I431" s="475" t="s">
        <v>23</v>
      </c>
      <c r="J431" s="475" t="s">
        <v>24</v>
      </c>
      <c r="K431" s="475"/>
      <c r="L431" s="475" t="s">
        <v>25</v>
      </c>
      <c r="M431" s="475"/>
      <c r="N431" s="475" t="s">
        <v>26</v>
      </c>
      <c r="O431" s="475" t="s">
        <v>27</v>
      </c>
      <c r="P431" s="475"/>
      <c r="Q431" s="475" t="s">
        <v>28</v>
      </c>
    </row>
    <row r="432" spans="1:22" ht="90" hidden="1" x14ac:dyDescent="0.25">
      <c r="A432" s="480">
        <v>5339</v>
      </c>
      <c r="B432" s="476">
        <v>489000</v>
      </c>
      <c r="C432" s="18" t="s">
        <v>368</v>
      </c>
      <c r="D432" s="18"/>
      <c r="E432" s="19">
        <f>E433</f>
        <v>0</v>
      </c>
      <c r="F432" s="19"/>
      <c r="G432" s="19">
        <f t="shared" si="113"/>
        <v>0</v>
      </c>
      <c r="H432" s="19"/>
      <c r="I432" s="19">
        <f t="shared" ref="I432:Q432" si="130">I433</f>
        <v>0</v>
      </c>
      <c r="J432" s="19">
        <f t="shared" si="130"/>
        <v>0</v>
      </c>
      <c r="K432" s="19"/>
      <c r="L432" s="19">
        <f t="shared" si="130"/>
        <v>0</v>
      </c>
      <c r="M432" s="19"/>
      <c r="N432" s="19">
        <f t="shared" si="130"/>
        <v>0</v>
      </c>
      <c r="O432" s="19">
        <f t="shared" si="130"/>
        <v>0</v>
      </c>
      <c r="P432" s="19"/>
      <c r="Q432" s="19">
        <f t="shared" si="130"/>
        <v>0</v>
      </c>
    </row>
    <row r="433" spans="1:22" ht="51.75" hidden="1" x14ac:dyDescent="0.25">
      <c r="A433" s="45">
        <v>5340</v>
      </c>
      <c r="B433" s="23">
        <v>489100</v>
      </c>
      <c r="C433" s="9" t="s">
        <v>369</v>
      </c>
      <c r="D433" s="9"/>
      <c r="E433" s="36"/>
      <c r="F433" s="36"/>
      <c r="G433" s="37">
        <f t="shared" si="113"/>
        <v>0</v>
      </c>
      <c r="H433" s="37"/>
      <c r="I433" s="36"/>
      <c r="J433" s="36"/>
      <c r="K433" s="36"/>
      <c r="L433" s="36"/>
      <c r="M433" s="36"/>
      <c r="N433" s="36"/>
      <c r="O433" s="36"/>
      <c r="P433" s="36"/>
      <c r="Q433" s="36"/>
    </row>
    <row r="434" spans="1:22" ht="51.75" x14ac:dyDescent="0.25">
      <c r="A434" s="480">
        <v>5341</v>
      </c>
      <c r="B434" s="476">
        <v>500000</v>
      </c>
      <c r="C434" s="18" t="s">
        <v>370</v>
      </c>
      <c r="D434" s="18"/>
      <c r="E434" s="19">
        <f>E435+E458+E471+E474+E482</f>
        <v>35552</v>
      </c>
      <c r="F434" s="19">
        <f t="shared" ref="F434:Q434" si="131">F435+F458+F471+F474+F482</f>
        <v>27623</v>
      </c>
      <c r="G434" s="19">
        <f t="shared" si="131"/>
        <v>17163</v>
      </c>
      <c r="H434" s="19">
        <f t="shared" si="131"/>
        <v>20000</v>
      </c>
      <c r="I434" s="19">
        <f t="shared" si="131"/>
        <v>15250</v>
      </c>
      <c r="J434" s="19">
        <f t="shared" si="131"/>
        <v>0</v>
      </c>
      <c r="K434" s="19">
        <f t="shared" si="131"/>
        <v>2018</v>
      </c>
      <c r="L434" s="19">
        <f t="shared" si="131"/>
        <v>0</v>
      </c>
      <c r="M434" s="19">
        <f t="shared" si="131"/>
        <v>0</v>
      </c>
      <c r="N434" s="19">
        <f t="shared" si="131"/>
        <v>0</v>
      </c>
      <c r="O434" s="19">
        <f t="shared" si="131"/>
        <v>0</v>
      </c>
      <c r="P434" s="19">
        <f t="shared" si="131"/>
        <v>5605</v>
      </c>
      <c r="Q434" s="19">
        <f t="shared" si="131"/>
        <v>1813</v>
      </c>
    </row>
    <row r="435" spans="1:22" ht="26.25" x14ac:dyDescent="0.25">
      <c r="A435" s="480">
        <v>5342</v>
      </c>
      <c r="B435" s="476">
        <v>510000</v>
      </c>
      <c r="C435" s="18" t="s">
        <v>371</v>
      </c>
      <c r="D435" s="18"/>
      <c r="E435" s="19">
        <f>E436+E441+E452+E454+E456</f>
        <v>35552</v>
      </c>
      <c r="F435" s="19">
        <f t="shared" ref="F435:Q435" si="132">F436+F441+F452+F454+F456</f>
        <v>27623</v>
      </c>
      <c r="G435" s="19">
        <f t="shared" si="132"/>
        <v>17163</v>
      </c>
      <c r="H435" s="19">
        <f t="shared" si="132"/>
        <v>20000</v>
      </c>
      <c r="I435" s="19">
        <f t="shared" si="132"/>
        <v>15250</v>
      </c>
      <c r="J435" s="19">
        <f t="shared" si="132"/>
        <v>0</v>
      </c>
      <c r="K435" s="19">
        <f t="shared" si="132"/>
        <v>2018</v>
      </c>
      <c r="L435" s="19">
        <f t="shared" si="132"/>
        <v>0</v>
      </c>
      <c r="M435" s="19">
        <f t="shared" si="132"/>
        <v>0</v>
      </c>
      <c r="N435" s="19">
        <f t="shared" si="132"/>
        <v>0</v>
      </c>
      <c r="O435" s="19">
        <f t="shared" si="132"/>
        <v>0</v>
      </c>
      <c r="P435" s="19">
        <f t="shared" si="132"/>
        <v>5605</v>
      </c>
      <c r="Q435" s="19">
        <f t="shared" si="132"/>
        <v>1813</v>
      </c>
    </row>
    <row r="436" spans="1:22" ht="26.25" x14ac:dyDescent="0.25">
      <c r="A436" s="480">
        <v>5343</v>
      </c>
      <c r="B436" s="476">
        <v>511000</v>
      </c>
      <c r="C436" s="18" t="s">
        <v>372</v>
      </c>
      <c r="D436" s="18"/>
      <c r="E436" s="19">
        <f>SUM(E437:E440)</f>
        <v>6000</v>
      </c>
      <c r="F436" s="19">
        <f t="shared" ref="F436:Q436" si="133">SUM(F437:F440)</f>
        <v>2124</v>
      </c>
      <c r="G436" s="19">
        <f t="shared" si="133"/>
        <v>1450</v>
      </c>
      <c r="H436" s="19">
        <f t="shared" si="133"/>
        <v>2000</v>
      </c>
      <c r="I436" s="19">
        <f t="shared" si="133"/>
        <v>1450</v>
      </c>
      <c r="J436" s="19">
        <f t="shared" si="133"/>
        <v>0</v>
      </c>
      <c r="K436" s="19">
        <f t="shared" si="133"/>
        <v>0</v>
      </c>
      <c r="L436" s="19">
        <f t="shared" si="133"/>
        <v>0</v>
      </c>
      <c r="M436" s="19">
        <f t="shared" si="133"/>
        <v>0</v>
      </c>
      <c r="N436" s="19">
        <f t="shared" si="133"/>
        <v>0</v>
      </c>
      <c r="O436" s="19">
        <f t="shared" si="133"/>
        <v>0</v>
      </c>
      <c r="P436" s="19">
        <f t="shared" si="133"/>
        <v>124</v>
      </c>
      <c r="Q436" s="19">
        <f t="shared" si="133"/>
        <v>0</v>
      </c>
    </row>
    <row r="437" spans="1:22" hidden="1" x14ac:dyDescent="0.25">
      <c r="A437" s="45">
        <v>5344</v>
      </c>
      <c r="B437" s="23">
        <v>511100</v>
      </c>
      <c r="C437" s="9" t="s">
        <v>373</v>
      </c>
      <c r="D437" s="9"/>
      <c r="E437" s="36"/>
      <c r="F437" s="36"/>
      <c r="G437" s="37">
        <f t="shared" si="113"/>
        <v>0</v>
      </c>
      <c r="H437" s="37"/>
      <c r="I437" s="36"/>
      <c r="J437" s="36"/>
      <c r="K437" s="36"/>
      <c r="L437" s="36"/>
      <c r="M437" s="36"/>
      <c r="N437" s="36"/>
      <c r="O437" s="36"/>
      <c r="P437" s="36"/>
      <c r="Q437" s="36"/>
    </row>
    <row r="438" spans="1:22" hidden="1" x14ac:dyDescent="0.25">
      <c r="A438" s="45">
        <v>5345</v>
      </c>
      <c r="B438" s="23">
        <v>511200</v>
      </c>
      <c r="C438" s="9" t="s">
        <v>374</v>
      </c>
      <c r="D438" s="9"/>
      <c r="E438" s="36"/>
      <c r="F438" s="36"/>
      <c r="G438" s="37">
        <f t="shared" si="113"/>
        <v>0</v>
      </c>
      <c r="H438" s="37"/>
      <c r="I438" s="36"/>
      <c r="J438" s="36"/>
      <c r="K438" s="36"/>
      <c r="L438" s="36"/>
      <c r="M438" s="36"/>
      <c r="N438" s="36"/>
      <c r="O438" s="36"/>
      <c r="P438" s="36"/>
      <c r="Q438" s="36"/>
    </row>
    <row r="439" spans="1:22" ht="24.75" customHeight="1" x14ac:dyDescent="0.25">
      <c r="A439" s="45">
        <v>5346</v>
      </c>
      <c r="B439" s="23">
        <v>511300</v>
      </c>
      <c r="C439" s="9" t="s">
        <v>375</v>
      </c>
      <c r="D439" s="9"/>
      <c r="E439" s="36">
        <v>6000</v>
      </c>
      <c r="F439" s="36">
        <f>H439+K439+M439+P439</f>
        <v>2124</v>
      </c>
      <c r="G439" s="37">
        <f t="shared" ref="G439" si="134">SUM(I439:Q439)-K439-M439-P439</f>
        <v>1450</v>
      </c>
      <c r="H439" s="37">
        <v>2000</v>
      </c>
      <c r="I439" s="36">
        <v>1450</v>
      </c>
      <c r="J439" s="36"/>
      <c r="K439" s="36"/>
      <c r="L439" s="36"/>
      <c r="M439" s="36"/>
      <c r="N439" s="36"/>
      <c r="O439" s="36"/>
      <c r="P439" s="36">
        <v>124</v>
      </c>
      <c r="Q439" s="36"/>
      <c r="V439" s="12" t="s">
        <v>469</v>
      </c>
    </row>
    <row r="440" spans="1:22" hidden="1" x14ac:dyDescent="0.25">
      <c r="A440" s="45">
        <v>5347</v>
      </c>
      <c r="B440" s="23">
        <v>511400</v>
      </c>
      <c r="C440" s="9" t="s">
        <v>376</v>
      </c>
      <c r="D440" s="9"/>
      <c r="E440" s="36"/>
      <c r="F440" s="36"/>
      <c r="G440" s="37">
        <f t="shared" si="113"/>
        <v>0</v>
      </c>
      <c r="H440" s="37"/>
      <c r="I440" s="36"/>
      <c r="J440" s="36"/>
      <c r="K440" s="36"/>
      <c r="L440" s="36"/>
      <c r="M440" s="36"/>
      <c r="N440" s="36"/>
      <c r="O440" s="36"/>
      <c r="P440" s="36"/>
      <c r="Q440" s="36"/>
    </row>
    <row r="441" spans="1:22" ht="26.25" x14ac:dyDescent="0.25">
      <c r="A441" s="480">
        <v>5348</v>
      </c>
      <c r="B441" s="476">
        <v>512000</v>
      </c>
      <c r="C441" s="18" t="s">
        <v>377</v>
      </c>
      <c r="D441" s="18"/>
      <c r="E441" s="19">
        <f>SUM(E442:E451)</f>
        <v>29312</v>
      </c>
      <c r="F441" s="19">
        <f t="shared" ref="F441:Q441" si="135">SUM(F442:F451)</f>
        <v>25399</v>
      </c>
      <c r="G441" s="19">
        <f t="shared" si="135"/>
        <v>15613</v>
      </c>
      <c r="H441" s="19">
        <f t="shared" si="135"/>
        <v>18000</v>
      </c>
      <c r="I441" s="19">
        <f t="shared" si="135"/>
        <v>13800</v>
      </c>
      <c r="J441" s="19">
        <f t="shared" si="135"/>
        <v>0</v>
      </c>
      <c r="K441" s="19">
        <f t="shared" si="135"/>
        <v>2018</v>
      </c>
      <c r="L441" s="19">
        <f t="shared" si="135"/>
        <v>0</v>
      </c>
      <c r="M441" s="19">
        <f t="shared" si="135"/>
        <v>0</v>
      </c>
      <c r="N441" s="19">
        <f t="shared" si="135"/>
        <v>0</v>
      </c>
      <c r="O441" s="19">
        <f t="shared" si="135"/>
        <v>0</v>
      </c>
      <c r="P441" s="19">
        <f t="shared" si="135"/>
        <v>5381</v>
      </c>
      <c r="Q441" s="19">
        <f t="shared" si="135"/>
        <v>1813</v>
      </c>
    </row>
    <row r="442" spans="1:22" hidden="1" x14ac:dyDescent="0.25">
      <c r="A442" s="45">
        <v>5349</v>
      </c>
      <c r="B442" s="23">
        <v>512100</v>
      </c>
      <c r="C442" s="9" t="s">
        <v>378</v>
      </c>
      <c r="D442" s="9"/>
      <c r="E442" s="36"/>
      <c r="F442" s="36"/>
      <c r="G442" s="37">
        <f t="shared" si="113"/>
        <v>0</v>
      </c>
      <c r="H442" s="37"/>
      <c r="I442" s="36"/>
      <c r="J442" s="36"/>
      <c r="K442" s="36"/>
      <c r="L442" s="36"/>
      <c r="M442" s="36"/>
      <c r="N442" s="36"/>
      <c r="O442" s="36"/>
      <c r="P442" s="36"/>
      <c r="Q442" s="36"/>
    </row>
    <row r="443" spans="1:22" x14ac:dyDescent="0.25">
      <c r="A443" s="45">
        <v>5349</v>
      </c>
      <c r="B443" s="23">
        <v>512100</v>
      </c>
      <c r="C443" s="9" t="s">
        <v>378</v>
      </c>
      <c r="D443" s="9"/>
      <c r="E443" s="36"/>
      <c r="F443" s="36">
        <f>H443+K443+M443+P443</f>
        <v>3848</v>
      </c>
      <c r="G443" s="37"/>
      <c r="H443" s="37"/>
      <c r="I443" s="36"/>
      <c r="J443" s="36"/>
      <c r="K443" s="36"/>
      <c r="L443" s="36"/>
      <c r="M443" s="36"/>
      <c r="N443" s="36"/>
      <c r="O443" s="36"/>
      <c r="P443" s="38">
        <f>3960-112</f>
        <v>3848</v>
      </c>
      <c r="Q443" s="36"/>
    </row>
    <row r="444" spans="1:22" ht="28.5" x14ac:dyDescent="0.45">
      <c r="A444" s="45">
        <v>5350</v>
      </c>
      <c r="B444" s="23">
        <v>512200</v>
      </c>
      <c r="C444" s="9" t="s">
        <v>379</v>
      </c>
      <c r="D444" s="9"/>
      <c r="E444" s="36">
        <v>1312</v>
      </c>
      <c r="F444" s="36">
        <f>H444+K444+M444+P444</f>
        <v>1376</v>
      </c>
      <c r="G444" s="37">
        <f t="shared" ref="G444" si="136">SUM(I444:Q444)-K444-M444-P444</f>
        <v>1258</v>
      </c>
      <c r="H444" s="388"/>
      <c r="I444" s="36"/>
      <c r="J444" s="36"/>
      <c r="K444" s="36"/>
      <c r="L444" s="36"/>
      <c r="M444" s="36"/>
      <c r="N444" s="36"/>
      <c r="O444" s="36"/>
      <c r="P444" s="36">
        <f>2000-221-559-96+252</f>
        <v>1376</v>
      </c>
      <c r="Q444" s="36">
        <v>1258</v>
      </c>
      <c r="R444" s="12">
        <v>809</v>
      </c>
      <c r="S444" s="12">
        <v>1124</v>
      </c>
      <c r="T444" s="12">
        <f>S444-R444</f>
        <v>315</v>
      </c>
      <c r="V444" s="400" t="s">
        <v>538</v>
      </c>
    </row>
    <row r="445" spans="1:22" hidden="1" x14ac:dyDescent="0.25">
      <c r="A445" s="45">
        <v>5351</v>
      </c>
      <c r="B445" s="23">
        <v>512300</v>
      </c>
      <c r="C445" s="9" t="s">
        <v>380</v>
      </c>
      <c r="D445" s="9"/>
      <c r="E445" s="36"/>
      <c r="F445" s="36"/>
      <c r="G445" s="37">
        <f t="shared" si="113"/>
        <v>0</v>
      </c>
      <c r="H445" s="37"/>
      <c r="I445" s="36"/>
      <c r="J445" s="36"/>
      <c r="K445" s="36"/>
      <c r="L445" s="36"/>
      <c r="M445" s="36"/>
      <c r="N445" s="36"/>
      <c r="O445" s="36"/>
      <c r="P445" s="36"/>
      <c r="Q445" s="36"/>
    </row>
    <row r="446" spans="1:22" ht="26.25" hidden="1" x14ac:dyDescent="0.25">
      <c r="A446" s="45">
        <v>5352</v>
      </c>
      <c r="B446" s="23">
        <v>512400</v>
      </c>
      <c r="C446" s="9" t="s">
        <v>381</v>
      </c>
      <c r="D446" s="9"/>
      <c r="E446" s="36"/>
      <c r="F446" s="36"/>
      <c r="G446" s="37">
        <f t="shared" si="113"/>
        <v>0</v>
      </c>
      <c r="H446" s="37"/>
      <c r="I446" s="36"/>
      <c r="J446" s="36"/>
      <c r="K446" s="36"/>
      <c r="L446" s="36"/>
      <c r="M446" s="36"/>
      <c r="N446" s="36"/>
      <c r="O446" s="36"/>
      <c r="P446" s="36"/>
      <c r="Q446" s="36"/>
    </row>
    <row r="447" spans="1:22" ht="26.25" x14ac:dyDescent="0.25">
      <c r="A447" s="45">
        <v>5353</v>
      </c>
      <c r="B447" s="23">
        <v>512500</v>
      </c>
      <c r="C447" s="9" t="s">
        <v>382</v>
      </c>
      <c r="D447" s="9"/>
      <c r="E447" s="36">
        <v>28000</v>
      </c>
      <c r="F447" s="36">
        <f>H447+K447+M447+P447</f>
        <v>20175</v>
      </c>
      <c r="G447" s="37">
        <f t="shared" ref="G447" si="137">SUM(I447:Q447)-K447-M447-P447</f>
        <v>14355</v>
      </c>
      <c r="H447" s="37">
        <f>20000-2000</f>
        <v>18000</v>
      </c>
      <c r="I447" s="36">
        <v>13800</v>
      </c>
      <c r="J447" s="36"/>
      <c r="K447" s="36">
        <v>2018</v>
      </c>
      <c r="L447" s="36"/>
      <c r="M447" s="36"/>
      <c r="N447" s="36"/>
      <c r="O447" s="36"/>
      <c r="P447" s="38">
        <v>157</v>
      </c>
      <c r="Q447" s="36">
        <v>555</v>
      </c>
      <c r="V447" s="12" t="s">
        <v>469</v>
      </c>
    </row>
    <row r="448" spans="1:22" ht="26.25" hidden="1" x14ac:dyDescent="0.25">
      <c r="A448" s="45">
        <v>5354</v>
      </c>
      <c r="B448" s="23">
        <v>512600</v>
      </c>
      <c r="C448" s="9" t="s">
        <v>383</v>
      </c>
      <c r="D448" s="9"/>
      <c r="E448" s="36"/>
      <c r="F448" s="36"/>
      <c r="G448" s="37">
        <f t="shared" si="113"/>
        <v>0</v>
      </c>
      <c r="H448" s="37"/>
      <c r="I448" s="36"/>
      <c r="J448" s="36"/>
      <c r="K448" s="36"/>
      <c r="L448" s="36"/>
      <c r="M448" s="36"/>
      <c r="N448" s="36"/>
      <c r="O448" s="36"/>
      <c r="P448" s="36"/>
      <c r="Q448" s="36"/>
    </row>
    <row r="449" spans="1:17" hidden="1" x14ac:dyDescent="0.25">
      <c r="A449" s="45">
        <v>5355</v>
      </c>
      <c r="B449" s="23">
        <v>512700</v>
      </c>
      <c r="C449" s="9" t="s">
        <v>384</v>
      </c>
      <c r="D449" s="9"/>
      <c r="E449" s="36"/>
      <c r="F449" s="36"/>
      <c r="G449" s="37">
        <f t="shared" si="113"/>
        <v>0</v>
      </c>
      <c r="H449" s="37"/>
      <c r="I449" s="36"/>
      <c r="J449" s="36"/>
      <c r="K449" s="36"/>
      <c r="L449" s="36"/>
      <c r="M449" s="36"/>
      <c r="N449" s="36"/>
      <c r="O449" s="36"/>
      <c r="P449" s="36"/>
      <c r="Q449" s="36"/>
    </row>
    <row r="450" spans="1:17" hidden="1" x14ac:dyDescent="0.25">
      <c r="A450" s="45">
        <v>5356</v>
      </c>
      <c r="B450" s="23">
        <v>512800</v>
      </c>
      <c r="C450" s="9" t="s">
        <v>385</v>
      </c>
      <c r="D450" s="9"/>
      <c r="E450" s="36"/>
      <c r="F450" s="36"/>
      <c r="G450" s="37">
        <f t="shared" si="113"/>
        <v>0</v>
      </c>
      <c r="H450" s="37"/>
      <c r="I450" s="36"/>
      <c r="J450" s="36"/>
      <c r="K450" s="36"/>
      <c r="L450" s="36"/>
      <c r="M450" s="36"/>
      <c r="N450" s="36"/>
      <c r="O450" s="36"/>
      <c r="P450" s="36"/>
      <c r="Q450" s="36"/>
    </row>
    <row r="451" spans="1:17" ht="26.25" hidden="1" x14ac:dyDescent="0.25">
      <c r="A451" s="45">
        <v>5357</v>
      </c>
      <c r="B451" s="23">
        <v>512900</v>
      </c>
      <c r="C451" s="9" t="s">
        <v>386</v>
      </c>
      <c r="D451" s="9"/>
      <c r="E451" s="36"/>
      <c r="F451" s="36"/>
      <c r="G451" s="37">
        <f t="shared" si="113"/>
        <v>0</v>
      </c>
      <c r="H451" s="37"/>
      <c r="I451" s="36"/>
      <c r="J451" s="36"/>
      <c r="K451" s="36"/>
      <c r="L451" s="36"/>
      <c r="M451" s="36"/>
      <c r="N451" s="36"/>
      <c r="O451" s="36"/>
      <c r="P451" s="36"/>
      <c r="Q451" s="36"/>
    </row>
    <row r="452" spans="1:17" ht="26.25" hidden="1" x14ac:dyDescent="0.25">
      <c r="A452" s="480">
        <v>5358</v>
      </c>
      <c r="B452" s="476">
        <v>513000</v>
      </c>
      <c r="C452" s="18" t="s">
        <v>387</v>
      </c>
      <c r="D452" s="18"/>
      <c r="E452" s="19">
        <f>E453</f>
        <v>0</v>
      </c>
      <c r="F452" s="19"/>
      <c r="G452" s="19">
        <f t="shared" si="113"/>
        <v>0</v>
      </c>
      <c r="H452" s="19"/>
      <c r="I452" s="19">
        <f t="shared" ref="I452:Q452" si="138">I453</f>
        <v>0</v>
      </c>
      <c r="J452" s="19">
        <f t="shared" si="138"/>
        <v>0</v>
      </c>
      <c r="K452" s="19"/>
      <c r="L452" s="19">
        <f t="shared" si="138"/>
        <v>0</v>
      </c>
      <c r="M452" s="19"/>
      <c r="N452" s="19">
        <f t="shared" si="138"/>
        <v>0</v>
      </c>
      <c r="O452" s="19">
        <f t="shared" si="138"/>
        <v>0</v>
      </c>
      <c r="P452" s="19"/>
      <c r="Q452" s="19">
        <f t="shared" si="138"/>
        <v>0</v>
      </c>
    </row>
    <row r="453" spans="1:17" hidden="1" x14ac:dyDescent="0.25">
      <c r="A453" s="45">
        <v>5359</v>
      </c>
      <c r="B453" s="23">
        <v>513100</v>
      </c>
      <c r="C453" s="9" t="s">
        <v>388</v>
      </c>
      <c r="D453" s="9"/>
      <c r="E453" s="36"/>
      <c r="F453" s="36"/>
      <c r="G453" s="37">
        <f t="shared" si="113"/>
        <v>0</v>
      </c>
      <c r="H453" s="37"/>
      <c r="I453" s="36"/>
      <c r="J453" s="36"/>
      <c r="K453" s="36"/>
      <c r="L453" s="36"/>
      <c r="M453" s="36"/>
      <c r="N453" s="36"/>
      <c r="O453" s="36"/>
      <c r="P453" s="36"/>
      <c r="Q453" s="36"/>
    </row>
    <row r="454" spans="1:17" ht="26.25" hidden="1" x14ac:dyDescent="0.25">
      <c r="A454" s="480">
        <v>5360</v>
      </c>
      <c r="B454" s="476">
        <v>514000</v>
      </c>
      <c r="C454" s="18" t="s">
        <v>389</v>
      </c>
      <c r="D454" s="18"/>
      <c r="E454" s="19">
        <f>E455</f>
        <v>0</v>
      </c>
      <c r="F454" s="19"/>
      <c r="G454" s="19">
        <f t="shared" si="113"/>
        <v>0</v>
      </c>
      <c r="H454" s="19"/>
      <c r="I454" s="19">
        <f t="shared" ref="I454:Q454" si="139">I455</f>
        <v>0</v>
      </c>
      <c r="J454" s="19">
        <f t="shared" si="139"/>
        <v>0</v>
      </c>
      <c r="K454" s="19"/>
      <c r="L454" s="19">
        <f t="shared" si="139"/>
        <v>0</v>
      </c>
      <c r="M454" s="19"/>
      <c r="N454" s="19">
        <f t="shared" si="139"/>
        <v>0</v>
      </c>
      <c r="O454" s="19">
        <f t="shared" si="139"/>
        <v>0</v>
      </c>
      <c r="P454" s="19"/>
      <c r="Q454" s="19">
        <f t="shared" si="139"/>
        <v>0</v>
      </c>
    </row>
    <row r="455" spans="1:17" hidden="1" x14ac:dyDescent="0.25">
      <c r="A455" s="45">
        <v>5361</v>
      </c>
      <c r="B455" s="23">
        <v>514100</v>
      </c>
      <c r="C455" s="9" t="s">
        <v>390</v>
      </c>
      <c r="D455" s="9"/>
      <c r="E455" s="36"/>
      <c r="F455" s="36"/>
      <c r="G455" s="37">
        <f t="shared" si="113"/>
        <v>0</v>
      </c>
      <c r="H455" s="37"/>
      <c r="I455" s="36"/>
      <c r="J455" s="36"/>
      <c r="K455" s="36"/>
      <c r="L455" s="36"/>
      <c r="M455" s="36"/>
      <c r="N455" s="36"/>
      <c r="O455" s="36"/>
      <c r="P455" s="36"/>
      <c r="Q455" s="36"/>
    </row>
    <row r="456" spans="1:17" ht="26.25" x14ac:dyDescent="0.25">
      <c r="A456" s="480">
        <v>5362</v>
      </c>
      <c r="B456" s="476">
        <v>515000</v>
      </c>
      <c r="C456" s="18" t="s">
        <v>391</v>
      </c>
      <c r="D456" s="18"/>
      <c r="E456" s="19">
        <f>E457</f>
        <v>240</v>
      </c>
      <c r="F456" s="19">
        <f t="shared" ref="F456:Q456" si="140">F457</f>
        <v>100</v>
      </c>
      <c r="G456" s="19">
        <f t="shared" si="140"/>
        <v>100</v>
      </c>
      <c r="H456" s="19">
        <f t="shared" si="140"/>
        <v>0</v>
      </c>
      <c r="I456" s="19">
        <f t="shared" si="140"/>
        <v>0</v>
      </c>
      <c r="J456" s="19">
        <f t="shared" si="140"/>
        <v>0</v>
      </c>
      <c r="K456" s="19">
        <f t="shared" si="140"/>
        <v>0</v>
      </c>
      <c r="L456" s="19">
        <f t="shared" si="140"/>
        <v>0</v>
      </c>
      <c r="M456" s="19">
        <f t="shared" si="140"/>
        <v>0</v>
      </c>
      <c r="N456" s="19">
        <f t="shared" si="140"/>
        <v>0</v>
      </c>
      <c r="O456" s="19">
        <f t="shared" si="140"/>
        <v>0</v>
      </c>
      <c r="P456" s="19">
        <f t="shared" si="140"/>
        <v>100</v>
      </c>
      <c r="Q456" s="19">
        <f t="shared" si="140"/>
        <v>0</v>
      </c>
    </row>
    <row r="457" spans="1:17" x14ac:dyDescent="0.25">
      <c r="A457" s="45">
        <v>5363</v>
      </c>
      <c r="B457" s="23">
        <v>515100</v>
      </c>
      <c r="C457" s="9" t="s">
        <v>392</v>
      </c>
      <c r="D457" s="9"/>
      <c r="E457" s="36">
        <v>240</v>
      </c>
      <c r="F457" s="36">
        <f>H457+K457+M457+P457</f>
        <v>100</v>
      </c>
      <c r="G457" s="37">
        <f t="shared" si="113"/>
        <v>100</v>
      </c>
      <c r="H457" s="37"/>
      <c r="I457" s="36"/>
      <c r="J457" s="36"/>
      <c r="K457" s="36"/>
      <c r="L457" s="36"/>
      <c r="M457" s="36"/>
      <c r="N457" s="36"/>
      <c r="O457" s="36"/>
      <c r="P457" s="36">
        <v>100</v>
      </c>
      <c r="Q457" s="36"/>
    </row>
    <row r="458" spans="1:17" hidden="1" x14ac:dyDescent="0.25">
      <c r="A458" s="480">
        <v>5364</v>
      </c>
      <c r="B458" s="476">
        <v>520000</v>
      </c>
      <c r="C458" s="18" t="s">
        <v>393</v>
      </c>
      <c r="D458" s="18"/>
      <c r="E458" s="19">
        <f>E459+E461+E469</f>
        <v>0</v>
      </c>
      <c r="F458" s="19"/>
      <c r="G458" s="19">
        <f t="shared" ref="G458:G535" si="141">SUM(I458:Q458)</f>
        <v>0</v>
      </c>
      <c r="H458" s="19"/>
      <c r="I458" s="19">
        <f t="shared" ref="I458:Q458" si="142">I459+I461+I469</f>
        <v>0</v>
      </c>
      <c r="J458" s="19">
        <f t="shared" si="142"/>
        <v>0</v>
      </c>
      <c r="K458" s="19"/>
      <c r="L458" s="19">
        <f t="shared" si="142"/>
        <v>0</v>
      </c>
      <c r="M458" s="19"/>
      <c r="N458" s="19">
        <f t="shared" si="142"/>
        <v>0</v>
      </c>
      <c r="O458" s="19">
        <f t="shared" si="142"/>
        <v>0</v>
      </c>
      <c r="P458" s="19"/>
      <c r="Q458" s="19">
        <f t="shared" si="142"/>
        <v>0</v>
      </c>
    </row>
    <row r="459" spans="1:17" hidden="1" x14ac:dyDescent="0.25">
      <c r="A459" s="480">
        <v>5365</v>
      </c>
      <c r="B459" s="476">
        <v>521000</v>
      </c>
      <c r="C459" s="18" t="s">
        <v>394</v>
      </c>
      <c r="D459" s="18"/>
      <c r="E459" s="19">
        <f>E460</f>
        <v>0</v>
      </c>
      <c r="F459" s="19"/>
      <c r="G459" s="19">
        <f t="shared" si="141"/>
        <v>0</v>
      </c>
      <c r="H459" s="19"/>
      <c r="I459" s="19">
        <f t="shared" ref="I459:Q459" si="143">I460</f>
        <v>0</v>
      </c>
      <c r="J459" s="19">
        <f t="shared" si="143"/>
        <v>0</v>
      </c>
      <c r="K459" s="19"/>
      <c r="L459" s="19">
        <f t="shared" si="143"/>
        <v>0</v>
      </c>
      <c r="M459" s="19"/>
      <c r="N459" s="19">
        <f t="shared" si="143"/>
        <v>0</v>
      </c>
      <c r="O459" s="19">
        <f t="shared" si="143"/>
        <v>0</v>
      </c>
      <c r="P459" s="19"/>
      <c r="Q459" s="19">
        <f t="shared" si="143"/>
        <v>0</v>
      </c>
    </row>
    <row r="460" spans="1:17" hidden="1" x14ac:dyDescent="0.25">
      <c r="A460" s="45">
        <v>5366</v>
      </c>
      <c r="B460" s="23">
        <v>521100</v>
      </c>
      <c r="C460" s="9" t="s">
        <v>395</v>
      </c>
      <c r="D460" s="9"/>
      <c r="E460" s="36"/>
      <c r="F460" s="36"/>
      <c r="G460" s="37">
        <f t="shared" si="141"/>
        <v>0</v>
      </c>
      <c r="H460" s="37"/>
      <c r="I460" s="36"/>
      <c r="J460" s="36"/>
      <c r="K460" s="36"/>
      <c r="L460" s="36"/>
      <c r="M460" s="36"/>
      <c r="N460" s="36"/>
      <c r="O460" s="36"/>
      <c r="P460" s="36"/>
      <c r="Q460" s="36"/>
    </row>
    <row r="461" spans="1:17" ht="26.25" hidden="1" x14ac:dyDescent="0.25">
      <c r="A461" s="480">
        <v>5367</v>
      </c>
      <c r="B461" s="476">
        <v>522000</v>
      </c>
      <c r="C461" s="18" t="s">
        <v>396</v>
      </c>
      <c r="D461" s="18"/>
      <c r="E461" s="19">
        <f>SUM(E462:E468)</f>
        <v>0</v>
      </c>
      <c r="F461" s="19"/>
      <c r="G461" s="19">
        <f t="shared" si="141"/>
        <v>0</v>
      </c>
      <c r="H461" s="19"/>
      <c r="I461" s="19">
        <f t="shared" ref="I461:Q461" si="144">SUM(I462:I468)</f>
        <v>0</v>
      </c>
      <c r="J461" s="19">
        <f t="shared" si="144"/>
        <v>0</v>
      </c>
      <c r="K461" s="19"/>
      <c r="L461" s="19">
        <f t="shared" si="144"/>
        <v>0</v>
      </c>
      <c r="M461" s="19"/>
      <c r="N461" s="19">
        <f t="shared" si="144"/>
        <v>0</v>
      </c>
      <c r="O461" s="19">
        <f t="shared" si="144"/>
        <v>0</v>
      </c>
      <c r="P461" s="19"/>
      <c r="Q461" s="19">
        <f t="shared" si="144"/>
        <v>0</v>
      </c>
    </row>
    <row r="462" spans="1:17" hidden="1" x14ac:dyDescent="0.25">
      <c r="A462" s="45">
        <v>5368</v>
      </c>
      <c r="B462" s="23">
        <v>522100</v>
      </c>
      <c r="C462" s="9" t="s">
        <v>397</v>
      </c>
      <c r="D462" s="9"/>
      <c r="E462" s="36"/>
      <c r="F462" s="36"/>
      <c r="G462" s="37">
        <f t="shared" si="141"/>
        <v>0</v>
      </c>
      <c r="H462" s="37"/>
      <c r="I462" s="36"/>
      <c r="J462" s="36"/>
      <c r="K462" s="36"/>
      <c r="L462" s="36"/>
      <c r="M462" s="36"/>
      <c r="N462" s="36"/>
      <c r="O462" s="36"/>
      <c r="P462" s="36"/>
      <c r="Q462" s="36"/>
    </row>
    <row r="463" spans="1:17" hidden="1" x14ac:dyDescent="0.25">
      <c r="A463" s="542" t="s">
        <v>0</v>
      </c>
      <c r="B463" s="543" t="s">
        <v>1</v>
      </c>
      <c r="C463" s="542" t="s">
        <v>2</v>
      </c>
      <c r="D463" s="474"/>
      <c r="E463" s="542" t="s">
        <v>217</v>
      </c>
      <c r="F463" s="474"/>
      <c r="G463" s="544" t="s">
        <v>198</v>
      </c>
      <c r="H463" s="544"/>
      <c r="I463" s="545"/>
      <c r="J463" s="545"/>
      <c r="K463" s="545"/>
      <c r="L463" s="545"/>
      <c r="M463" s="545"/>
      <c r="N463" s="545"/>
      <c r="O463" s="545"/>
      <c r="P463" s="545"/>
      <c r="Q463" s="545"/>
    </row>
    <row r="464" spans="1:17" hidden="1" x14ac:dyDescent="0.25">
      <c r="A464" s="542"/>
      <c r="B464" s="543"/>
      <c r="C464" s="542"/>
      <c r="D464" s="474"/>
      <c r="E464" s="542"/>
      <c r="F464" s="474"/>
      <c r="G464" s="544" t="s">
        <v>199</v>
      </c>
      <c r="H464" s="476"/>
      <c r="I464" s="544" t="s">
        <v>200</v>
      </c>
      <c r="J464" s="545"/>
      <c r="K464" s="545"/>
      <c r="L464" s="545"/>
      <c r="M464" s="545"/>
      <c r="N464" s="545"/>
      <c r="O464" s="544" t="s">
        <v>7</v>
      </c>
      <c r="P464" s="476"/>
      <c r="Q464" s="544" t="s">
        <v>8</v>
      </c>
    </row>
    <row r="465" spans="1:17" ht="39" hidden="1" x14ac:dyDescent="0.25">
      <c r="A465" s="542"/>
      <c r="B465" s="543"/>
      <c r="C465" s="542"/>
      <c r="D465" s="474"/>
      <c r="E465" s="542"/>
      <c r="F465" s="474"/>
      <c r="G465" s="545"/>
      <c r="H465" s="477"/>
      <c r="I465" s="476" t="s">
        <v>201</v>
      </c>
      <c r="J465" s="476" t="s">
        <v>10</v>
      </c>
      <c r="K465" s="476"/>
      <c r="L465" s="476" t="s">
        <v>11</v>
      </c>
      <c r="M465" s="476"/>
      <c r="N465" s="476" t="s">
        <v>12</v>
      </c>
      <c r="O465" s="545"/>
      <c r="P465" s="477"/>
      <c r="Q465" s="545"/>
    </row>
    <row r="466" spans="1:17" ht="26.25" hidden="1" x14ac:dyDescent="0.25">
      <c r="A466" s="475" t="s">
        <v>18</v>
      </c>
      <c r="B466" s="475" t="s">
        <v>19</v>
      </c>
      <c r="C466" s="475" t="s">
        <v>20</v>
      </c>
      <c r="D466" s="475"/>
      <c r="E466" s="475" t="s">
        <v>21</v>
      </c>
      <c r="F466" s="475"/>
      <c r="G466" s="475" t="s">
        <v>22</v>
      </c>
      <c r="H466" s="475"/>
      <c r="I466" s="475" t="s">
        <v>23</v>
      </c>
      <c r="J466" s="475" t="s">
        <v>24</v>
      </c>
      <c r="K466" s="475"/>
      <c r="L466" s="475" t="s">
        <v>25</v>
      </c>
      <c r="M466" s="475"/>
      <c r="N466" s="475" t="s">
        <v>26</v>
      </c>
      <c r="O466" s="475" t="s">
        <v>27</v>
      </c>
      <c r="P466" s="475"/>
      <c r="Q466" s="475" t="s">
        <v>28</v>
      </c>
    </row>
    <row r="467" spans="1:17" hidden="1" x14ac:dyDescent="0.25">
      <c r="A467" s="45">
        <v>5369</v>
      </c>
      <c r="B467" s="23">
        <v>522200</v>
      </c>
      <c r="C467" s="9" t="s">
        <v>398</v>
      </c>
      <c r="D467" s="9"/>
      <c r="E467" s="36"/>
      <c r="F467" s="36"/>
      <c r="G467" s="37">
        <f t="shared" si="141"/>
        <v>0</v>
      </c>
      <c r="H467" s="37"/>
      <c r="I467" s="36"/>
      <c r="J467" s="36"/>
      <c r="K467" s="36"/>
      <c r="L467" s="36"/>
      <c r="M467" s="36"/>
      <c r="N467" s="36"/>
      <c r="O467" s="36"/>
      <c r="P467" s="36"/>
      <c r="Q467" s="36"/>
    </row>
    <row r="468" spans="1:17" hidden="1" x14ac:dyDescent="0.25">
      <c r="A468" s="45">
        <v>5370</v>
      </c>
      <c r="B468" s="23">
        <v>522300</v>
      </c>
      <c r="C468" s="9" t="s">
        <v>399</v>
      </c>
      <c r="D468" s="9"/>
      <c r="E468" s="36"/>
      <c r="F468" s="36"/>
      <c r="G468" s="37">
        <f t="shared" si="141"/>
        <v>0</v>
      </c>
      <c r="H468" s="37"/>
      <c r="I468" s="36"/>
      <c r="J468" s="36"/>
      <c r="K468" s="36"/>
      <c r="L468" s="36"/>
      <c r="M468" s="36"/>
      <c r="N468" s="36"/>
      <c r="O468" s="36"/>
      <c r="P468" s="36"/>
      <c r="Q468" s="36"/>
    </row>
    <row r="469" spans="1:17" ht="26.25" hidden="1" x14ac:dyDescent="0.25">
      <c r="A469" s="480">
        <v>5371</v>
      </c>
      <c r="B469" s="476">
        <v>523000</v>
      </c>
      <c r="C469" s="18" t="s">
        <v>400</v>
      </c>
      <c r="D469" s="18"/>
      <c r="E469" s="19">
        <f>E470</f>
        <v>0</v>
      </c>
      <c r="F469" s="19"/>
      <c r="G469" s="19">
        <f t="shared" si="141"/>
        <v>0</v>
      </c>
      <c r="H469" s="19"/>
      <c r="I469" s="19">
        <f t="shared" ref="I469:Q469" si="145">I470</f>
        <v>0</v>
      </c>
      <c r="J469" s="19">
        <f t="shared" si="145"/>
        <v>0</v>
      </c>
      <c r="K469" s="19"/>
      <c r="L469" s="19">
        <f t="shared" si="145"/>
        <v>0</v>
      </c>
      <c r="M469" s="19"/>
      <c r="N469" s="19">
        <f t="shared" si="145"/>
        <v>0</v>
      </c>
      <c r="O469" s="19">
        <f t="shared" si="145"/>
        <v>0</v>
      </c>
      <c r="P469" s="19"/>
      <c r="Q469" s="19">
        <f t="shared" si="145"/>
        <v>0</v>
      </c>
    </row>
    <row r="470" spans="1:17" hidden="1" x14ac:dyDescent="0.25">
      <c r="A470" s="45">
        <v>5372</v>
      </c>
      <c r="B470" s="23">
        <v>523100</v>
      </c>
      <c r="C470" s="9" t="s">
        <v>401</v>
      </c>
      <c r="D470" s="9"/>
      <c r="E470" s="36"/>
      <c r="F470" s="36"/>
      <c r="G470" s="37">
        <f t="shared" si="141"/>
        <v>0</v>
      </c>
      <c r="H470" s="37"/>
      <c r="I470" s="36"/>
      <c r="J470" s="36"/>
      <c r="K470" s="36"/>
      <c r="L470" s="36"/>
      <c r="M470" s="36"/>
      <c r="N470" s="36"/>
      <c r="O470" s="36"/>
      <c r="P470" s="36"/>
      <c r="Q470" s="36"/>
    </row>
    <row r="471" spans="1:17" hidden="1" x14ac:dyDescent="0.25">
      <c r="A471" s="480">
        <v>5373</v>
      </c>
      <c r="B471" s="476">
        <v>530000</v>
      </c>
      <c r="C471" s="18" t="s">
        <v>402</v>
      </c>
      <c r="D471" s="18"/>
      <c r="E471" s="19">
        <f>E472</f>
        <v>0</v>
      </c>
      <c r="F471" s="19"/>
      <c r="G471" s="19">
        <f t="shared" si="141"/>
        <v>0</v>
      </c>
      <c r="H471" s="19"/>
      <c r="I471" s="19">
        <f t="shared" ref="I471:Q472" si="146">I472</f>
        <v>0</v>
      </c>
      <c r="J471" s="19">
        <f t="shared" si="146"/>
        <v>0</v>
      </c>
      <c r="K471" s="19"/>
      <c r="L471" s="19">
        <f t="shared" si="146"/>
        <v>0</v>
      </c>
      <c r="M471" s="19"/>
      <c r="N471" s="19">
        <f t="shared" si="146"/>
        <v>0</v>
      </c>
      <c r="O471" s="19">
        <f t="shared" si="146"/>
        <v>0</v>
      </c>
      <c r="P471" s="19"/>
      <c r="Q471" s="19">
        <f t="shared" si="146"/>
        <v>0</v>
      </c>
    </row>
    <row r="472" spans="1:17" hidden="1" x14ac:dyDescent="0.25">
      <c r="A472" s="480">
        <v>5374</v>
      </c>
      <c r="B472" s="476">
        <v>531000</v>
      </c>
      <c r="C472" s="18" t="s">
        <v>403</v>
      </c>
      <c r="D472" s="18"/>
      <c r="E472" s="19">
        <f>E473</f>
        <v>0</v>
      </c>
      <c r="F472" s="19"/>
      <c r="G472" s="19">
        <f t="shared" si="141"/>
        <v>0</v>
      </c>
      <c r="H472" s="19"/>
      <c r="I472" s="19">
        <f t="shared" si="146"/>
        <v>0</v>
      </c>
      <c r="J472" s="19">
        <f t="shared" si="146"/>
        <v>0</v>
      </c>
      <c r="K472" s="19"/>
      <c r="L472" s="19">
        <f t="shared" si="146"/>
        <v>0</v>
      </c>
      <c r="M472" s="19"/>
      <c r="N472" s="19">
        <f t="shared" si="146"/>
        <v>0</v>
      </c>
      <c r="O472" s="19">
        <f t="shared" si="146"/>
        <v>0</v>
      </c>
      <c r="P472" s="19"/>
      <c r="Q472" s="19">
        <f t="shared" si="146"/>
        <v>0</v>
      </c>
    </row>
    <row r="473" spans="1:17" hidden="1" x14ac:dyDescent="0.25">
      <c r="A473" s="45">
        <v>5375</v>
      </c>
      <c r="B473" s="23">
        <v>531100</v>
      </c>
      <c r="C473" s="9" t="s">
        <v>404</v>
      </c>
      <c r="D473" s="9"/>
      <c r="E473" s="36"/>
      <c r="F473" s="36"/>
      <c r="G473" s="37">
        <f t="shared" si="141"/>
        <v>0</v>
      </c>
      <c r="H473" s="37"/>
      <c r="I473" s="36"/>
      <c r="J473" s="36"/>
      <c r="K473" s="36"/>
      <c r="L473" s="36"/>
      <c r="M473" s="36"/>
      <c r="N473" s="36"/>
      <c r="O473" s="36"/>
      <c r="P473" s="36"/>
      <c r="Q473" s="36"/>
    </row>
    <row r="474" spans="1:17" ht="26.25" hidden="1" x14ac:dyDescent="0.25">
      <c r="A474" s="480">
        <v>5376</v>
      </c>
      <c r="B474" s="476">
        <v>540000</v>
      </c>
      <c r="C474" s="18" t="s">
        <v>405</v>
      </c>
      <c r="D474" s="18"/>
      <c r="E474" s="19">
        <f>E475+E477+E479</f>
        <v>0</v>
      </c>
      <c r="F474" s="19"/>
      <c r="G474" s="19">
        <f t="shared" si="141"/>
        <v>0</v>
      </c>
      <c r="H474" s="19"/>
      <c r="I474" s="19">
        <f t="shared" ref="I474:Q474" si="147">I475+I477+I479</f>
        <v>0</v>
      </c>
      <c r="J474" s="19">
        <f t="shared" si="147"/>
        <v>0</v>
      </c>
      <c r="K474" s="19"/>
      <c r="L474" s="19">
        <f t="shared" si="147"/>
        <v>0</v>
      </c>
      <c r="M474" s="19"/>
      <c r="N474" s="19">
        <f t="shared" si="147"/>
        <v>0</v>
      </c>
      <c r="O474" s="19">
        <f t="shared" si="147"/>
        <v>0</v>
      </c>
      <c r="P474" s="19"/>
      <c r="Q474" s="19">
        <f t="shared" si="147"/>
        <v>0</v>
      </c>
    </row>
    <row r="475" spans="1:17" hidden="1" x14ac:dyDescent="0.25">
      <c r="A475" s="480">
        <v>5377</v>
      </c>
      <c r="B475" s="476">
        <v>541000</v>
      </c>
      <c r="C475" s="18" t="s">
        <v>406</v>
      </c>
      <c r="D475" s="18"/>
      <c r="E475" s="19">
        <f>E476</f>
        <v>0</v>
      </c>
      <c r="F475" s="19"/>
      <c r="G475" s="19">
        <f t="shared" si="141"/>
        <v>0</v>
      </c>
      <c r="H475" s="19"/>
      <c r="I475" s="19">
        <f t="shared" ref="I475:Q475" si="148">I476</f>
        <v>0</v>
      </c>
      <c r="J475" s="19">
        <f t="shared" si="148"/>
        <v>0</v>
      </c>
      <c r="K475" s="19"/>
      <c r="L475" s="19">
        <f t="shared" si="148"/>
        <v>0</v>
      </c>
      <c r="M475" s="19"/>
      <c r="N475" s="19">
        <f t="shared" si="148"/>
        <v>0</v>
      </c>
      <c r="O475" s="19">
        <f t="shared" si="148"/>
        <v>0</v>
      </c>
      <c r="P475" s="19"/>
      <c r="Q475" s="19">
        <f t="shared" si="148"/>
        <v>0</v>
      </c>
    </row>
    <row r="476" spans="1:17" hidden="1" x14ac:dyDescent="0.25">
      <c r="A476" s="45">
        <v>5378</v>
      </c>
      <c r="B476" s="23">
        <v>541100</v>
      </c>
      <c r="C476" s="9" t="s">
        <v>407</v>
      </c>
      <c r="D476" s="9"/>
      <c r="E476" s="36"/>
      <c r="F476" s="36"/>
      <c r="G476" s="37">
        <f t="shared" si="141"/>
        <v>0</v>
      </c>
      <c r="H476" s="37"/>
      <c r="I476" s="36"/>
      <c r="J476" s="36"/>
      <c r="K476" s="36"/>
      <c r="L476" s="36"/>
      <c r="M476" s="36"/>
      <c r="N476" s="36"/>
      <c r="O476" s="36"/>
      <c r="P476" s="36"/>
      <c r="Q476" s="36"/>
    </row>
    <row r="477" spans="1:17" hidden="1" x14ac:dyDescent="0.25">
      <c r="A477" s="480">
        <v>5379</v>
      </c>
      <c r="B477" s="476">
        <v>542000</v>
      </c>
      <c r="C477" s="18" t="s">
        <v>408</v>
      </c>
      <c r="D477" s="18"/>
      <c r="E477" s="19">
        <f>E478</f>
        <v>0</v>
      </c>
      <c r="F477" s="19"/>
      <c r="G477" s="19">
        <f t="shared" si="141"/>
        <v>0</v>
      </c>
      <c r="H477" s="19"/>
      <c r="I477" s="19">
        <f t="shared" ref="I477:Q477" si="149">I478</f>
        <v>0</v>
      </c>
      <c r="J477" s="19">
        <f t="shared" si="149"/>
        <v>0</v>
      </c>
      <c r="K477" s="19"/>
      <c r="L477" s="19">
        <f t="shared" si="149"/>
        <v>0</v>
      </c>
      <c r="M477" s="19"/>
      <c r="N477" s="19">
        <f t="shared" si="149"/>
        <v>0</v>
      </c>
      <c r="O477" s="19">
        <f t="shared" si="149"/>
        <v>0</v>
      </c>
      <c r="P477" s="19"/>
      <c r="Q477" s="19">
        <f t="shared" si="149"/>
        <v>0</v>
      </c>
    </row>
    <row r="478" spans="1:17" hidden="1" x14ac:dyDescent="0.25">
      <c r="A478" s="45">
        <v>5380</v>
      </c>
      <c r="B478" s="23">
        <v>542100</v>
      </c>
      <c r="C478" s="9" t="s">
        <v>409</v>
      </c>
      <c r="D478" s="9"/>
      <c r="E478" s="36"/>
      <c r="F478" s="36"/>
      <c r="G478" s="37">
        <f t="shared" si="141"/>
        <v>0</v>
      </c>
      <c r="H478" s="37"/>
      <c r="I478" s="36"/>
      <c r="J478" s="36"/>
      <c r="K478" s="36"/>
      <c r="L478" s="36"/>
      <c r="M478" s="36"/>
      <c r="N478" s="36"/>
      <c r="O478" s="36"/>
      <c r="P478" s="36"/>
      <c r="Q478" s="36"/>
    </row>
    <row r="479" spans="1:17" hidden="1" x14ac:dyDescent="0.25">
      <c r="A479" s="480">
        <v>5381</v>
      </c>
      <c r="B479" s="476">
        <v>543000</v>
      </c>
      <c r="C479" s="18" t="s">
        <v>410</v>
      </c>
      <c r="D479" s="18"/>
      <c r="E479" s="19">
        <f>E480+E481</f>
        <v>0</v>
      </c>
      <c r="F479" s="19"/>
      <c r="G479" s="19">
        <f t="shared" si="141"/>
        <v>0</v>
      </c>
      <c r="H479" s="19"/>
      <c r="I479" s="19">
        <f t="shared" ref="I479:Q479" si="150">I480+I481</f>
        <v>0</v>
      </c>
      <c r="J479" s="19">
        <f t="shared" si="150"/>
        <v>0</v>
      </c>
      <c r="K479" s="19"/>
      <c r="L479" s="19">
        <f t="shared" si="150"/>
        <v>0</v>
      </c>
      <c r="M479" s="19"/>
      <c r="N479" s="19">
        <f t="shared" si="150"/>
        <v>0</v>
      </c>
      <c r="O479" s="19">
        <f t="shared" si="150"/>
        <v>0</v>
      </c>
      <c r="P479" s="19"/>
      <c r="Q479" s="19">
        <f t="shared" si="150"/>
        <v>0</v>
      </c>
    </row>
    <row r="480" spans="1:17" hidden="1" x14ac:dyDescent="0.25">
      <c r="A480" s="45">
        <v>5382</v>
      </c>
      <c r="B480" s="23">
        <v>543100</v>
      </c>
      <c r="C480" s="9" t="s">
        <v>411</v>
      </c>
      <c r="D480" s="9"/>
      <c r="E480" s="36"/>
      <c r="F480" s="36"/>
      <c r="G480" s="37">
        <f t="shared" si="141"/>
        <v>0</v>
      </c>
      <c r="H480" s="37"/>
      <c r="I480" s="36"/>
      <c r="J480" s="36"/>
      <c r="K480" s="36"/>
      <c r="L480" s="36"/>
      <c r="M480" s="36"/>
      <c r="N480" s="36"/>
      <c r="O480" s="36"/>
      <c r="P480" s="36"/>
      <c r="Q480" s="36"/>
    </row>
    <row r="481" spans="1:17" hidden="1" x14ac:dyDescent="0.25">
      <c r="A481" s="45">
        <v>5383</v>
      </c>
      <c r="B481" s="23">
        <v>543200</v>
      </c>
      <c r="C481" s="9" t="s">
        <v>412</v>
      </c>
      <c r="D481" s="9"/>
      <c r="E481" s="36"/>
      <c r="F481" s="36"/>
      <c r="G481" s="37">
        <f t="shared" si="141"/>
        <v>0</v>
      </c>
      <c r="H481" s="37"/>
      <c r="I481" s="36"/>
      <c r="J481" s="36"/>
      <c r="K481" s="36"/>
      <c r="L481" s="36"/>
      <c r="M481" s="36"/>
      <c r="N481" s="36"/>
      <c r="O481" s="36"/>
      <c r="P481" s="36"/>
      <c r="Q481" s="36"/>
    </row>
    <row r="482" spans="1:17" ht="90" hidden="1" x14ac:dyDescent="0.25">
      <c r="A482" s="480">
        <v>5384</v>
      </c>
      <c r="B482" s="476">
        <v>550000</v>
      </c>
      <c r="C482" s="18" t="s">
        <v>413</v>
      </c>
      <c r="D482" s="18"/>
      <c r="E482" s="19">
        <f>E483</f>
        <v>0</v>
      </c>
      <c r="F482" s="19"/>
      <c r="G482" s="19">
        <f t="shared" si="141"/>
        <v>0</v>
      </c>
      <c r="H482" s="19"/>
      <c r="I482" s="19">
        <f t="shared" ref="I482:Q483" si="151">I483</f>
        <v>0</v>
      </c>
      <c r="J482" s="19">
        <f t="shared" si="151"/>
        <v>0</v>
      </c>
      <c r="K482" s="19"/>
      <c r="L482" s="19">
        <f t="shared" si="151"/>
        <v>0</v>
      </c>
      <c r="M482" s="19"/>
      <c r="N482" s="19">
        <f t="shared" si="151"/>
        <v>0</v>
      </c>
      <c r="O482" s="19">
        <f t="shared" si="151"/>
        <v>0</v>
      </c>
      <c r="P482" s="19"/>
      <c r="Q482" s="19">
        <f t="shared" si="151"/>
        <v>0</v>
      </c>
    </row>
    <row r="483" spans="1:17" ht="90" hidden="1" x14ac:dyDescent="0.25">
      <c r="A483" s="480">
        <v>5385</v>
      </c>
      <c r="B483" s="476">
        <v>551000</v>
      </c>
      <c r="C483" s="18" t="s">
        <v>414</v>
      </c>
      <c r="D483" s="18"/>
      <c r="E483" s="19">
        <f>E484</f>
        <v>0</v>
      </c>
      <c r="F483" s="19"/>
      <c r="G483" s="19">
        <f t="shared" si="141"/>
        <v>0</v>
      </c>
      <c r="H483" s="19"/>
      <c r="I483" s="19">
        <f t="shared" si="151"/>
        <v>0</v>
      </c>
      <c r="J483" s="19">
        <f t="shared" si="151"/>
        <v>0</v>
      </c>
      <c r="K483" s="19"/>
      <c r="L483" s="19">
        <f t="shared" si="151"/>
        <v>0</v>
      </c>
      <c r="M483" s="19"/>
      <c r="N483" s="19">
        <f t="shared" si="151"/>
        <v>0</v>
      </c>
      <c r="O483" s="19">
        <f t="shared" si="151"/>
        <v>0</v>
      </c>
      <c r="P483" s="19"/>
      <c r="Q483" s="19">
        <f t="shared" si="151"/>
        <v>0</v>
      </c>
    </row>
    <row r="484" spans="1:17" ht="51.75" hidden="1" x14ac:dyDescent="0.25">
      <c r="A484" s="45">
        <v>5386</v>
      </c>
      <c r="B484" s="23">
        <v>551100</v>
      </c>
      <c r="C484" s="9" t="s">
        <v>415</v>
      </c>
      <c r="D484" s="9"/>
      <c r="E484" s="36"/>
      <c r="F484" s="36"/>
      <c r="G484" s="37">
        <f t="shared" si="141"/>
        <v>0</v>
      </c>
      <c r="H484" s="37"/>
      <c r="I484" s="36"/>
      <c r="J484" s="36"/>
      <c r="K484" s="36"/>
      <c r="L484" s="36"/>
      <c r="M484" s="36"/>
      <c r="N484" s="36"/>
      <c r="O484" s="36"/>
      <c r="P484" s="36"/>
      <c r="Q484" s="36"/>
    </row>
    <row r="485" spans="1:17" ht="51.75" hidden="1" x14ac:dyDescent="0.25">
      <c r="A485" s="480">
        <v>5387</v>
      </c>
      <c r="B485" s="476">
        <v>600000</v>
      </c>
      <c r="C485" s="18" t="s">
        <v>416</v>
      </c>
      <c r="D485" s="18"/>
      <c r="E485" s="19">
        <f>E486+E515</f>
        <v>0</v>
      </c>
      <c r="F485" s="19"/>
      <c r="G485" s="19">
        <f t="shared" si="141"/>
        <v>0</v>
      </c>
      <c r="H485" s="19"/>
      <c r="I485" s="19">
        <f t="shared" ref="I485:Q485" si="152">I486+I515</f>
        <v>0</v>
      </c>
      <c r="J485" s="19">
        <f t="shared" si="152"/>
        <v>0</v>
      </c>
      <c r="K485" s="19"/>
      <c r="L485" s="19">
        <f t="shared" si="152"/>
        <v>0</v>
      </c>
      <c r="M485" s="19"/>
      <c r="N485" s="19">
        <f t="shared" si="152"/>
        <v>0</v>
      </c>
      <c r="O485" s="19">
        <f t="shared" si="152"/>
        <v>0</v>
      </c>
      <c r="P485" s="19"/>
      <c r="Q485" s="19">
        <f t="shared" si="152"/>
        <v>0</v>
      </c>
    </row>
    <row r="486" spans="1:17" ht="26.25" hidden="1" x14ac:dyDescent="0.25">
      <c r="A486" s="480">
        <v>5388</v>
      </c>
      <c r="B486" s="476">
        <v>610000</v>
      </c>
      <c r="C486" s="18" t="s">
        <v>417</v>
      </c>
      <c r="D486" s="18"/>
      <c r="E486" s="19">
        <f>E487+E501+E509+E511+E513</f>
        <v>0</v>
      </c>
      <c r="F486" s="19"/>
      <c r="G486" s="19">
        <f t="shared" si="141"/>
        <v>0</v>
      </c>
      <c r="H486" s="19"/>
      <c r="I486" s="19">
        <f t="shared" ref="I486:Q486" si="153">I487+I501+I509+I511+I513</f>
        <v>0</v>
      </c>
      <c r="J486" s="19">
        <f t="shared" si="153"/>
        <v>0</v>
      </c>
      <c r="K486" s="19"/>
      <c r="L486" s="19">
        <f t="shared" si="153"/>
        <v>0</v>
      </c>
      <c r="M486" s="19"/>
      <c r="N486" s="19">
        <f t="shared" si="153"/>
        <v>0</v>
      </c>
      <c r="O486" s="19">
        <f t="shared" si="153"/>
        <v>0</v>
      </c>
      <c r="P486" s="19"/>
      <c r="Q486" s="19">
        <f t="shared" si="153"/>
        <v>0</v>
      </c>
    </row>
    <row r="487" spans="1:17" ht="39" hidden="1" x14ac:dyDescent="0.25">
      <c r="A487" s="480">
        <v>5389</v>
      </c>
      <c r="B487" s="476">
        <v>611000</v>
      </c>
      <c r="C487" s="18" t="s">
        <v>418</v>
      </c>
      <c r="D487" s="18"/>
      <c r="E487" s="19">
        <f>SUM(E488:E500)</f>
        <v>0</v>
      </c>
      <c r="F487" s="19"/>
      <c r="G487" s="19">
        <f t="shared" si="141"/>
        <v>0</v>
      </c>
      <c r="H487" s="19"/>
      <c r="I487" s="19">
        <f t="shared" ref="I487:Q487" si="154">SUM(I488:I500)</f>
        <v>0</v>
      </c>
      <c r="J487" s="19">
        <f t="shared" si="154"/>
        <v>0</v>
      </c>
      <c r="K487" s="19"/>
      <c r="L487" s="19">
        <f t="shared" si="154"/>
        <v>0</v>
      </c>
      <c r="M487" s="19"/>
      <c r="N487" s="19">
        <f t="shared" si="154"/>
        <v>0</v>
      </c>
      <c r="O487" s="19">
        <f t="shared" si="154"/>
        <v>0</v>
      </c>
      <c r="P487" s="19"/>
      <c r="Q487" s="19">
        <f t="shared" si="154"/>
        <v>0</v>
      </c>
    </row>
    <row r="488" spans="1:17" ht="39" hidden="1" x14ac:dyDescent="0.25">
      <c r="A488" s="45">
        <v>5390</v>
      </c>
      <c r="B488" s="23">
        <v>611100</v>
      </c>
      <c r="C488" s="9" t="s">
        <v>419</v>
      </c>
      <c r="D488" s="9"/>
      <c r="E488" s="36"/>
      <c r="F488" s="36"/>
      <c r="G488" s="37">
        <f t="shared" si="141"/>
        <v>0</v>
      </c>
      <c r="H488" s="37"/>
      <c r="I488" s="36"/>
      <c r="J488" s="36"/>
      <c r="K488" s="36"/>
      <c r="L488" s="36"/>
      <c r="M488" s="36"/>
      <c r="N488" s="36"/>
      <c r="O488" s="36"/>
      <c r="P488" s="36"/>
      <c r="Q488" s="36"/>
    </row>
    <row r="489" spans="1:17" ht="26.25" hidden="1" x14ac:dyDescent="0.25">
      <c r="A489" s="45">
        <v>5391</v>
      </c>
      <c r="B489" s="23">
        <v>611200</v>
      </c>
      <c r="C489" s="9" t="s">
        <v>420</v>
      </c>
      <c r="D489" s="9"/>
      <c r="E489" s="36"/>
      <c r="F489" s="36"/>
      <c r="G489" s="37">
        <f t="shared" si="141"/>
        <v>0</v>
      </c>
      <c r="H489" s="37"/>
      <c r="I489" s="36"/>
      <c r="J489" s="36"/>
      <c r="K489" s="36"/>
      <c r="L489" s="36"/>
      <c r="M489" s="36"/>
      <c r="N489" s="36"/>
      <c r="O489" s="36"/>
      <c r="P489" s="36"/>
      <c r="Q489" s="36"/>
    </row>
    <row r="490" spans="1:17" ht="39" hidden="1" x14ac:dyDescent="0.25">
      <c r="A490" s="45">
        <v>5392</v>
      </c>
      <c r="B490" s="23">
        <v>611300</v>
      </c>
      <c r="C490" s="9" t="s">
        <v>421</v>
      </c>
      <c r="D490" s="9"/>
      <c r="E490" s="36"/>
      <c r="F490" s="36"/>
      <c r="G490" s="37">
        <f t="shared" si="141"/>
        <v>0</v>
      </c>
      <c r="H490" s="37"/>
      <c r="I490" s="36"/>
      <c r="J490" s="36"/>
      <c r="K490" s="36"/>
      <c r="L490" s="36"/>
      <c r="M490" s="36"/>
      <c r="N490" s="36"/>
      <c r="O490" s="36"/>
      <c r="P490" s="36"/>
      <c r="Q490" s="36"/>
    </row>
    <row r="491" spans="1:17" hidden="1" x14ac:dyDescent="0.25">
      <c r="A491" s="542" t="s">
        <v>0</v>
      </c>
      <c r="B491" s="543" t="s">
        <v>1</v>
      </c>
      <c r="C491" s="542" t="s">
        <v>2</v>
      </c>
      <c r="D491" s="474"/>
      <c r="E491" s="542" t="s">
        <v>217</v>
      </c>
      <c r="F491" s="474"/>
      <c r="G491" s="544" t="s">
        <v>198</v>
      </c>
      <c r="H491" s="544"/>
      <c r="I491" s="545"/>
      <c r="J491" s="545"/>
      <c r="K491" s="545"/>
      <c r="L491" s="545"/>
      <c r="M491" s="545"/>
      <c r="N491" s="545"/>
      <c r="O491" s="545"/>
      <c r="P491" s="545"/>
      <c r="Q491" s="545"/>
    </row>
    <row r="492" spans="1:17" hidden="1" x14ac:dyDescent="0.25">
      <c r="A492" s="542"/>
      <c r="B492" s="543"/>
      <c r="C492" s="542"/>
      <c r="D492" s="474"/>
      <c r="E492" s="542"/>
      <c r="F492" s="474"/>
      <c r="G492" s="544" t="s">
        <v>199</v>
      </c>
      <c r="H492" s="476"/>
      <c r="I492" s="544" t="s">
        <v>200</v>
      </c>
      <c r="J492" s="545"/>
      <c r="K492" s="545"/>
      <c r="L492" s="545"/>
      <c r="M492" s="545"/>
      <c r="N492" s="545"/>
      <c r="O492" s="544" t="s">
        <v>7</v>
      </c>
      <c r="P492" s="476"/>
      <c r="Q492" s="544" t="s">
        <v>8</v>
      </c>
    </row>
    <row r="493" spans="1:17" ht="39" hidden="1" x14ac:dyDescent="0.25">
      <c r="A493" s="542"/>
      <c r="B493" s="543"/>
      <c r="C493" s="542"/>
      <c r="D493" s="474"/>
      <c r="E493" s="542"/>
      <c r="F493" s="474"/>
      <c r="G493" s="545"/>
      <c r="H493" s="477"/>
      <c r="I493" s="476" t="s">
        <v>201</v>
      </c>
      <c r="J493" s="476" t="s">
        <v>10</v>
      </c>
      <c r="K493" s="476"/>
      <c r="L493" s="476" t="s">
        <v>11</v>
      </c>
      <c r="M493" s="476"/>
      <c r="N493" s="476" t="s">
        <v>12</v>
      </c>
      <c r="O493" s="545"/>
      <c r="P493" s="477"/>
      <c r="Q493" s="545"/>
    </row>
    <row r="494" spans="1:17" ht="26.25" hidden="1" x14ac:dyDescent="0.25">
      <c r="A494" s="475" t="s">
        <v>18</v>
      </c>
      <c r="B494" s="475" t="s">
        <v>19</v>
      </c>
      <c r="C494" s="475" t="s">
        <v>20</v>
      </c>
      <c r="D494" s="475"/>
      <c r="E494" s="475" t="s">
        <v>21</v>
      </c>
      <c r="F494" s="475"/>
      <c r="G494" s="475" t="s">
        <v>22</v>
      </c>
      <c r="H494" s="475"/>
      <c r="I494" s="475" t="s">
        <v>23</v>
      </c>
      <c r="J494" s="475" t="s">
        <v>24</v>
      </c>
      <c r="K494" s="475"/>
      <c r="L494" s="475" t="s">
        <v>25</v>
      </c>
      <c r="M494" s="475"/>
      <c r="N494" s="475" t="s">
        <v>26</v>
      </c>
      <c r="O494" s="475" t="s">
        <v>27</v>
      </c>
      <c r="P494" s="475"/>
      <c r="Q494" s="475" t="s">
        <v>28</v>
      </c>
    </row>
    <row r="495" spans="1:17" ht="26.25" hidden="1" x14ac:dyDescent="0.25">
      <c r="A495" s="45">
        <v>5393</v>
      </c>
      <c r="B495" s="23">
        <v>611400</v>
      </c>
      <c r="C495" s="9" t="s">
        <v>422</v>
      </c>
      <c r="D495" s="9"/>
      <c r="E495" s="36"/>
      <c r="F495" s="36"/>
      <c r="G495" s="37">
        <f t="shared" si="141"/>
        <v>0</v>
      </c>
      <c r="H495" s="37"/>
      <c r="I495" s="36"/>
      <c r="J495" s="36"/>
      <c r="K495" s="36"/>
      <c r="L495" s="36"/>
      <c r="M495" s="36"/>
      <c r="N495" s="36"/>
      <c r="O495" s="36"/>
      <c r="P495" s="36"/>
      <c r="Q495" s="36"/>
    </row>
    <row r="496" spans="1:17" ht="26.25" hidden="1" x14ac:dyDescent="0.25">
      <c r="A496" s="45">
        <v>5394</v>
      </c>
      <c r="B496" s="23">
        <v>611500</v>
      </c>
      <c r="C496" s="9" t="s">
        <v>423</v>
      </c>
      <c r="D496" s="9"/>
      <c r="E496" s="36"/>
      <c r="F496" s="36"/>
      <c r="G496" s="37">
        <f t="shared" si="141"/>
        <v>0</v>
      </c>
      <c r="H496" s="37"/>
      <c r="I496" s="36"/>
      <c r="J496" s="36"/>
      <c r="K496" s="36"/>
      <c r="L496" s="36"/>
      <c r="M496" s="36"/>
      <c r="N496" s="36"/>
      <c r="O496" s="36"/>
      <c r="P496" s="36"/>
      <c r="Q496" s="36"/>
    </row>
    <row r="497" spans="1:17" ht="26.25" hidden="1" x14ac:dyDescent="0.25">
      <c r="A497" s="45">
        <v>5395</v>
      </c>
      <c r="B497" s="23">
        <v>611600</v>
      </c>
      <c r="C497" s="9" t="s">
        <v>424</v>
      </c>
      <c r="D497" s="9"/>
      <c r="E497" s="36"/>
      <c r="F497" s="36"/>
      <c r="G497" s="37">
        <f t="shared" si="141"/>
        <v>0</v>
      </c>
      <c r="H497" s="37"/>
      <c r="I497" s="36"/>
      <c r="J497" s="36"/>
      <c r="K497" s="36"/>
      <c r="L497" s="36"/>
      <c r="M497" s="36"/>
      <c r="N497" s="36"/>
      <c r="O497" s="36"/>
      <c r="P497" s="36"/>
      <c r="Q497" s="36"/>
    </row>
    <row r="498" spans="1:17" ht="26.25" hidden="1" x14ac:dyDescent="0.25">
      <c r="A498" s="45">
        <v>5396</v>
      </c>
      <c r="B498" s="23">
        <v>611700</v>
      </c>
      <c r="C498" s="9" t="s">
        <v>425</v>
      </c>
      <c r="D498" s="9"/>
      <c r="E498" s="36"/>
      <c r="F498" s="36"/>
      <c r="G498" s="37">
        <f t="shared" si="141"/>
        <v>0</v>
      </c>
      <c r="H498" s="37"/>
      <c r="I498" s="36"/>
      <c r="J498" s="36"/>
      <c r="K498" s="36"/>
      <c r="L498" s="36"/>
      <c r="M498" s="36"/>
      <c r="N498" s="36"/>
      <c r="O498" s="36"/>
      <c r="P498" s="36"/>
      <c r="Q498" s="36"/>
    </row>
    <row r="499" spans="1:17" hidden="1" x14ac:dyDescent="0.25">
      <c r="A499" s="45">
        <v>5397</v>
      </c>
      <c r="B499" s="23">
        <v>611800</v>
      </c>
      <c r="C499" s="9" t="s">
        <v>426</v>
      </c>
      <c r="D499" s="9"/>
      <c r="E499" s="36"/>
      <c r="F499" s="36"/>
      <c r="G499" s="37">
        <f t="shared" si="141"/>
        <v>0</v>
      </c>
      <c r="H499" s="37"/>
      <c r="I499" s="36"/>
      <c r="J499" s="36"/>
      <c r="K499" s="36"/>
      <c r="L499" s="36"/>
      <c r="M499" s="36"/>
      <c r="N499" s="36"/>
      <c r="O499" s="36"/>
      <c r="P499" s="36"/>
      <c r="Q499" s="36"/>
    </row>
    <row r="500" spans="1:17" hidden="1" x14ac:dyDescent="0.25">
      <c r="A500" s="45">
        <v>5398</v>
      </c>
      <c r="B500" s="23">
        <v>611900</v>
      </c>
      <c r="C500" s="9" t="s">
        <v>165</v>
      </c>
      <c r="D500" s="9"/>
      <c r="E500" s="36"/>
      <c r="F500" s="36"/>
      <c r="G500" s="37">
        <f t="shared" si="141"/>
        <v>0</v>
      </c>
      <c r="H500" s="37"/>
      <c r="I500" s="36"/>
      <c r="J500" s="36"/>
      <c r="K500" s="36"/>
      <c r="L500" s="36"/>
      <c r="M500" s="36"/>
      <c r="N500" s="36"/>
      <c r="O500" s="36"/>
      <c r="P500" s="36"/>
      <c r="Q500" s="36"/>
    </row>
    <row r="501" spans="1:17" ht="39" hidden="1" x14ac:dyDescent="0.25">
      <c r="A501" s="480">
        <v>5399</v>
      </c>
      <c r="B501" s="476">
        <v>612000</v>
      </c>
      <c r="C501" s="18" t="s">
        <v>427</v>
      </c>
      <c r="D501" s="18"/>
      <c r="E501" s="19">
        <f>SUM(E502:E508)</f>
        <v>0</v>
      </c>
      <c r="F501" s="19"/>
      <c r="G501" s="19">
        <f t="shared" si="141"/>
        <v>0</v>
      </c>
      <c r="H501" s="19"/>
      <c r="I501" s="19">
        <f t="shared" ref="I501:Q501" si="155">SUM(I502:I508)</f>
        <v>0</v>
      </c>
      <c r="J501" s="19">
        <f t="shared" si="155"/>
        <v>0</v>
      </c>
      <c r="K501" s="19"/>
      <c r="L501" s="19">
        <f t="shared" si="155"/>
        <v>0</v>
      </c>
      <c r="M501" s="19"/>
      <c r="N501" s="19">
        <f t="shared" si="155"/>
        <v>0</v>
      </c>
      <c r="O501" s="19">
        <f t="shared" si="155"/>
        <v>0</v>
      </c>
      <c r="P501" s="19"/>
      <c r="Q501" s="19">
        <f t="shared" si="155"/>
        <v>0</v>
      </c>
    </row>
    <row r="502" spans="1:17" ht="51.75" hidden="1" x14ac:dyDescent="0.25">
      <c r="A502" s="45">
        <v>5400</v>
      </c>
      <c r="B502" s="23">
        <v>612100</v>
      </c>
      <c r="C502" s="9" t="s">
        <v>428</v>
      </c>
      <c r="D502" s="9"/>
      <c r="E502" s="36"/>
      <c r="F502" s="36"/>
      <c r="G502" s="37">
        <f t="shared" si="141"/>
        <v>0</v>
      </c>
      <c r="H502" s="37"/>
      <c r="I502" s="36"/>
      <c r="J502" s="36"/>
      <c r="K502" s="36"/>
      <c r="L502" s="36"/>
      <c r="M502" s="36"/>
      <c r="N502" s="36"/>
      <c r="O502" s="36"/>
      <c r="P502" s="36"/>
      <c r="Q502" s="36"/>
    </row>
    <row r="503" spans="1:17" ht="26.25" hidden="1" x14ac:dyDescent="0.25">
      <c r="A503" s="45">
        <v>5401</v>
      </c>
      <c r="B503" s="23">
        <v>612200</v>
      </c>
      <c r="C503" s="9" t="s">
        <v>429</v>
      </c>
      <c r="D503" s="9"/>
      <c r="E503" s="36"/>
      <c r="F503" s="36"/>
      <c r="G503" s="37">
        <f t="shared" si="141"/>
        <v>0</v>
      </c>
      <c r="H503" s="37"/>
      <c r="I503" s="36"/>
      <c r="J503" s="36"/>
      <c r="K503" s="36"/>
      <c r="L503" s="36"/>
      <c r="M503" s="36"/>
      <c r="N503" s="36"/>
      <c r="O503" s="36"/>
      <c r="P503" s="36"/>
      <c r="Q503" s="36"/>
    </row>
    <row r="504" spans="1:17" ht="26.25" hidden="1" x14ac:dyDescent="0.25">
      <c r="A504" s="45">
        <v>5402</v>
      </c>
      <c r="B504" s="23">
        <v>612300</v>
      </c>
      <c r="C504" s="9" t="s">
        <v>430</v>
      </c>
      <c r="D504" s="9"/>
      <c r="E504" s="36"/>
      <c r="F504" s="36"/>
      <c r="G504" s="37">
        <f t="shared" si="141"/>
        <v>0</v>
      </c>
      <c r="H504" s="37"/>
      <c r="I504" s="36"/>
      <c r="J504" s="36"/>
      <c r="K504" s="36"/>
      <c r="L504" s="36"/>
      <c r="M504" s="36"/>
      <c r="N504" s="36"/>
      <c r="O504" s="36"/>
      <c r="P504" s="36"/>
      <c r="Q504" s="36"/>
    </row>
    <row r="505" spans="1:17" ht="26.25" hidden="1" x14ac:dyDescent="0.25">
      <c r="A505" s="45">
        <v>5403</v>
      </c>
      <c r="B505" s="23">
        <v>612400</v>
      </c>
      <c r="C505" s="9" t="s">
        <v>431</v>
      </c>
      <c r="D505" s="9"/>
      <c r="E505" s="36"/>
      <c r="F505" s="36"/>
      <c r="G505" s="37">
        <f t="shared" si="141"/>
        <v>0</v>
      </c>
      <c r="H505" s="37"/>
      <c r="I505" s="36"/>
      <c r="J505" s="36"/>
      <c r="K505" s="36"/>
      <c r="L505" s="36"/>
      <c r="M505" s="36"/>
      <c r="N505" s="36"/>
      <c r="O505" s="36"/>
      <c r="P505" s="36"/>
      <c r="Q505" s="36"/>
    </row>
    <row r="506" spans="1:17" ht="26.25" hidden="1" x14ac:dyDescent="0.25">
      <c r="A506" s="45">
        <v>5404</v>
      </c>
      <c r="B506" s="23">
        <v>612500</v>
      </c>
      <c r="C506" s="9" t="s">
        <v>432</v>
      </c>
      <c r="D506" s="9"/>
      <c r="E506" s="36"/>
      <c r="F506" s="36"/>
      <c r="G506" s="37">
        <f t="shared" si="141"/>
        <v>0</v>
      </c>
      <c r="H506" s="37"/>
      <c r="I506" s="36"/>
      <c r="J506" s="36"/>
      <c r="K506" s="36"/>
      <c r="L506" s="36"/>
      <c r="M506" s="36"/>
      <c r="N506" s="36"/>
      <c r="O506" s="36"/>
      <c r="P506" s="36"/>
      <c r="Q506" s="36"/>
    </row>
    <row r="507" spans="1:17" ht="26.25" hidden="1" x14ac:dyDescent="0.25">
      <c r="A507" s="45">
        <v>5405</v>
      </c>
      <c r="B507" s="23">
        <v>612600</v>
      </c>
      <c r="C507" s="9" t="s">
        <v>433</v>
      </c>
      <c r="D507" s="9"/>
      <c r="E507" s="36"/>
      <c r="F507" s="36"/>
      <c r="G507" s="37">
        <f t="shared" si="141"/>
        <v>0</v>
      </c>
      <c r="H507" s="37"/>
      <c r="I507" s="36"/>
      <c r="J507" s="36"/>
      <c r="K507" s="36"/>
      <c r="L507" s="36"/>
      <c r="M507" s="36"/>
      <c r="N507" s="36"/>
      <c r="O507" s="36"/>
      <c r="P507" s="36"/>
      <c r="Q507" s="36"/>
    </row>
    <row r="508" spans="1:17" hidden="1" x14ac:dyDescent="0.25">
      <c r="A508" s="45">
        <v>5406</v>
      </c>
      <c r="B508" s="23">
        <v>612900</v>
      </c>
      <c r="C508" s="9" t="s">
        <v>173</v>
      </c>
      <c r="D508" s="9"/>
      <c r="E508" s="36"/>
      <c r="F508" s="36"/>
      <c r="G508" s="37">
        <f t="shared" si="141"/>
        <v>0</v>
      </c>
      <c r="H508" s="37"/>
      <c r="I508" s="36"/>
      <c r="J508" s="36"/>
      <c r="K508" s="36"/>
      <c r="L508" s="36"/>
      <c r="M508" s="36"/>
      <c r="N508" s="36"/>
      <c r="O508" s="36"/>
      <c r="P508" s="36"/>
      <c r="Q508" s="36"/>
    </row>
    <row r="509" spans="1:17" ht="26.25" hidden="1" x14ac:dyDescent="0.25">
      <c r="A509" s="480">
        <v>5407</v>
      </c>
      <c r="B509" s="476">
        <v>613000</v>
      </c>
      <c r="C509" s="18" t="s">
        <v>434</v>
      </c>
      <c r="D509" s="18"/>
      <c r="E509" s="19">
        <f>E510</f>
        <v>0</v>
      </c>
      <c r="F509" s="19"/>
      <c r="G509" s="19">
        <f t="shared" si="141"/>
        <v>0</v>
      </c>
      <c r="H509" s="19"/>
      <c r="I509" s="19">
        <f t="shared" ref="I509:Q509" si="156">I510</f>
        <v>0</v>
      </c>
      <c r="J509" s="19">
        <f t="shared" si="156"/>
        <v>0</v>
      </c>
      <c r="K509" s="19"/>
      <c r="L509" s="19">
        <f t="shared" si="156"/>
        <v>0</v>
      </c>
      <c r="M509" s="19"/>
      <c r="N509" s="19">
        <f t="shared" si="156"/>
        <v>0</v>
      </c>
      <c r="O509" s="19">
        <f t="shared" si="156"/>
        <v>0</v>
      </c>
      <c r="P509" s="19"/>
      <c r="Q509" s="19">
        <f t="shared" si="156"/>
        <v>0</v>
      </c>
    </row>
    <row r="510" spans="1:17" hidden="1" x14ac:dyDescent="0.25">
      <c r="A510" s="45">
        <v>5408</v>
      </c>
      <c r="B510" s="23">
        <v>613100</v>
      </c>
      <c r="C510" s="9" t="s">
        <v>435</v>
      </c>
      <c r="D510" s="9"/>
      <c r="E510" s="36"/>
      <c r="F510" s="36"/>
      <c r="G510" s="37">
        <f t="shared" si="141"/>
        <v>0</v>
      </c>
      <c r="H510" s="37"/>
      <c r="I510" s="36"/>
      <c r="J510" s="36"/>
      <c r="K510" s="36"/>
      <c r="L510" s="36"/>
      <c r="M510" s="36"/>
      <c r="N510" s="36"/>
      <c r="O510" s="36"/>
      <c r="P510" s="36"/>
      <c r="Q510" s="36"/>
    </row>
    <row r="511" spans="1:17" ht="39" hidden="1" x14ac:dyDescent="0.25">
      <c r="A511" s="480">
        <v>5409</v>
      </c>
      <c r="B511" s="476">
        <v>614000</v>
      </c>
      <c r="C511" s="18" t="s">
        <v>436</v>
      </c>
      <c r="D511" s="18"/>
      <c r="E511" s="19">
        <f>E512</f>
        <v>0</v>
      </c>
      <c r="F511" s="19"/>
      <c r="G511" s="19">
        <f t="shared" si="141"/>
        <v>0</v>
      </c>
      <c r="H511" s="19"/>
      <c r="I511" s="19">
        <f t="shared" ref="I511:Q513" si="157">I512</f>
        <v>0</v>
      </c>
      <c r="J511" s="19">
        <f t="shared" si="157"/>
        <v>0</v>
      </c>
      <c r="K511" s="19"/>
      <c r="L511" s="19">
        <f t="shared" si="157"/>
        <v>0</v>
      </c>
      <c r="M511" s="19"/>
      <c r="N511" s="19">
        <f t="shared" si="157"/>
        <v>0</v>
      </c>
      <c r="O511" s="19">
        <f t="shared" si="157"/>
        <v>0</v>
      </c>
      <c r="P511" s="19"/>
      <c r="Q511" s="19">
        <f t="shared" si="157"/>
        <v>0</v>
      </c>
    </row>
    <row r="512" spans="1:17" ht="26.25" hidden="1" x14ac:dyDescent="0.25">
      <c r="A512" s="45">
        <v>5410</v>
      </c>
      <c r="B512" s="23">
        <v>614100</v>
      </c>
      <c r="C512" s="9" t="s">
        <v>437</v>
      </c>
      <c r="D512" s="9"/>
      <c r="E512" s="36"/>
      <c r="F512" s="36"/>
      <c r="G512" s="37">
        <f t="shared" si="141"/>
        <v>0</v>
      </c>
      <c r="H512" s="37"/>
      <c r="I512" s="36"/>
      <c r="J512" s="36"/>
      <c r="K512" s="36"/>
      <c r="L512" s="36"/>
      <c r="M512" s="36"/>
      <c r="N512" s="36"/>
      <c r="O512" s="36"/>
      <c r="P512" s="36"/>
      <c r="Q512" s="36"/>
    </row>
    <row r="513" spans="1:17" ht="39" hidden="1" x14ac:dyDescent="0.25">
      <c r="A513" s="480">
        <v>5411</v>
      </c>
      <c r="B513" s="476">
        <v>615000</v>
      </c>
      <c r="C513" s="18" t="s">
        <v>438</v>
      </c>
      <c r="D513" s="18"/>
      <c r="E513" s="19">
        <f>E514</f>
        <v>0</v>
      </c>
      <c r="F513" s="19"/>
      <c r="G513" s="19">
        <f t="shared" si="141"/>
        <v>0</v>
      </c>
      <c r="H513" s="19"/>
      <c r="I513" s="19">
        <f t="shared" si="157"/>
        <v>0</v>
      </c>
      <c r="J513" s="19">
        <f t="shared" si="157"/>
        <v>0</v>
      </c>
      <c r="K513" s="19"/>
      <c r="L513" s="19">
        <f t="shared" si="157"/>
        <v>0</v>
      </c>
      <c r="M513" s="19"/>
      <c r="N513" s="19">
        <f t="shared" si="157"/>
        <v>0</v>
      </c>
      <c r="O513" s="19">
        <f t="shared" si="157"/>
        <v>0</v>
      </c>
      <c r="P513" s="19"/>
      <c r="Q513" s="19">
        <f t="shared" si="157"/>
        <v>0</v>
      </c>
    </row>
    <row r="514" spans="1:17" ht="26.25" hidden="1" x14ac:dyDescent="0.25">
      <c r="A514" s="45">
        <v>5412</v>
      </c>
      <c r="B514" s="23">
        <v>615100</v>
      </c>
      <c r="C514" s="9" t="s">
        <v>439</v>
      </c>
      <c r="D514" s="9"/>
      <c r="E514" s="36"/>
      <c r="F514" s="36"/>
      <c r="G514" s="37">
        <f t="shared" si="141"/>
        <v>0</v>
      </c>
      <c r="H514" s="37"/>
      <c r="I514" s="36"/>
      <c r="J514" s="36"/>
      <c r="K514" s="36"/>
      <c r="L514" s="36"/>
      <c r="M514" s="36"/>
      <c r="N514" s="36"/>
      <c r="O514" s="36"/>
      <c r="P514" s="36"/>
      <c r="Q514" s="36"/>
    </row>
    <row r="515" spans="1:17" ht="26.25" hidden="1" x14ac:dyDescent="0.25">
      <c r="A515" s="480">
        <v>5413</v>
      </c>
      <c r="B515" s="476">
        <v>620000</v>
      </c>
      <c r="C515" s="18" t="s">
        <v>440</v>
      </c>
      <c r="D515" s="18"/>
      <c r="E515" s="19">
        <f>E516+E530+E539</f>
        <v>0</v>
      </c>
      <c r="F515" s="19"/>
      <c r="G515" s="19">
        <f t="shared" si="141"/>
        <v>0</v>
      </c>
      <c r="H515" s="19"/>
      <c r="I515" s="19">
        <f t="shared" ref="I515:Q515" si="158">I516+I530+I539</f>
        <v>0</v>
      </c>
      <c r="J515" s="19">
        <f t="shared" si="158"/>
        <v>0</v>
      </c>
      <c r="K515" s="19"/>
      <c r="L515" s="19">
        <f t="shared" si="158"/>
        <v>0</v>
      </c>
      <c r="M515" s="19"/>
      <c r="N515" s="19">
        <f t="shared" si="158"/>
        <v>0</v>
      </c>
      <c r="O515" s="19">
        <f t="shared" si="158"/>
        <v>0</v>
      </c>
      <c r="P515" s="19"/>
      <c r="Q515" s="19">
        <f t="shared" si="158"/>
        <v>0</v>
      </c>
    </row>
    <row r="516" spans="1:17" ht="39" hidden="1" x14ac:dyDescent="0.25">
      <c r="A516" s="480">
        <v>5414</v>
      </c>
      <c r="B516" s="476">
        <v>621000</v>
      </c>
      <c r="C516" s="18" t="s">
        <v>441</v>
      </c>
      <c r="D516" s="18"/>
      <c r="E516" s="19">
        <f>SUM(E517:E529)</f>
        <v>0</v>
      </c>
      <c r="F516" s="19"/>
      <c r="G516" s="19">
        <f t="shared" si="141"/>
        <v>0</v>
      </c>
      <c r="H516" s="19"/>
      <c r="I516" s="19">
        <f t="shared" ref="I516:Q516" si="159">SUM(I517:I529)</f>
        <v>0</v>
      </c>
      <c r="J516" s="19">
        <f t="shared" si="159"/>
        <v>0</v>
      </c>
      <c r="K516" s="19"/>
      <c r="L516" s="19">
        <f t="shared" si="159"/>
        <v>0</v>
      </c>
      <c r="M516" s="19"/>
      <c r="N516" s="19">
        <f t="shared" si="159"/>
        <v>0</v>
      </c>
      <c r="O516" s="19">
        <f t="shared" si="159"/>
        <v>0</v>
      </c>
      <c r="P516" s="19"/>
      <c r="Q516" s="19">
        <f t="shared" si="159"/>
        <v>0</v>
      </c>
    </row>
    <row r="517" spans="1:17" ht="26.25" hidden="1" x14ac:dyDescent="0.25">
      <c r="A517" s="45">
        <v>5415</v>
      </c>
      <c r="B517" s="23">
        <v>621100</v>
      </c>
      <c r="C517" s="9" t="s">
        <v>442</v>
      </c>
      <c r="D517" s="9"/>
      <c r="E517" s="36"/>
      <c r="F517" s="36"/>
      <c r="G517" s="37">
        <f t="shared" si="141"/>
        <v>0</v>
      </c>
      <c r="H517" s="37"/>
      <c r="I517" s="36"/>
      <c r="J517" s="36"/>
      <c r="K517" s="36"/>
      <c r="L517" s="36"/>
      <c r="M517" s="36"/>
      <c r="N517" s="36"/>
      <c r="O517" s="36"/>
      <c r="P517" s="36"/>
      <c r="Q517" s="36"/>
    </row>
    <row r="518" spans="1:17" hidden="1" x14ac:dyDescent="0.25">
      <c r="A518" s="542" t="s">
        <v>0</v>
      </c>
      <c r="B518" s="543" t="s">
        <v>1</v>
      </c>
      <c r="C518" s="542" t="s">
        <v>2</v>
      </c>
      <c r="D518" s="474"/>
      <c r="E518" s="542" t="s">
        <v>217</v>
      </c>
      <c r="F518" s="474"/>
      <c r="G518" s="544" t="s">
        <v>198</v>
      </c>
      <c r="H518" s="544"/>
      <c r="I518" s="545"/>
      <c r="J518" s="545"/>
      <c r="K518" s="545"/>
      <c r="L518" s="545"/>
      <c r="M518" s="545"/>
      <c r="N518" s="545"/>
      <c r="O518" s="545"/>
      <c r="P518" s="545"/>
      <c r="Q518" s="545"/>
    </row>
    <row r="519" spans="1:17" hidden="1" x14ac:dyDescent="0.25">
      <c r="A519" s="542"/>
      <c r="B519" s="543"/>
      <c r="C519" s="542"/>
      <c r="D519" s="474"/>
      <c r="E519" s="542"/>
      <c r="F519" s="474"/>
      <c r="G519" s="544" t="s">
        <v>199</v>
      </c>
      <c r="H519" s="476"/>
      <c r="I519" s="544" t="s">
        <v>200</v>
      </c>
      <c r="J519" s="545"/>
      <c r="K519" s="545"/>
      <c r="L519" s="545"/>
      <c r="M519" s="545"/>
      <c r="N519" s="545"/>
      <c r="O519" s="544" t="s">
        <v>7</v>
      </c>
      <c r="P519" s="476"/>
      <c r="Q519" s="544" t="s">
        <v>8</v>
      </c>
    </row>
    <row r="520" spans="1:17" ht="39" hidden="1" x14ac:dyDescent="0.25">
      <c r="A520" s="542"/>
      <c r="B520" s="543"/>
      <c r="C520" s="542"/>
      <c r="D520" s="474"/>
      <c r="E520" s="542"/>
      <c r="F520" s="474"/>
      <c r="G520" s="545"/>
      <c r="H520" s="477"/>
      <c r="I520" s="476" t="s">
        <v>201</v>
      </c>
      <c r="J520" s="476" t="s">
        <v>10</v>
      </c>
      <c r="K520" s="476"/>
      <c r="L520" s="476" t="s">
        <v>11</v>
      </c>
      <c r="M520" s="476"/>
      <c r="N520" s="476" t="s">
        <v>12</v>
      </c>
      <c r="O520" s="545"/>
      <c r="P520" s="477"/>
      <c r="Q520" s="545"/>
    </row>
    <row r="521" spans="1:17" ht="26.25" hidden="1" x14ac:dyDescent="0.25">
      <c r="A521" s="475" t="s">
        <v>18</v>
      </c>
      <c r="B521" s="475" t="s">
        <v>19</v>
      </c>
      <c r="C521" s="475" t="s">
        <v>20</v>
      </c>
      <c r="D521" s="475"/>
      <c r="E521" s="475" t="s">
        <v>21</v>
      </c>
      <c r="F521" s="475"/>
      <c r="G521" s="475" t="s">
        <v>22</v>
      </c>
      <c r="H521" s="475"/>
      <c r="I521" s="475" t="s">
        <v>23</v>
      </c>
      <c r="J521" s="475" t="s">
        <v>24</v>
      </c>
      <c r="K521" s="475"/>
      <c r="L521" s="475" t="s">
        <v>25</v>
      </c>
      <c r="M521" s="475"/>
      <c r="N521" s="475" t="s">
        <v>26</v>
      </c>
      <c r="O521" s="475" t="s">
        <v>27</v>
      </c>
      <c r="P521" s="475"/>
      <c r="Q521" s="475" t="s">
        <v>28</v>
      </c>
    </row>
    <row r="522" spans="1:17" hidden="1" x14ac:dyDescent="0.25">
      <c r="A522" s="45">
        <v>5416</v>
      </c>
      <c r="B522" s="23">
        <v>621200</v>
      </c>
      <c r="C522" s="9" t="s">
        <v>443</v>
      </c>
      <c r="D522" s="9"/>
      <c r="E522" s="36"/>
      <c r="F522" s="36"/>
      <c r="G522" s="37">
        <f t="shared" si="141"/>
        <v>0</v>
      </c>
      <c r="H522" s="37"/>
      <c r="I522" s="36"/>
      <c r="J522" s="36"/>
      <c r="K522" s="36"/>
      <c r="L522" s="36"/>
      <c r="M522" s="36"/>
      <c r="N522" s="36"/>
      <c r="O522" s="36"/>
      <c r="P522" s="36"/>
      <c r="Q522" s="36"/>
    </row>
    <row r="523" spans="1:17" ht="26.25" hidden="1" x14ac:dyDescent="0.25">
      <c r="A523" s="45">
        <v>5417</v>
      </c>
      <c r="B523" s="23">
        <v>621300</v>
      </c>
      <c r="C523" s="9" t="s">
        <v>444</v>
      </c>
      <c r="D523" s="9"/>
      <c r="E523" s="36"/>
      <c r="F523" s="36"/>
      <c r="G523" s="37">
        <f t="shared" si="141"/>
        <v>0</v>
      </c>
      <c r="H523" s="37"/>
      <c r="I523" s="36"/>
      <c r="J523" s="36"/>
      <c r="K523" s="36"/>
      <c r="L523" s="36"/>
      <c r="M523" s="36"/>
      <c r="N523" s="36"/>
      <c r="O523" s="36"/>
      <c r="P523" s="36"/>
      <c r="Q523" s="36"/>
    </row>
    <row r="524" spans="1:17" ht="26.25" hidden="1" x14ac:dyDescent="0.25">
      <c r="A524" s="45">
        <v>5418</v>
      </c>
      <c r="B524" s="23">
        <v>621400</v>
      </c>
      <c r="C524" s="9" t="s">
        <v>445</v>
      </c>
      <c r="D524" s="9"/>
      <c r="E524" s="36"/>
      <c r="F524" s="36"/>
      <c r="G524" s="37">
        <f t="shared" si="141"/>
        <v>0</v>
      </c>
      <c r="H524" s="37"/>
      <c r="I524" s="36"/>
      <c r="J524" s="36"/>
      <c r="K524" s="36"/>
      <c r="L524" s="36"/>
      <c r="M524" s="36"/>
      <c r="N524" s="36"/>
      <c r="O524" s="36"/>
      <c r="P524" s="36"/>
      <c r="Q524" s="36"/>
    </row>
    <row r="525" spans="1:17" ht="39" hidden="1" x14ac:dyDescent="0.25">
      <c r="A525" s="45">
        <v>5419</v>
      </c>
      <c r="B525" s="23">
        <v>621500</v>
      </c>
      <c r="C525" s="9" t="s">
        <v>446</v>
      </c>
      <c r="D525" s="9"/>
      <c r="E525" s="36"/>
      <c r="F525" s="36"/>
      <c r="G525" s="37">
        <f t="shared" si="141"/>
        <v>0</v>
      </c>
      <c r="H525" s="37"/>
      <c r="I525" s="36"/>
      <c r="J525" s="36"/>
      <c r="K525" s="36"/>
      <c r="L525" s="36"/>
      <c r="M525" s="36"/>
      <c r="N525" s="36"/>
      <c r="O525" s="36"/>
      <c r="P525" s="36"/>
      <c r="Q525" s="36"/>
    </row>
    <row r="526" spans="1:17" ht="26.25" hidden="1" x14ac:dyDescent="0.25">
      <c r="A526" s="45">
        <v>5420</v>
      </c>
      <c r="B526" s="23">
        <v>621600</v>
      </c>
      <c r="C526" s="9" t="s">
        <v>447</v>
      </c>
      <c r="D526" s="9"/>
      <c r="E526" s="36"/>
      <c r="F526" s="36"/>
      <c r="G526" s="37">
        <f t="shared" si="141"/>
        <v>0</v>
      </c>
      <c r="H526" s="37"/>
      <c r="I526" s="36"/>
      <c r="J526" s="36"/>
      <c r="K526" s="36"/>
      <c r="L526" s="36"/>
      <c r="M526" s="36"/>
      <c r="N526" s="36"/>
      <c r="O526" s="36"/>
      <c r="P526" s="36"/>
      <c r="Q526" s="36"/>
    </row>
    <row r="527" spans="1:17" ht="26.25" hidden="1" x14ac:dyDescent="0.25">
      <c r="A527" s="45">
        <v>5421</v>
      </c>
      <c r="B527" s="23">
        <v>621700</v>
      </c>
      <c r="C527" s="9" t="s">
        <v>448</v>
      </c>
      <c r="D527" s="9"/>
      <c r="E527" s="36"/>
      <c r="F527" s="36"/>
      <c r="G527" s="37">
        <f t="shared" si="141"/>
        <v>0</v>
      </c>
      <c r="H527" s="37"/>
      <c r="I527" s="36"/>
      <c r="J527" s="36"/>
      <c r="K527" s="36"/>
      <c r="L527" s="36"/>
      <c r="M527" s="36"/>
      <c r="N527" s="36"/>
      <c r="O527" s="36"/>
      <c r="P527" s="36"/>
      <c r="Q527" s="36"/>
    </row>
    <row r="528" spans="1:17" ht="39" hidden="1" x14ac:dyDescent="0.25">
      <c r="A528" s="45">
        <v>5422</v>
      </c>
      <c r="B528" s="23">
        <v>621800</v>
      </c>
      <c r="C528" s="9" t="s">
        <v>449</v>
      </c>
      <c r="D528" s="9"/>
      <c r="E528" s="36"/>
      <c r="F528" s="36"/>
      <c r="G528" s="37">
        <f t="shared" si="141"/>
        <v>0</v>
      </c>
      <c r="H528" s="37"/>
      <c r="I528" s="36"/>
      <c r="J528" s="36"/>
      <c r="K528" s="36"/>
      <c r="L528" s="36"/>
      <c r="M528" s="36"/>
      <c r="N528" s="36"/>
      <c r="O528" s="36"/>
      <c r="P528" s="36"/>
      <c r="Q528" s="36"/>
    </row>
    <row r="529" spans="1:17" ht="26.25" hidden="1" x14ac:dyDescent="0.25">
      <c r="A529" s="45">
        <v>5423</v>
      </c>
      <c r="B529" s="23">
        <v>621900</v>
      </c>
      <c r="C529" s="9" t="s">
        <v>450</v>
      </c>
      <c r="D529" s="9"/>
      <c r="E529" s="36"/>
      <c r="F529" s="36"/>
      <c r="G529" s="37">
        <f t="shared" si="141"/>
        <v>0</v>
      </c>
      <c r="H529" s="37"/>
      <c r="I529" s="36"/>
      <c r="J529" s="36"/>
      <c r="K529" s="36"/>
      <c r="L529" s="36"/>
      <c r="M529" s="36"/>
      <c r="N529" s="36"/>
      <c r="O529" s="36"/>
      <c r="P529" s="36"/>
      <c r="Q529" s="36"/>
    </row>
    <row r="530" spans="1:17" ht="39" hidden="1" x14ac:dyDescent="0.25">
      <c r="A530" s="480">
        <v>5424</v>
      </c>
      <c r="B530" s="476">
        <v>622000</v>
      </c>
      <c r="C530" s="18" t="s">
        <v>451</v>
      </c>
      <c r="D530" s="18"/>
      <c r="E530" s="19">
        <f>SUM(E531:E538)</f>
        <v>0</v>
      </c>
      <c r="F530" s="19"/>
      <c r="G530" s="19">
        <f t="shared" si="141"/>
        <v>0</v>
      </c>
      <c r="H530" s="19"/>
      <c r="I530" s="19">
        <f t="shared" ref="I530:Q530" si="160">SUM(I531:I538)</f>
        <v>0</v>
      </c>
      <c r="J530" s="19">
        <f t="shared" si="160"/>
        <v>0</v>
      </c>
      <c r="K530" s="19"/>
      <c r="L530" s="19">
        <f t="shared" si="160"/>
        <v>0</v>
      </c>
      <c r="M530" s="19"/>
      <c r="N530" s="19">
        <f t="shared" si="160"/>
        <v>0</v>
      </c>
      <c r="O530" s="19">
        <f t="shared" si="160"/>
        <v>0</v>
      </c>
      <c r="P530" s="19"/>
      <c r="Q530" s="19">
        <f t="shared" si="160"/>
        <v>0</v>
      </c>
    </row>
    <row r="531" spans="1:17" ht="26.25" hidden="1" x14ac:dyDescent="0.25">
      <c r="A531" s="45">
        <v>5425</v>
      </c>
      <c r="B531" s="23">
        <v>622100</v>
      </c>
      <c r="C531" s="9" t="s">
        <v>452</v>
      </c>
      <c r="D531" s="9"/>
      <c r="E531" s="36"/>
      <c r="F531" s="36"/>
      <c r="G531" s="37">
        <f t="shared" si="141"/>
        <v>0</v>
      </c>
      <c r="H531" s="37"/>
      <c r="I531" s="36"/>
      <c r="J531" s="36"/>
      <c r="K531" s="36"/>
      <c r="L531" s="36"/>
      <c r="M531" s="36"/>
      <c r="N531" s="36"/>
      <c r="O531" s="36"/>
      <c r="P531" s="36"/>
      <c r="Q531" s="36"/>
    </row>
    <row r="532" spans="1:17" hidden="1" x14ac:dyDescent="0.25">
      <c r="A532" s="45">
        <v>5426</v>
      </c>
      <c r="B532" s="23">
        <v>622200</v>
      </c>
      <c r="C532" s="9" t="s">
        <v>453</v>
      </c>
      <c r="D532" s="9"/>
      <c r="E532" s="36"/>
      <c r="F532" s="36"/>
      <c r="G532" s="37">
        <f t="shared" si="141"/>
        <v>0</v>
      </c>
      <c r="H532" s="37"/>
      <c r="I532" s="36"/>
      <c r="J532" s="36"/>
      <c r="K532" s="36"/>
      <c r="L532" s="36"/>
      <c r="M532" s="36"/>
      <c r="N532" s="36"/>
      <c r="O532" s="36"/>
      <c r="P532" s="36"/>
      <c r="Q532" s="36"/>
    </row>
    <row r="533" spans="1:17" ht="26.25" hidden="1" x14ac:dyDescent="0.25">
      <c r="A533" s="45">
        <v>5427</v>
      </c>
      <c r="B533" s="23">
        <v>622300</v>
      </c>
      <c r="C533" s="9" t="s">
        <v>454</v>
      </c>
      <c r="D533" s="9"/>
      <c r="E533" s="36"/>
      <c r="F533" s="36"/>
      <c r="G533" s="37">
        <f t="shared" si="141"/>
        <v>0</v>
      </c>
      <c r="H533" s="37"/>
      <c r="I533" s="36"/>
      <c r="J533" s="36"/>
      <c r="K533" s="36"/>
      <c r="L533" s="36"/>
      <c r="M533" s="36"/>
      <c r="N533" s="36"/>
      <c r="O533" s="36"/>
      <c r="P533" s="36"/>
      <c r="Q533" s="36"/>
    </row>
    <row r="534" spans="1:17" ht="26.25" hidden="1" x14ac:dyDescent="0.25">
      <c r="A534" s="45">
        <v>5428</v>
      </c>
      <c r="B534" s="23">
        <v>622400</v>
      </c>
      <c r="C534" s="9" t="s">
        <v>455</v>
      </c>
      <c r="D534" s="9"/>
      <c r="E534" s="36"/>
      <c r="F534" s="36"/>
      <c r="G534" s="37">
        <f t="shared" si="141"/>
        <v>0</v>
      </c>
      <c r="H534" s="37"/>
      <c r="I534" s="36"/>
      <c r="J534" s="36"/>
      <c r="K534" s="36"/>
      <c r="L534" s="36"/>
      <c r="M534" s="36"/>
      <c r="N534" s="36"/>
      <c r="O534" s="36"/>
      <c r="P534" s="36"/>
      <c r="Q534" s="36"/>
    </row>
    <row r="535" spans="1:17" ht="26.25" hidden="1" x14ac:dyDescent="0.25">
      <c r="A535" s="45">
        <v>5429</v>
      </c>
      <c r="B535" s="23">
        <v>622500</v>
      </c>
      <c r="C535" s="9" t="s">
        <v>456</v>
      </c>
      <c r="D535" s="9"/>
      <c r="E535" s="36"/>
      <c r="F535" s="36"/>
      <c r="G535" s="37">
        <f t="shared" si="141"/>
        <v>0</v>
      </c>
      <c r="H535" s="37"/>
      <c r="I535" s="36"/>
      <c r="J535" s="36"/>
      <c r="K535" s="36"/>
      <c r="L535" s="36"/>
      <c r="M535" s="36"/>
      <c r="N535" s="36"/>
      <c r="O535" s="36"/>
      <c r="P535" s="36"/>
      <c r="Q535" s="36"/>
    </row>
    <row r="536" spans="1:17" ht="26.25" hidden="1" x14ac:dyDescent="0.25">
      <c r="A536" s="45">
        <v>5430</v>
      </c>
      <c r="B536" s="23">
        <v>622600</v>
      </c>
      <c r="C536" s="9" t="s">
        <v>457</v>
      </c>
      <c r="D536" s="9"/>
      <c r="E536" s="36"/>
      <c r="F536" s="36"/>
      <c r="G536" s="37">
        <f t="shared" ref="G536:G540" si="161">SUM(I536:Q536)</f>
        <v>0</v>
      </c>
      <c r="H536" s="37"/>
      <c r="I536" s="36"/>
      <c r="J536" s="36"/>
      <c r="K536" s="36"/>
      <c r="L536" s="36"/>
      <c r="M536" s="36"/>
      <c r="N536" s="36"/>
      <c r="O536" s="36"/>
      <c r="P536" s="36"/>
      <c r="Q536" s="36"/>
    </row>
    <row r="537" spans="1:17" ht="26.25" hidden="1" x14ac:dyDescent="0.25">
      <c r="A537" s="45">
        <v>5431</v>
      </c>
      <c r="B537" s="23">
        <v>622700</v>
      </c>
      <c r="C537" s="9" t="s">
        <v>458</v>
      </c>
      <c r="D537" s="9"/>
      <c r="E537" s="36"/>
      <c r="F537" s="36"/>
      <c r="G537" s="37">
        <f t="shared" si="161"/>
        <v>0</v>
      </c>
      <c r="H537" s="37"/>
      <c r="I537" s="36"/>
      <c r="J537" s="36"/>
      <c r="K537" s="36"/>
      <c r="L537" s="36"/>
      <c r="M537" s="36"/>
      <c r="N537" s="36"/>
      <c r="O537" s="36"/>
      <c r="P537" s="36"/>
      <c r="Q537" s="36"/>
    </row>
    <row r="538" spans="1:17" hidden="1" x14ac:dyDescent="0.25">
      <c r="A538" s="45">
        <v>5432</v>
      </c>
      <c r="B538" s="23">
        <v>622800</v>
      </c>
      <c r="C538" s="9" t="s">
        <v>459</v>
      </c>
      <c r="D538" s="9"/>
      <c r="E538" s="36"/>
      <c r="F538" s="36"/>
      <c r="G538" s="37">
        <f t="shared" si="161"/>
        <v>0</v>
      </c>
      <c r="H538" s="37"/>
      <c r="I538" s="36"/>
      <c r="J538" s="36"/>
      <c r="K538" s="36"/>
      <c r="L538" s="36"/>
      <c r="M538" s="36"/>
      <c r="N538" s="36"/>
      <c r="O538" s="36"/>
      <c r="P538" s="36"/>
      <c r="Q538" s="36"/>
    </row>
    <row r="539" spans="1:17" ht="90" hidden="1" x14ac:dyDescent="0.25">
      <c r="A539" s="480">
        <v>5433</v>
      </c>
      <c r="B539" s="476">
        <v>623000</v>
      </c>
      <c r="C539" s="18" t="s">
        <v>460</v>
      </c>
      <c r="D539" s="18"/>
      <c r="E539" s="19">
        <f>E540</f>
        <v>0</v>
      </c>
      <c r="F539" s="19"/>
      <c r="G539" s="19">
        <f t="shared" si="161"/>
        <v>0</v>
      </c>
      <c r="H539" s="19"/>
      <c r="I539" s="19">
        <f t="shared" ref="I539:Q539" si="162">I540</f>
        <v>0</v>
      </c>
      <c r="J539" s="19">
        <f t="shared" si="162"/>
        <v>0</v>
      </c>
      <c r="K539" s="19"/>
      <c r="L539" s="19">
        <f t="shared" si="162"/>
        <v>0</v>
      </c>
      <c r="M539" s="19"/>
      <c r="N539" s="19">
        <f t="shared" si="162"/>
        <v>0</v>
      </c>
      <c r="O539" s="19">
        <f t="shared" si="162"/>
        <v>0</v>
      </c>
      <c r="P539" s="19"/>
      <c r="Q539" s="19">
        <f t="shared" si="162"/>
        <v>0</v>
      </c>
    </row>
    <row r="540" spans="1:17" ht="51.75" hidden="1" x14ac:dyDescent="0.25">
      <c r="A540" s="45">
        <v>5434</v>
      </c>
      <c r="B540" s="23">
        <v>623100</v>
      </c>
      <c r="C540" s="9" t="s">
        <v>461</v>
      </c>
      <c r="D540" s="9"/>
      <c r="E540" s="36"/>
      <c r="F540" s="36"/>
      <c r="G540" s="37">
        <f t="shared" si="161"/>
        <v>0</v>
      </c>
      <c r="H540" s="37"/>
      <c r="I540" s="36"/>
      <c r="J540" s="36"/>
      <c r="K540" s="36"/>
      <c r="L540" s="36"/>
      <c r="M540" s="36"/>
      <c r="N540" s="36"/>
      <c r="O540" s="36"/>
      <c r="P540" s="36"/>
      <c r="Q540" s="36"/>
    </row>
    <row r="541" spans="1:17" ht="26.25" x14ac:dyDescent="0.25">
      <c r="A541" s="480">
        <v>5435</v>
      </c>
      <c r="B541" s="23"/>
      <c r="C541" s="18" t="s">
        <v>462</v>
      </c>
      <c r="D541" s="18"/>
      <c r="E541" s="19">
        <f t="shared" ref="E541:Q541" si="163">E219+E485</f>
        <v>1500538</v>
      </c>
      <c r="F541" s="19">
        <f t="shared" si="163"/>
        <v>1527836</v>
      </c>
      <c r="G541" s="19">
        <f t="shared" si="163"/>
        <v>1428226</v>
      </c>
      <c r="H541" s="19">
        <f t="shared" si="163"/>
        <v>25518</v>
      </c>
      <c r="I541" s="19">
        <f t="shared" si="163"/>
        <v>17657</v>
      </c>
      <c r="J541" s="19">
        <f t="shared" si="163"/>
        <v>0</v>
      </c>
      <c r="K541" s="19">
        <f t="shared" si="163"/>
        <v>8447</v>
      </c>
      <c r="L541" s="19">
        <f t="shared" si="163"/>
        <v>1273</v>
      </c>
      <c r="M541" s="19">
        <f t="shared" si="163"/>
        <v>1476775</v>
      </c>
      <c r="N541" s="19">
        <f t="shared" si="163"/>
        <v>1398024</v>
      </c>
      <c r="O541" s="19">
        <f t="shared" si="163"/>
        <v>0</v>
      </c>
      <c r="P541" s="19">
        <f t="shared" si="163"/>
        <v>17096</v>
      </c>
      <c r="Q541" s="19">
        <f t="shared" si="163"/>
        <v>11162</v>
      </c>
    </row>
  </sheetData>
  <mergeCells count="186">
    <mergeCell ref="P3:P4"/>
    <mergeCell ref="Q3:Q4"/>
    <mergeCell ref="A11:A13"/>
    <mergeCell ref="B11:B13"/>
    <mergeCell ref="C11:C13"/>
    <mergeCell ref="E11:E13"/>
    <mergeCell ref="G11:Q11"/>
    <mergeCell ref="G12:G13"/>
    <mergeCell ref="I12:N12"/>
    <mergeCell ref="O12:O13"/>
    <mergeCell ref="A2:A4"/>
    <mergeCell ref="B2:B4"/>
    <mergeCell ref="C2:C4"/>
    <mergeCell ref="D2:D4"/>
    <mergeCell ref="E2:E4"/>
    <mergeCell ref="F2:Q2"/>
    <mergeCell ref="F3:F4"/>
    <mergeCell ref="G3:G4"/>
    <mergeCell ref="H3:N3"/>
    <mergeCell ref="O3:O4"/>
    <mergeCell ref="Q12:Q13"/>
    <mergeCell ref="A43:A45"/>
    <mergeCell ref="B43:B45"/>
    <mergeCell ref="C43:C45"/>
    <mergeCell ref="E43:E45"/>
    <mergeCell ref="G43:Q43"/>
    <mergeCell ref="G44:G45"/>
    <mergeCell ref="I44:N44"/>
    <mergeCell ref="O44:O45"/>
    <mergeCell ref="Q44:Q45"/>
    <mergeCell ref="A70:A72"/>
    <mergeCell ref="B70:B72"/>
    <mergeCell ref="C70:C72"/>
    <mergeCell ref="E70:E72"/>
    <mergeCell ref="G70:Q70"/>
    <mergeCell ref="G71:G72"/>
    <mergeCell ref="I71:N71"/>
    <mergeCell ref="O71:O72"/>
    <mergeCell ref="Q71:Q72"/>
    <mergeCell ref="A100:A102"/>
    <mergeCell ref="B100:B102"/>
    <mergeCell ref="C100:C102"/>
    <mergeCell ref="E100:E102"/>
    <mergeCell ref="G100:Q100"/>
    <mergeCell ref="G101:G102"/>
    <mergeCell ref="I101:N101"/>
    <mergeCell ref="O101:O102"/>
    <mergeCell ref="Q101:Q102"/>
    <mergeCell ref="A128:A130"/>
    <mergeCell ref="B128:B130"/>
    <mergeCell ref="C128:C130"/>
    <mergeCell ref="E128:E130"/>
    <mergeCell ref="G128:Q128"/>
    <mergeCell ref="G129:G130"/>
    <mergeCell ref="I129:N129"/>
    <mergeCell ref="O129:O130"/>
    <mergeCell ref="Q129:Q130"/>
    <mergeCell ref="A155:A157"/>
    <mergeCell ref="B155:B157"/>
    <mergeCell ref="C155:C157"/>
    <mergeCell ref="E155:E157"/>
    <mergeCell ref="G155:Q155"/>
    <mergeCell ref="G156:G157"/>
    <mergeCell ref="I156:N156"/>
    <mergeCell ref="O156:O157"/>
    <mergeCell ref="Q156:Q157"/>
    <mergeCell ref="A181:A183"/>
    <mergeCell ref="B181:B183"/>
    <mergeCell ref="C181:C183"/>
    <mergeCell ref="E181:E183"/>
    <mergeCell ref="G181:Q181"/>
    <mergeCell ref="G182:G183"/>
    <mergeCell ref="I182:N182"/>
    <mergeCell ref="O182:O183"/>
    <mergeCell ref="Q182:Q183"/>
    <mergeCell ref="A203:A205"/>
    <mergeCell ref="B203:B205"/>
    <mergeCell ref="C203:C205"/>
    <mergeCell ref="E203:E205"/>
    <mergeCell ref="G203:Q203"/>
    <mergeCell ref="G204:G205"/>
    <mergeCell ref="I204:N204"/>
    <mergeCell ref="O204:O205"/>
    <mergeCell ref="Q204:Q205"/>
    <mergeCell ref="P216:P217"/>
    <mergeCell ref="Q216:Q217"/>
    <mergeCell ref="A234:A236"/>
    <mergeCell ref="B234:B236"/>
    <mergeCell ref="C234:C236"/>
    <mergeCell ref="E234:E236"/>
    <mergeCell ref="G234:Q234"/>
    <mergeCell ref="G235:G236"/>
    <mergeCell ref="I235:N235"/>
    <mergeCell ref="O235:O236"/>
    <mergeCell ref="A215:A217"/>
    <mergeCell ref="B215:B217"/>
    <mergeCell ref="C215:C217"/>
    <mergeCell ref="D215:D217"/>
    <mergeCell ref="E215:E217"/>
    <mergeCell ref="F215:Q215"/>
    <mergeCell ref="F216:F217"/>
    <mergeCell ref="G216:G217"/>
    <mergeCell ref="H216:N216"/>
    <mergeCell ref="O216:O217"/>
    <mergeCell ref="Q235:Q236"/>
    <mergeCell ref="A270:A272"/>
    <mergeCell ref="B270:B272"/>
    <mergeCell ref="C270:C272"/>
    <mergeCell ref="E270:E272"/>
    <mergeCell ref="G270:Q270"/>
    <mergeCell ref="G271:G272"/>
    <mergeCell ref="I271:N271"/>
    <mergeCell ref="O271:O272"/>
    <mergeCell ref="Q271:Q272"/>
    <mergeCell ref="A319:A321"/>
    <mergeCell ref="B319:B321"/>
    <mergeCell ref="C319:C321"/>
    <mergeCell ref="E319:E321"/>
    <mergeCell ref="G319:Q319"/>
    <mergeCell ref="G320:G321"/>
    <mergeCell ref="I320:N320"/>
    <mergeCell ref="O320:O321"/>
    <mergeCell ref="Q320:Q321"/>
    <mergeCell ref="A349:A351"/>
    <mergeCell ref="B349:B351"/>
    <mergeCell ref="C349:C351"/>
    <mergeCell ref="E349:E351"/>
    <mergeCell ref="G349:Q349"/>
    <mergeCell ref="G350:G351"/>
    <mergeCell ref="I350:N350"/>
    <mergeCell ref="O350:O351"/>
    <mergeCell ref="Q350:Q351"/>
    <mergeCell ref="A375:A377"/>
    <mergeCell ref="B375:B377"/>
    <mergeCell ref="C375:C377"/>
    <mergeCell ref="E375:E377"/>
    <mergeCell ref="G375:Q375"/>
    <mergeCell ref="G376:G377"/>
    <mergeCell ref="I376:N376"/>
    <mergeCell ref="O376:O377"/>
    <mergeCell ref="Q376:Q377"/>
    <mergeCell ref="A400:A402"/>
    <mergeCell ref="B400:B402"/>
    <mergeCell ref="C400:C402"/>
    <mergeCell ref="E400:E402"/>
    <mergeCell ref="G400:Q400"/>
    <mergeCell ref="G401:G402"/>
    <mergeCell ref="I401:N401"/>
    <mergeCell ref="O401:O402"/>
    <mergeCell ref="Q401:Q402"/>
    <mergeCell ref="A428:A430"/>
    <mergeCell ref="B428:B430"/>
    <mergeCell ref="C428:C430"/>
    <mergeCell ref="E428:E430"/>
    <mergeCell ref="G428:Q428"/>
    <mergeCell ref="G429:G430"/>
    <mergeCell ref="I429:N429"/>
    <mergeCell ref="O429:O430"/>
    <mergeCell ref="Q429:Q430"/>
    <mergeCell ref="A463:A465"/>
    <mergeCell ref="B463:B465"/>
    <mergeCell ref="C463:C465"/>
    <mergeCell ref="E463:E465"/>
    <mergeCell ref="G463:Q463"/>
    <mergeCell ref="G464:G465"/>
    <mergeCell ref="I464:N464"/>
    <mergeCell ref="O464:O465"/>
    <mergeCell ref="Q464:Q465"/>
    <mergeCell ref="A491:A493"/>
    <mergeCell ref="B491:B493"/>
    <mergeCell ref="C491:C493"/>
    <mergeCell ref="E491:E493"/>
    <mergeCell ref="G491:Q491"/>
    <mergeCell ref="G492:G493"/>
    <mergeCell ref="I492:N492"/>
    <mergeCell ref="O492:O493"/>
    <mergeCell ref="Q492:Q493"/>
    <mergeCell ref="A518:A520"/>
    <mergeCell ref="B518:B520"/>
    <mergeCell ref="C518:C520"/>
    <mergeCell ref="E518:E520"/>
    <mergeCell ref="G518:Q518"/>
    <mergeCell ref="G519:G520"/>
    <mergeCell ref="I519:N519"/>
    <mergeCell ref="O519:O520"/>
    <mergeCell ref="Q519:Q520"/>
  </mergeCells>
  <dataValidations count="1">
    <dataValidation type="whole" allowBlank="1" showErrorMessage="1" errorTitle="Upozorenje" error="Niste uneli korektnu vrednost!_x000a_Ponovite unos." sqref="E495:Q517 H445:H462 H432:H443 I432:Q462 E432:G462 E104:E127 G120:M121 G104:Q119 E467:Q490 E379:Q399 E353:Q374 E323:Q348 E404:Q427 E522:Q541 E219:Q233 E238:Q269 E274:Q318 E132:E154 G132:Q154 G122:Q127 G74:Q99 E74:E99 E6:Q10 E207:Q211 E185:Q202 E159:Q180 E47:Q69 E15:Q42 F74:F154">
      <formula1>0</formula1>
      <formula2>999999999</formula2>
    </dataValidation>
  </dataValidations>
  <pageMargins left="0.16" right="0.21" top="0.72" bottom="0.75" header="0.24" footer="0.56999999999999995"/>
  <pageSetup paperSize="9" orientation="portrait" verticalDpi="4294967295" r:id="rId1"/>
  <headerFooter>
    <oddHeader>&amp;CФИНАНСИЈСКИ ПЛАН ОПШТЕ БОЛНИЦЕ ПИРОТ ЗА 2022. ГОДИНУ</oddHead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</vt:i4>
      </vt:variant>
    </vt:vector>
  </HeadingPairs>
  <TitlesOfParts>
    <vt:vector size="30" baseType="lpstr">
      <vt:lpstr>fin plan 2022.</vt:lpstr>
      <vt:lpstr>izmena 04.03.2022.tel</vt:lpstr>
      <vt:lpstr>izmena 28.03.2022.</vt:lpstr>
      <vt:lpstr>izvršenje 3 m 2022</vt:lpstr>
      <vt:lpstr>izmena 31.05.2022.</vt:lpstr>
      <vt:lpstr>izmena.08.08.2022.</vt:lpstr>
      <vt:lpstr>izvršenje 6 m 2022</vt:lpstr>
      <vt:lpstr>izmena 09.2022.</vt:lpstr>
      <vt:lpstr>tel sednica 19.10.2022.</vt:lpstr>
      <vt:lpstr>izvršenje 9 m 2022</vt:lpstr>
      <vt:lpstr>izmena novembar 2022.</vt:lpstr>
      <vt:lpstr>izmena novembar 2</vt:lpstr>
      <vt:lpstr>izvršenje 12 m 2022</vt:lpstr>
      <vt:lpstr>predlog fin.plan 2023</vt:lpstr>
      <vt:lpstr>izmena 13.02.2023.</vt:lpstr>
      <vt:lpstr>izmena 31.03.2023.druga</vt:lpstr>
      <vt:lpstr>izvršenje 3 m 2023 </vt:lpstr>
      <vt:lpstr>izmena 27.04.2023.treća</vt:lpstr>
      <vt:lpstr>ralizacija mt 25.04.2023</vt:lpstr>
      <vt:lpstr>izmena 22.06.2023.četvrta</vt:lpstr>
      <vt:lpstr>izmena 27.07.2023.peta</vt:lpstr>
      <vt:lpstr>izvršenje 6 m 2023</vt:lpstr>
      <vt:lpstr>izmena 21.09.2023.šesta </vt:lpstr>
      <vt:lpstr>izmena 04.10.2023.седма</vt:lpstr>
      <vt:lpstr>izvršenje 9 m 2023</vt:lpstr>
      <vt:lpstr>izmena 23.11.2023.osma+deveta</vt:lpstr>
      <vt:lpstr>rebalansirani fin plan 2023.</vt:lpstr>
      <vt:lpstr>izmena deseta 2023</vt:lpstr>
      <vt:lpstr>Sheet1</vt:lpstr>
      <vt:lpstr>'rebalansirani fin plan 2023.'!Print_Area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adriana.petrovic</dc:creator>
  <cp:lastModifiedBy>Milan Mitkovic</cp:lastModifiedBy>
  <cp:lastPrinted>2024-02-09T11:31:30Z</cp:lastPrinted>
  <dcterms:created xsi:type="dcterms:W3CDTF">2022-01-18T09:19:36Z</dcterms:created>
  <dcterms:modified xsi:type="dcterms:W3CDTF">2024-02-09T11:32:38Z</dcterms:modified>
</cp:coreProperties>
</file>